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Hélcio Pereira\Documents\Helcio\Consultoria\Hpod Soluções\NOTA FISCAL\2026\03_2026\"/>
    </mc:Choice>
  </mc:AlternateContent>
  <xr:revisionPtr revIDLastSave="0" documentId="13_ncr:1_{B2E61431-9201-470D-BFAA-C158519D32FA}" xr6:coauthVersionLast="47" xr6:coauthVersionMax="47" xr10:uidLastSave="{00000000-0000-0000-0000-000000000000}"/>
  <bookViews>
    <workbookView xWindow="-120" yWindow="-120" windowWidth="20730" windowHeight="11040" tabRatio="860" firstSheet="1" activeTab="1" xr2:uid="{00000000-000D-0000-FFFF-FFFF00000000}"/>
  </bookViews>
  <sheets>
    <sheet name="GERAL" sheetId="353" state="hidden" r:id="rId1"/>
    <sheet name="CONSOLIDADO" sheetId="379" r:id="rId2"/>
    <sheet name="FL01" sheetId="382" r:id="rId3"/>
    <sheet name="FL02" sheetId="383" r:id="rId4"/>
    <sheet name="FL03" sheetId="384" r:id="rId5"/>
    <sheet name="FL04" sheetId="385" r:id="rId6"/>
    <sheet name="FL05" sheetId="386" r:id="rId7"/>
    <sheet name="FL06" sheetId="387" r:id="rId8"/>
    <sheet name="FL07" sheetId="388" r:id="rId9"/>
    <sheet name="FL08" sheetId="389" r:id="rId10"/>
    <sheet name="FL09" sheetId="390" r:id="rId11"/>
    <sheet name="FL10" sheetId="391" r:id="rId12"/>
    <sheet name="FL11" sheetId="392" r:id="rId13"/>
    <sheet name="FL12" sheetId="393" r:id="rId14"/>
    <sheet name="FL13" sheetId="394" r:id="rId15"/>
    <sheet name="FL15" sheetId="395" r:id="rId16"/>
    <sheet name="FL16" sheetId="396" r:id="rId17"/>
    <sheet name="FL17" sheetId="397" r:id="rId18"/>
    <sheet name="FL18" sheetId="398" r:id="rId19"/>
    <sheet name="FL19" sheetId="399" r:id="rId20"/>
    <sheet name="FL20" sheetId="400" r:id="rId21"/>
    <sheet name="FL21" sheetId="401" r:id="rId22"/>
    <sheet name="FL22" sheetId="402" r:id="rId23"/>
    <sheet name="FL23" sheetId="403" r:id="rId24"/>
    <sheet name="FL25" sheetId="404" r:id="rId25"/>
    <sheet name="FL26" sheetId="405" r:id="rId26"/>
  </sheets>
  <definedNames>
    <definedName name="_xlnm.Print_Area" localSheetId="1">CONSOLIDADO!$A$4:$T$1355</definedName>
    <definedName name="_xlnm.Print_Area" localSheetId="2">'FL01'!$A$4:$T$291</definedName>
    <definedName name="_xlnm.Print_Area" localSheetId="3">'FL02'!$A$4:$T$19</definedName>
    <definedName name="_xlnm.Print_Area" localSheetId="4">'FL03'!$A$4:$T$112</definedName>
    <definedName name="_xlnm.Print_Area" localSheetId="5">'FL04'!$A$4:$T$157</definedName>
    <definedName name="_xlnm.Print_Area" localSheetId="6">'FL05'!$A$4:$T$147</definedName>
    <definedName name="_xlnm.Print_Area" localSheetId="7">'FL06'!$A$4:$T$45</definedName>
    <definedName name="_xlnm.Print_Area" localSheetId="8">'FL07'!$A$4:$T$28</definedName>
    <definedName name="_xlnm.Print_Area" localSheetId="9">'FL08'!$A$4:$T$38</definedName>
    <definedName name="_xlnm.Print_Area" localSheetId="10">'FL09'!$A$4:$T$54</definedName>
    <definedName name="_xlnm.Print_Area" localSheetId="11">'FL10'!$A$4:$T$28</definedName>
    <definedName name="_xlnm.Print_Area" localSheetId="12">'FL11'!$A$4:$T$27</definedName>
    <definedName name="_xlnm.Print_Area" localSheetId="13">'FL12'!$A$4:$T$25</definedName>
    <definedName name="_xlnm.Print_Area" localSheetId="14">'FL13'!$A$4:$T$54</definedName>
    <definedName name="_xlnm.Print_Area" localSheetId="15">'FL15'!$A$4:$T$24</definedName>
    <definedName name="_xlnm.Print_Area" localSheetId="16">'FL16'!$A$4:$T$26</definedName>
    <definedName name="_xlnm.Print_Area" localSheetId="17">'FL17'!$A$4:$T$23</definedName>
    <definedName name="_xlnm.Print_Area" localSheetId="18">'FL18'!$A$4:$T$24</definedName>
    <definedName name="_xlnm.Print_Area" localSheetId="19">'FL19'!$A$4:$T$28</definedName>
    <definedName name="_xlnm.Print_Area" localSheetId="20">'FL20'!$A$4:$T$37</definedName>
    <definedName name="_xlnm.Print_Area" localSheetId="21">'FL21'!$A$4:$T$34</definedName>
    <definedName name="_xlnm.Print_Area" localSheetId="22">'FL22'!$A$4:$T$236</definedName>
    <definedName name="_xlnm.Print_Area" localSheetId="23">'FL23'!$A$4:$T$20</definedName>
    <definedName name="_xlnm.Print_Area" localSheetId="24">'FL25'!$A$4:$T$42</definedName>
    <definedName name="_xlnm.Print_Area" localSheetId="25">'FL26'!$A$4:$T$234</definedName>
    <definedName name="_xlnm.Print_Area" localSheetId="0">GERAL!$A$4:$T$1351</definedName>
    <definedName name="_xlnm.Print_Titles" localSheetId="1">CONSOLIDADO!$1:$3</definedName>
    <definedName name="_xlnm.Print_Titles" localSheetId="2">'FL01'!$1:$3</definedName>
    <definedName name="_xlnm.Print_Titles" localSheetId="3">'FL02'!$1:$3</definedName>
    <definedName name="_xlnm.Print_Titles" localSheetId="4">'FL03'!$1:$3</definedName>
    <definedName name="_xlnm.Print_Titles" localSheetId="5">'FL04'!$1:$3</definedName>
    <definedName name="_xlnm.Print_Titles" localSheetId="6">'FL05'!$1:$3</definedName>
    <definedName name="_xlnm.Print_Titles" localSheetId="7">'FL06'!$1:$3</definedName>
    <definedName name="_xlnm.Print_Titles" localSheetId="8">'FL07'!$1:$3</definedName>
    <definedName name="_xlnm.Print_Titles" localSheetId="9">'FL08'!$1:$3</definedName>
    <definedName name="_xlnm.Print_Titles" localSheetId="10">'FL09'!$1:$3</definedName>
    <definedName name="_xlnm.Print_Titles" localSheetId="11">'FL10'!$1:$3</definedName>
    <definedName name="_xlnm.Print_Titles" localSheetId="12">'FL11'!$1:$3</definedName>
    <definedName name="_xlnm.Print_Titles" localSheetId="13">'FL12'!$1:$3</definedName>
    <definedName name="_xlnm.Print_Titles" localSheetId="14">'FL13'!$1:$3</definedName>
    <definedName name="_xlnm.Print_Titles" localSheetId="15">'FL15'!$1:$3</definedName>
    <definedName name="_xlnm.Print_Titles" localSheetId="16">'FL16'!$1:$3</definedName>
    <definedName name="_xlnm.Print_Titles" localSheetId="17">'FL17'!$1:$3</definedName>
    <definedName name="_xlnm.Print_Titles" localSheetId="18">'FL18'!$1:$3</definedName>
    <definedName name="_xlnm.Print_Titles" localSheetId="19">'FL19'!$1:$3</definedName>
    <definedName name="_xlnm.Print_Titles" localSheetId="20">'FL20'!$1:$3</definedName>
    <definedName name="_xlnm.Print_Titles" localSheetId="21">'FL21'!$1:$3</definedName>
    <definedName name="_xlnm.Print_Titles" localSheetId="22">'FL22'!$1:$3</definedName>
    <definedName name="_xlnm.Print_Titles" localSheetId="23">'FL23'!$1:$3</definedName>
    <definedName name="_xlnm.Print_Titles" localSheetId="24">'FL25'!$1:$3</definedName>
    <definedName name="_xlnm.Print_Titles" localSheetId="25">'FL26'!$1:$3</definedName>
    <definedName name="_xlnm.Print_Titles" localSheetId="0">GERAL!$1:$3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400" l="1"/>
  <c r="M21" i="400"/>
  <c r="N21" i="400"/>
  <c r="P21" i="400"/>
  <c r="J22" i="400"/>
  <c r="M22" i="400"/>
  <c r="N22" i="400"/>
  <c r="P22" i="400"/>
  <c r="O22" i="400" s="1"/>
  <c r="Q22" i="400" s="1"/>
  <c r="R22" i="400" s="1"/>
  <c r="S22" i="400" s="1"/>
  <c r="J23" i="400"/>
  <c r="M23" i="400"/>
  <c r="N23" i="400"/>
  <c r="P23" i="400"/>
  <c r="J222" i="402"/>
  <c r="M222" i="402"/>
  <c r="N222" i="402"/>
  <c r="P222" i="402"/>
  <c r="J143" i="385"/>
  <c r="M143" i="385"/>
  <c r="N143" i="385"/>
  <c r="P143" i="385"/>
  <c r="J98" i="384"/>
  <c r="M98" i="384"/>
  <c r="N98" i="384"/>
  <c r="P98" i="384"/>
  <c r="J142" i="385"/>
  <c r="M142" i="385"/>
  <c r="N142" i="385"/>
  <c r="P142" i="385"/>
  <c r="J277" i="382"/>
  <c r="M277" i="382"/>
  <c r="N277" i="382"/>
  <c r="P277" i="382"/>
  <c r="P220" i="405"/>
  <c r="N220" i="405"/>
  <c r="M220" i="405"/>
  <c r="J220" i="405"/>
  <c r="P219" i="405"/>
  <c r="N219" i="405"/>
  <c r="M219" i="405"/>
  <c r="J219" i="405"/>
  <c r="P218" i="405"/>
  <c r="N218" i="405"/>
  <c r="M218" i="405"/>
  <c r="J218" i="405"/>
  <c r="P217" i="405"/>
  <c r="N217" i="405"/>
  <c r="M217" i="405"/>
  <c r="J217" i="405"/>
  <c r="P216" i="405"/>
  <c r="N216" i="405"/>
  <c r="M216" i="405"/>
  <c r="J216" i="405"/>
  <c r="P215" i="405"/>
  <c r="N215" i="405"/>
  <c r="M215" i="405"/>
  <c r="J215" i="405"/>
  <c r="P214" i="405"/>
  <c r="N214" i="405"/>
  <c r="M214" i="405"/>
  <c r="J214" i="405"/>
  <c r="P213" i="405"/>
  <c r="N213" i="405"/>
  <c r="M213" i="405"/>
  <c r="J213" i="405"/>
  <c r="P212" i="405"/>
  <c r="N212" i="405"/>
  <c r="M212" i="405"/>
  <c r="J212" i="405"/>
  <c r="P211" i="405"/>
  <c r="N211" i="405"/>
  <c r="M211" i="405"/>
  <c r="J211" i="405"/>
  <c r="P210" i="405"/>
  <c r="N210" i="405"/>
  <c r="M210" i="405"/>
  <c r="J210" i="405"/>
  <c r="P209" i="405"/>
  <c r="N209" i="405"/>
  <c r="M209" i="405"/>
  <c r="J209" i="405"/>
  <c r="P208" i="405"/>
  <c r="N208" i="405"/>
  <c r="M208" i="405"/>
  <c r="J208" i="405"/>
  <c r="P207" i="405"/>
  <c r="N207" i="405"/>
  <c r="M207" i="405"/>
  <c r="J207" i="405"/>
  <c r="P206" i="405"/>
  <c r="N206" i="405"/>
  <c r="M206" i="405"/>
  <c r="J206" i="405"/>
  <c r="P205" i="405"/>
  <c r="N205" i="405"/>
  <c r="M205" i="405"/>
  <c r="J205" i="405"/>
  <c r="P204" i="405"/>
  <c r="N204" i="405"/>
  <c r="M204" i="405"/>
  <c r="J204" i="405"/>
  <c r="P203" i="405"/>
  <c r="N203" i="405"/>
  <c r="M203" i="405"/>
  <c r="J203" i="405"/>
  <c r="P202" i="405"/>
  <c r="N202" i="405"/>
  <c r="M202" i="405"/>
  <c r="J202" i="405"/>
  <c r="P201" i="405"/>
  <c r="N201" i="405"/>
  <c r="M201" i="405"/>
  <c r="J201" i="405"/>
  <c r="P200" i="405"/>
  <c r="N200" i="405"/>
  <c r="M200" i="405"/>
  <c r="J200" i="405"/>
  <c r="P199" i="405"/>
  <c r="N199" i="405"/>
  <c r="M199" i="405"/>
  <c r="J199" i="405"/>
  <c r="P198" i="405"/>
  <c r="N198" i="405"/>
  <c r="M198" i="405"/>
  <c r="J198" i="405"/>
  <c r="P197" i="405"/>
  <c r="N197" i="405"/>
  <c r="M197" i="405"/>
  <c r="J197" i="405"/>
  <c r="P196" i="405"/>
  <c r="N196" i="405"/>
  <c r="M196" i="405"/>
  <c r="J196" i="405"/>
  <c r="P195" i="405"/>
  <c r="N195" i="405"/>
  <c r="M195" i="405"/>
  <c r="J195" i="405"/>
  <c r="P194" i="405"/>
  <c r="N194" i="405"/>
  <c r="M194" i="405"/>
  <c r="J194" i="405"/>
  <c r="P193" i="405"/>
  <c r="N193" i="405"/>
  <c r="M193" i="405"/>
  <c r="J193" i="405"/>
  <c r="P192" i="405"/>
  <c r="N192" i="405"/>
  <c r="M192" i="405"/>
  <c r="J192" i="405"/>
  <c r="P191" i="405"/>
  <c r="N191" i="405"/>
  <c r="M191" i="405"/>
  <c r="J191" i="405"/>
  <c r="P190" i="405"/>
  <c r="N190" i="405"/>
  <c r="M190" i="405"/>
  <c r="J190" i="405"/>
  <c r="P189" i="405"/>
  <c r="N189" i="405"/>
  <c r="M189" i="405"/>
  <c r="J189" i="405"/>
  <c r="P188" i="405"/>
  <c r="N188" i="405"/>
  <c r="M188" i="405"/>
  <c r="J188" i="405"/>
  <c r="P187" i="405"/>
  <c r="N187" i="405"/>
  <c r="M187" i="405"/>
  <c r="J187" i="405"/>
  <c r="P186" i="405"/>
  <c r="N186" i="405"/>
  <c r="M186" i="405"/>
  <c r="J186" i="405"/>
  <c r="P185" i="405"/>
  <c r="N185" i="405"/>
  <c r="M185" i="405"/>
  <c r="J185" i="405"/>
  <c r="P184" i="405"/>
  <c r="N184" i="405"/>
  <c r="M184" i="405"/>
  <c r="J184" i="405"/>
  <c r="P183" i="405"/>
  <c r="N183" i="405"/>
  <c r="M183" i="405"/>
  <c r="J183" i="405"/>
  <c r="P182" i="405"/>
  <c r="N182" i="405"/>
  <c r="M182" i="405"/>
  <c r="J182" i="405"/>
  <c r="P181" i="405"/>
  <c r="N181" i="405"/>
  <c r="M181" i="405"/>
  <c r="J181" i="405"/>
  <c r="P180" i="405"/>
  <c r="N180" i="405"/>
  <c r="M180" i="405"/>
  <c r="J180" i="405"/>
  <c r="P179" i="405"/>
  <c r="N179" i="405"/>
  <c r="M179" i="405"/>
  <c r="J179" i="405"/>
  <c r="P178" i="405"/>
  <c r="N178" i="405"/>
  <c r="M178" i="405"/>
  <c r="J178" i="405"/>
  <c r="P177" i="405"/>
  <c r="N177" i="405"/>
  <c r="M177" i="405"/>
  <c r="J177" i="405"/>
  <c r="P176" i="405"/>
  <c r="N176" i="405"/>
  <c r="M176" i="405"/>
  <c r="J176" i="405"/>
  <c r="P175" i="405"/>
  <c r="N175" i="405"/>
  <c r="M175" i="405"/>
  <c r="J175" i="405"/>
  <c r="P174" i="405"/>
  <c r="N174" i="405"/>
  <c r="M174" i="405"/>
  <c r="J174" i="405"/>
  <c r="P173" i="405"/>
  <c r="N173" i="405"/>
  <c r="M173" i="405"/>
  <c r="J173" i="405"/>
  <c r="P172" i="405"/>
  <c r="N172" i="405"/>
  <c r="M172" i="405"/>
  <c r="J172" i="405"/>
  <c r="P171" i="405"/>
  <c r="N171" i="405"/>
  <c r="M171" i="405"/>
  <c r="J171" i="405"/>
  <c r="P170" i="405"/>
  <c r="N170" i="405"/>
  <c r="M170" i="405"/>
  <c r="J170" i="405"/>
  <c r="P169" i="405"/>
  <c r="N169" i="405"/>
  <c r="M169" i="405"/>
  <c r="J169" i="405"/>
  <c r="P168" i="405"/>
  <c r="N168" i="405"/>
  <c r="M168" i="405"/>
  <c r="J168" i="405"/>
  <c r="P167" i="405"/>
  <c r="N167" i="405"/>
  <c r="M167" i="405"/>
  <c r="J167" i="405"/>
  <c r="P166" i="405"/>
  <c r="N166" i="405"/>
  <c r="M166" i="405"/>
  <c r="J166" i="405"/>
  <c r="P165" i="405"/>
  <c r="N165" i="405"/>
  <c r="M165" i="405"/>
  <c r="J165" i="405"/>
  <c r="P164" i="405"/>
  <c r="N164" i="405"/>
  <c r="M164" i="405"/>
  <c r="J164" i="405"/>
  <c r="P163" i="405"/>
  <c r="N163" i="405"/>
  <c r="M163" i="405"/>
  <c r="J163" i="405"/>
  <c r="P162" i="405"/>
  <c r="N162" i="405"/>
  <c r="M162" i="405"/>
  <c r="J162" i="405"/>
  <c r="P161" i="405"/>
  <c r="N161" i="405"/>
  <c r="M161" i="405"/>
  <c r="J161" i="405"/>
  <c r="P160" i="405"/>
  <c r="N160" i="405"/>
  <c r="M160" i="405"/>
  <c r="J160" i="405"/>
  <c r="P159" i="405"/>
  <c r="N159" i="405"/>
  <c r="M159" i="405"/>
  <c r="J159" i="405"/>
  <c r="P158" i="405"/>
  <c r="N158" i="405"/>
  <c r="M158" i="405"/>
  <c r="J158" i="405"/>
  <c r="P157" i="405"/>
  <c r="N157" i="405"/>
  <c r="M157" i="405"/>
  <c r="J157" i="405"/>
  <c r="P156" i="405"/>
  <c r="N156" i="405"/>
  <c r="M156" i="405"/>
  <c r="J156" i="405"/>
  <c r="P155" i="405"/>
  <c r="N155" i="405"/>
  <c r="M155" i="405"/>
  <c r="J155" i="405"/>
  <c r="P154" i="405"/>
  <c r="N154" i="405"/>
  <c r="M154" i="405"/>
  <c r="J154" i="405"/>
  <c r="P153" i="405"/>
  <c r="N153" i="405"/>
  <c r="M153" i="405"/>
  <c r="J153" i="405"/>
  <c r="P152" i="405"/>
  <c r="N152" i="405"/>
  <c r="M152" i="405"/>
  <c r="J152" i="405"/>
  <c r="P151" i="405"/>
  <c r="N151" i="405"/>
  <c r="M151" i="405"/>
  <c r="J151" i="405"/>
  <c r="P150" i="405"/>
  <c r="N150" i="405"/>
  <c r="M150" i="405"/>
  <c r="J150" i="405"/>
  <c r="P149" i="405"/>
  <c r="N149" i="405"/>
  <c r="M149" i="405"/>
  <c r="J149" i="405"/>
  <c r="P148" i="405"/>
  <c r="N148" i="405"/>
  <c r="M148" i="405"/>
  <c r="J148" i="405"/>
  <c r="P147" i="405"/>
  <c r="N147" i="405"/>
  <c r="M147" i="405"/>
  <c r="J147" i="405"/>
  <c r="P146" i="405"/>
  <c r="N146" i="405"/>
  <c r="M146" i="405"/>
  <c r="J146" i="405"/>
  <c r="P145" i="405"/>
  <c r="N145" i="405"/>
  <c r="M145" i="405"/>
  <c r="J145" i="405"/>
  <c r="P144" i="405"/>
  <c r="N144" i="405"/>
  <c r="M144" i="405"/>
  <c r="J144" i="405"/>
  <c r="P143" i="405"/>
  <c r="N143" i="405"/>
  <c r="M143" i="405"/>
  <c r="J143" i="405"/>
  <c r="P142" i="405"/>
  <c r="N142" i="405"/>
  <c r="M142" i="405"/>
  <c r="J142" i="405"/>
  <c r="P141" i="405"/>
  <c r="N141" i="405"/>
  <c r="M141" i="405"/>
  <c r="J141" i="405"/>
  <c r="P140" i="405"/>
  <c r="N140" i="405"/>
  <c r="M140" i="405"/>
  <c r="J140" i="405"/>
  <c r="P139" i="405"/>
  <c r="N139" i="405"/>
  <c r="M139" i="405"/>
  <c r="J139" i="405"/>
  <c r="P138" i="405"/>
  <c r="N138" i="405"/>
  <c r="M138" i="405"/>
  <c r="J138" i="405"/>
  <c r="P137" i="405"/>
  <c r="N137" i="405"/>
  <c r="M137" i="405"/>
  <c r="O137" i="405" s="1"/>
  <c r="J137" i="405"/>
  <c r="P136" i="405"/>
  <c r="N136" i="405"/>
  <c r="M136" i="405"/>
  <c r="J136" i="405"/>
  <c r="P135" i="405"/>
  <c r="N135" i="405"/>
  <c r="M135" i="405"/>
  <c r="O135" i="405" s="1"/>
  <c r="J135" i="405"/>
  <c r="P134" i="405"/>
  <c r="N134" i="405"/>
  <c r="M134" i="405"/>
  <c r="J134" i="405"/>
  <c r="P133" i="405"/>
  <c r="N133" i="405"/>
  <c r="M133" i="405"/>
  <c r="O133" i="405" s="1"/>
  <c r="J133" i="405"/>
  <c r="P132" i="405"/>
  <c r="N132" i="405"/>
  <c r="M132" i="405"/>
  <c r="J132" i="405"/>
  <c r="P131" i="405"/>
  <c r="N131" i="405"/>
  <c r="M131" i="405"/>
  <c r="O131" i="405" s="1"/>
  <c r="J131" i="405"/>
  <c r="P130" i="405"/>
  <c r="N130" i="405"/>
  <c r="M130" i="405"/>
  <c r="J130" i="405"/>
  <c r="P129" i="405"/>
  <c r="N129" i="405"/>
  <c r="M129" i="405"/>
  <c r="O129" i="405" s="1"/>
  <c r="J129" i="405"/>
  <c r="P128" i="405"/>
  <c r="N128" i="405"/>
  <c r="M128" i="405"/>
  <c r="J128" i="405"/>
  <c r="P127" i="405"/>
  <c r="N127" i="405"/>
  <c r="M127" i="405"/>
  <c r="O127" i="405" s="1"/>
  <c r="J127" i="405"/>
  <c r="P126" i="405"/>
  <c r="N126" i="405"/>
  <c r="M126" i="405"/>
  <c r="J126" i="405"/>
  <c r="P125" i="405"/>
  <c r="N125" i="405"/>
  <c r="M125" i="405"/>
  <c r="O125" i="405" s="1"/>
  <c r="J125" i="405"/>
  <c r="P124" i="405"/>
  <c r="N124" i="405"/>
  <c r="M124" i="405"/>
  <c r="J124" i="405"/>
  <c r="P123" i="405"/>
  <c r="N123" i="405"/>
  <c r="M123" i="405"/>
  <c r="O123" i="405" s="1"/>
  <c r="J123" i="405"/>
  <c r="P122" i="405"/>
  <c r="N122" i="405"/>
  <c r="M122" i="405"/>
  <c r="J122" i="405"/>
  <c r="P121" i="405"/>
  <c r="N121" i="405"/>
  <c r="M121" i="405"/>
  <c r="O121" i="405" s="1"/>
  <c r="J121" i="405"/>
  <c r="P120" i="405"/>
  <c r="N120" i="405"/>
  <c r="M120" i="405"/>
  <c r="J120" i="405"/>
  <c r="P119" i="405"/>
  <c r="N119" i="405"/>
  <c r="M119" i="405"/>
  <c r="O119" i="405" s="1"/>
  <c r="J119" i="405"/>
  <c r="P118" i="405"/>
  <c r="N118" i="405"/>
  <c r="M118" i="405"/>
  <c r="J118" i="405"/>
  <c r="P117" i="405"/>
  <c r="N117" i="405"/>
  <c r="M117" i="405"/>
  <c r="J117" i="405"/>
  <c r="P116" i="405"/>
  <c r="N116" i="405"/>
  <c r="M116" i="405"/>
  <c r="J116" i="405"/>
  <c r="P115" i="405"/>
  <c r="N115" i="405"/>
  <c r="M115" i="405"/>
  <c r="J115" i="405"/>
  <c r="P114" i="405"/>
  <c r="N114" i="405"/>
  <c r="M114" i="405"/>
  <c r="J114" i="405"/>
  <c r="P113" i="405"/>
  <c r="N113" i="405"/>
  <c r="M113" i="405"/>
  <c r="J113" i="405"/>
  <c r="P112" i="405"/>
  <c r="N112" i="405"/>
  <c r="M112" i="405"/>
  <c r="J112" i="405"/>
  <c r="P111" i="405"/>
  <c r="N111" i="405"/>
  <c r="M111" i="405"/>
  <c r="J111" i="405"/>
  <c r="P110" i="405"/>
  <c r="N110" i="405"/>
  <c r="M110" i="405"/>
  <c r="J110" i="405"/>
  <c r="P109" i="405"/>
  <c r="N109" i="405"/>
  <c r="M109" i="405"/>
  <c r="J109" i="405"/>
  <c r="P108" i="405"/>
  <c r="N108" i="405"/>
  <c r="M108" i="405"/>
  <c r="J108" i="405"/>
  <c r="P107" i="405"/>
  <c r="N107" i="405"/>
  <c r="M107" i="405"/>
  <c r="J107" i="405"/>
  <c r="P106" i="405"/>
  <c r="N106" i="405"/>
  <c r="M106" i="405"/>
  <c r="J106" i="405"/>
  <c r="P105" i="405"/>
  <c r="N105" i="405"/>
  <c r="M105" i="405"/>
  <c r="J105" i="405"/>
  <c r="P104" i="405"/>
  <c r="N104" i="405"/>
  <c r="M104" i="405"/>
  <c r="J104" i="405"/>
  <c r="P103" i="405"/>
  <c r="N103" i="405"/>
  <c r="M103" i="405"/>
  <c r="J103" i="405"/>
  <c r="P102" i="405"/>
  <c r="N102" i="405"/>
  <c r="M102" i="405"/>
  <c r="J102" i="405"/>
  <c r="P101" i="405"/>
  <c r="N101" i="405"/>
  <c r="M101" i="405"/>
  <c r="J101" i="405"/>
  <c r="P100" i="405"/>
  <c r="N100" i="405"/>
  <c r="M100" i="405"/>
  <c r="J100" i="405"/>
  <c r="P99" i="405"/>
  <c r="N99" i="405"/>
  <c r="M99" i="405"/>
  <c r="J99" i="405"/>
  <c r="P98" i="405"/>
  <c r="N98" i="405"/>
  <c r="M98" i="405"/>
  <c r="J98" i="405"/>
  <c r="P97" i="405"/>
  <c r="N97" i="405"/>
  <c r="M97" i="405"/>
  <c r="O97" i="405" s="1"/>
  <c r="J97" i="405"/>
  <c r="P96" i="405"/>
  <c r="N96" i="405"/>
  <c r="M96" i="405"/>
  <c r="J96" i="405"/>
  <c r="P95" i="405"/>
  <c r="N95" i="405"/>
  <c r="M95" i="405"/>
  <c r="J95" i="405"/>
  <c r="P94" i="405"/>
  <c r="N94" i="405"/>
  <c r="M94" i="405"/>
  <c r="J94" i="405"/>
  <c r="P93" i="405"/>
  <c r="N93" i="405"/>
  <c r="M93" i="405"/>
  <c r="J93" i="405"/>
  <c r="P92" i="405"/>
  <c r="N92" i="405"/>
  <c r="M92" i="405"/>
  <c r="J92" i="405"/>
  <c r="P91" i="405"/>
  <c r="N91" i="405"/>
  <c r="M91" i="405"/>
  <c r="J91" i="405"/>
  <c r="P90" i="405"/>
  <c r="N90" i="405"/>
  <c r="M90" i="405"/>
  <c r="J90" i="405"/>
  <c r="P89" i="405"/>
  <c r="N89" i="405"/>
  <c r="M89" i="405"/>
  <c r="J89" i="405"/>
  <c r="P88" i="405"/>
  <c r="N88" i="405"/>
  <c r="M88" i="405"/>
  <c r="J88" i="405"/>
  <c r="P87" i="405"/>
  <c r="N87" i="405"/>
  <c r="M87" i="405"/>
  <c r="J87" i="405"/>
  <c r="P86" i="405"/>
  <c r="N86" i="405"/>
  <c r="M86" i="405"/>
  <c r="J86" i="405"/>
  <c r="P85" i="405"/>
  <c r="N85" i="405"/>
  <c r="M85" i="405"/>
  <c r="J85" i="405"/>
  <c r="P84" i="405"/>
  <c r="N84" i="405"/>
  <c r="M84" i="405"/>
  <c r="J84" i="405"/>
  <c r="P83" i="405"/>
  <c r="N83" i="405"/>
  <c r="M83" i="405"/>
  <c r="J83" i="405"/>
  <c r="P82" i="405"/>
  <c r="N82" i="405"/>
  <c r="M82" i="405"/>
  <c r="J82" i="405"/>
  <c r="P81" i="405"/>
  <c r="N81" i="405"/>
  <c r="M81" i="405"/>
  <c r="J81" i="405"/>
  <c r="P80" i="405"/>
  <c r="N80" i="405"/>
  <c r="M80" i="405"/>
  <c r="J80" i="405"/>
  <c r="P79" i="405"/>
  <c r="N79" i="405"/>
  <c r="M79" i="405"/>
  <c r="J79" i="405"/>
  <c r="P78" i="405"/>
  <c r="N78" i="405"/>
  <c r="M78" i="405"/>
  <c r="J78" i="405"/>
  <c r="P77" i="405"/>
  <c r="N77" i="405"/>
  <c r="M77" i="405"/>
  <c r="J77" i="405"/>
  <c r="P76" i="405"/>
  <c r="N76" i="405"/>
  <c r="M76" i="405"/>
  <c r="J76" i="405"/>
  <c r="P75" i="405"/>
  <c r="N75" i="405"/>
  <c r="M75" i="405"/>
  <c r="J75" i="405"/>
  <c r="P74" i="405"/>
  <c r="N74" i="405"/>
  <c r="M74" i="405"/>
  <c r="J74" i="405"/>
  <c r="P73" i="405"/>
  <c r="N73" i="405"/>
  <c r="M73" i="405"/>
  <c r="J73" i="405"/>
  <c r="P72" i="405"/>
  <c r="N72" i="405"/>
  <c r="M72" i="405"/>
  <c r="J72" i="405"/>
  <c r="P71" i="405"/>
  <c r="N71" i="405"/>
  <c r="M71" i="405"/>
  <c r="J71" i="405"/>
  <c r="P70" i="405"/>
  <c r="N70" i="405"/>
  <c r="M70" i="405"/>
  <c r="J70" i="405"/>
  <c r="P69" i="405"/>
  <c r="N69" i="405"/>
  <c r="M69" i="405"/>
  <c r="J69" i="405"/>
  <c r="P68" i="405"/>
  <c r="N68" i="405"/>
  <c r="M68" i="405"/>
  <c r="J68" i="405"/>
  <c r="P67" i="405"/>
  <c r="N67" i="405"/>
  <c r="M67" i="405"/>
  <c r="O67" i="405" s="1"/>
  <c r="J67" i="405"/>
  <c r="P66" i="405"/>
  <c r="N66" i="405"/>
  <c r="M66" i="405"/>
  <c r="J66" i="405"/>
  <c r="P65" i="405"/>
  <c r="N65" i="405"/>
  <c r="M65" i="405"/>
  <c r="O65" i="405" s="1"/>
  <c r="J65" i="405"/>
  <c r="P64" i="405"/>
  <c r="N64" i="405"/>
  <c r="M64" i="405"/>
  <c r="J64" i="405"/>
  <c r="P63" i="405"/>
  <c r="N63" i="405"/>
  <c r="M63" i="405"/>
  <c r="O63" i="405" s="1"/>
  <c r="J63" i="405"/>
  <c r="P62" i="405"/>
  <c r="N62" i="405"/>
  <c r="M62" i="405"/>
  <c r="J62" i="405"/>
  <c r="P61" i="405"/>
  <c r="N61" i="405"/>
  <c r="M61" i="405"/>
  <c r="O61" i="405" s="1"/>
  <c r="J61" i="405"/>
  <c r="P60" i="405"/>
  <c r="N60" i="405"/>
  <c r="M60" i="405"/>
  <c r="J60" i="405"/>
  <c r="P59" i="405"/>
  <c r="N59" i="405"/>
  <c r="M59" i="405"/>
  <c r="O59" i="405" s="1"/>
  <c r="J59" i="405"/>
  <c r="P58" i="405"/>
  <c r="N58" i="405"/>
  <c r="M58" i="405"/>
  <c r="J58" i="405"/>
  <c r="P57" i="405"/>
  <c r="N57" i="405"/>
  <c r="M57" i="405"/>
  <c r="J57" i="405"/>
  <c r="P56" i="405"/>
  <c r="N56" i="405"/>
  <c r="M56" i="405"/>
  <c r="J56" i="405"/>
  <c r="P55" i="405"/>
  <c r="N55" i="405"/>
  <c r="M55" i="405"/>
  <c r="O55" i="405" s="1"/>
  <c r="J55" i="405"/>
  <c r="P54" i="405"/>
  <c r="N54" i="405"/>
  <c r="M54" i="405"/>
  <c r="J54" i="405"/>
  <c r="P53" i="405"/>
  <c r="N53" i="405"/>
  <c r="M53" i="405"/>
  <c r="J53" i="405"/>
  <c r="P52" i="405"/>
  <c r="N52" i="405"/>
  <c r="M52" i="405"/>
  <c r="J52" i="405"/>
  <c r="P51" i="405"/>
  <c r="N51" i="405"/>
  <c r="M51" i="405"/>
  <c r="J51" i="405"/>
  <c r="P50" i="405"/>
  <c r="N50" i="405"/>
  <c r="M50" i="405"/>
  <c r="J50" i="405"/>
  <c r="P49" i="405"/>
  <c r="N49" i="405"/>
  <c r="M49" i="405"/>
  <c r="J49" i="405"/>
  <c r="P48" i="405"/>
  <c r="N48" i="405"/>
  <c r="M48" i="405"/>
  <c r="J48" i="405"/>
  <c r="P47" i="405"/>
  <c r="N47" i="405"/>
  <c r="M47" i="405"/>
  <c r="J47" i="405"/>
  <c r="P46" i="405"/>
  <c r="N46" i="405"/>
  <c r="M46" i="405"/>
  <c r="J46" i="405"/>
  <c r="P45" i="405"/>
  <c r="N45" i="405"/>
  <c r="M45" i="405"/>
  <c r="J45" i="405"/>
  <c r="P44" i="405"/>
  <c r="N44" i="405"/>
  <c r="M44" i="405"/>
  <c r="J44" i="405"/>
  <c r="P43" i="405"/>
  <c r="N43" i="405"/>
  <c r="M43" i="405"/>
  <c r="O43" i="405" s="1"/>
  <c r="J43" i="405"/>
  <c r="P42" i="405"/>
  <c r="N42" i="405"/>
  <c r="M42" i="405"/>
  <c r="J42" i="405"/>
  <c r="P41" i="405"/>
  <c r="N41" i="405"/>
  <c r="M41" i="405"/>
  <c r="J41" i="405"/>
  <c r="P40" i="405"/>
  <c r="N40" i="405"/>
  <c r="M40" i="405"/>
  <c r="J40" i="405"/>
  <c r="P39" i="405"/>
  <c r="N39" i="405"/>
  <c r="M39" i="405"/>
  <c r="J39" i="405"/>
  <c r="P38" i="405"/>
  <c r="N38" i="405"/>
  <c r="M38" i="405"/>
  <c r="J38" i="405"/>
  <c r="P37" i="405"/>
  <c r="N37" i="405"/>
  <c r="M37" i="405"/>
  <c r="J37" i="405"/>
  <c r="P36" i="405"/>
  <c r="N36" i="405"/>
  <c r="M36" i="405"/>
  <c r="J36" i="405"/>
  <c r="P35" i="405"/>
  <c r="N35" i="405"/>
  <c r="M35" i="405"/>
  <c r="J35" i="405"/>
  <c r="P34" i="405"/>
  <c r="N34" i="405"/>
  <c r="M34" i="405"/>
  <c r="J34" i="405"/>
  <c r="P33" i="405"/>
  <c r="N33" i="405"/>
  <c r="M33" i="405"/>
  <c r="J33" i="405"/>
  <c r="P32" i="405"/>
  <c r="N32" i="405"/>
  <c r="M32" i="405"/>
  <c r="J32" i="405"/>
  <c r="P31" i="405"/>
  <c r="N31" i="405"/>
  <c r="M31" i="405"/>
  <c r="J31" i="405"/>
  <c r="P30" i="405"/>
  <c r="N30" i="405"/>
  <c r="M30" i="405"/>
  <c r="J30" i="405"/>
  <c r="P29" i="405"/>
  <c r="N29" i="405"/>
  <c r="M29" i="405"/>
  <c r="J29" i="405"/>
  <c r="P28" i="405"/>
  <c r="N28" i="405"/>
  <c r="M28" i="405"/>
  <c r="J28" i="405"/>
  <c r="P27" i="405"/>
  <c r="N27" i="405"/>
  <c r="M27" i="405"/>
  <c r="J27" i="405"/>
  <c r="P26" i="405"/>
  <c r="N26" i="405"/>
  <c r="M26" i="405"/>
  <c r="J26" i="405"/>
  <c r="P25" i="405"/>
  <c r="N25" i="405"/>
  <c r="M25" i="405"/>
  <c r="J25" i="405"/>
  <c r="P24" i="405"/>
  <c r="N24" i="405"/>
  <c r="M24" i="405"/>
  <c r="J24" i="405"/>
  <c r="P23" i="405"/>
  <c r="N23" i="405"/>
  <c r="M23" i="405"/>
  <c r="J23" i="405"/>
  <c r="P22" i="405"/>
  <c r="N22" i="405"/>
  <c r="M22" i="405"/>
  <c r="J22" i="405"/>
  <c r="P21" i="405"/>
  <c r="N21" i="405"/>
  <c r="M21" i="405"/>
  <c r="J21" i="405"/>
  <c r="P20" i="405"/>
  <c r="N20" i="405"/>
  <c r="M20" i="405"/>
  <c r="J20" i="405"/>
  <c r="P19" i="405"/>
  <c r="N19" i="405"/>
  <c r="M19" i="405"/>
  <c r="J19" i="405"/>
  <c r="P18" i="405"/>
  <c r="N18" i="405"/>
  <c r="M18" i="405"/>
  <c r="J18" i="405"/>
  <c r="P17" i="405"/>
  <c r="N17" i="405"/>
  <c r="M17" i="405"/>
  <c r="J17" i="405"/>
  <c r="P16" i="405"/>
  <c r="N16" i="405"/>
  <c r="M16" i="405"/>
  <c r="J16" i="405"/>
  <c r="P15" i="405"/>
  <c r="N15" i="405"/>
  <c r="M15" i="405"/>
  <c r="J15" i="405"/>
  <c r="P14" i="405"/>
  <c r="N14" i="405"/>
  <c r="M14" i="405"/>
  <c r="J14" i="405"/>
  <c r="P13" i="405"/>
  <c r="N13" i="405"/>
  <c r="M13" i="405"/>
  <c r="J13" i="405"/>
  <c r="P12" i="405"/>
  <c r="N12" i="405"/>
  <c r="M12" i="405"/>
  <c r="J12" i="405"/>
  <c r="P11" i="405"/>
  <c r="N11" i="405"/>
  <c r="M11" i="405"/>
  <c r="J11" i="405"/>
  <c r="P10" i="405"/>
  <c r="N10" i="405"/>
  <c r="M10" i="405"/>
  <c r="J10" i="405"/>
  <c r="P9" i="405"/>
  <c r="N9" i="405"/>
  <c r="M9" i="405"/>
  <c r="J9" i="405"/>
  <c r="P8" i="405"/>
  <c r="N8" i="405"/>
  <c r="M8" i="405"/>
  <c r="J8" i="405"/>
  <c r="P7" i="405"/>
  <c r="N7" i="405"/>
  <c r="M7" i="405"/>
  <c r="J7" i="405"/>
  <c r="P6" i="405"/>
  <c r="N6" i="405"/>
  <c r="M6" i="405"/>
  <c r="J6" i="405"/>
  <c r="P5" i="405"/>
  <c r="N5" i="405"/>
  <c r="M5" i="405"/>
  <c r="J5" i="405"/>
  <c r="P4" i="405"/>
  <c r="N4" i="405"/>
  <c r="M4" i="405"/>
  <c r="J4" i="405"/>
  <c r="P28" i="404"/>
  <c r="N28" i="404"/>
  <c r="M28" i="404"/>
  <c r="J28" i="404"/>
  <c r="P27" i="404"/>
  <c r="N27" i="404"/>
  <c r="M27" i="404"/>
  <c r="J27" i="404"/>
  <c r="P26" i="404"/>
  <c r="N26" i="404"/>
  <c r="M26" i="404"/>
  <c r="J26" i="404"/>
  <c r="P25" i="404"/>
  <c r="N25" i="404"/>
  <c r="M25" i="404"/>
  <c r="J25" i="404"/>
  <c r="P24" i="404"/>
  <c r="N24" i="404"/>
  <c r="M24" i="404"/>
  <c r="J24" i="404"/>
  <c r="P23" i="404"/>
  <c r="N23" i="404"/>
  <c r="M23" i="404"/>
  <c r="J23" i="404"/>
  <c r="P22" i="404"/>
  <c r="N22" i="404"/>
  <c r="M22" i="404"/>
  <c r="J22" i="404"/>
  <c r="P21" i="404"/>
  <c r="N21" i="404"/>
  <c r="M21" i="404"/>
  <c r="J21" i="404"/>
  <c r="P20" i="404"/>
  <c r="N20" i="404"/>
  <c r="M20" i="404"/>
  <c r="J20" i="404"/>
  <c r="P19" i="404"/>
  <c r="N19" i="404"/>
  <c r="M19" i="404"/>
  <c r="J19" i="404"/>
  <c r="P18" i="404"/>
  <c r="N18" i="404"/>
  <c r="M18" i="404"/>
  <c r="J18" i="404"/>
  <c r="P17" i="404"/>
  <c r="N17" i="404"/>
  <c r="M17" i="404"/>
  <c r="J17" i="404"/>
  <c r="P16" i="404"/>
  <c r="N16" i="404"/>
  <c r="M16" i="404"/>
  <c r="J16" i="404"/>
  <c r="P15" i="404"/>
  <c r="N15" i="404"/>
  <c r="M15" i="404"/>
  <c r="J15" i="404"/>
  <c r="P14" i="404"/>
  <c r="N14" i="404"/>
  <c r="M14" i="404"/>
  <c r="J14" i="404"/>
  <c r="P13" i="404"/>
  <c r="N13" i="404"/>
  <c r="M13" i="404"/>
  <c r="J13" i="404"/>
  <c r="P12" i="404"/>
  <c r="N12" i="404"/>
  <c r="M12" i="404"/>
  <c r="J12" i="404"/>
  <c r="P11" i="404"/>
  <c r="N11" i="404"/>
  <c r="M11" i="404"/>
  <c r="J11" i="404"/>
  <c r="P10" i="404"/>
  <c r="N10" i="404"/>
  <c r="M10" i="404"/>
  <c r="J10" i="404"/>
  <c r="P9" i="404"/>
  <c r="N9" i="404"/>
  <c r="M9" i="404"/>
  <c r="J9" i="404"/>
  <c r="P8" i="404"/>
  <c r="N8" i="404"/>
  <c r="M8" i="404"/>
  <c r="J8" i="404"/>
  <c r="P7" i="404"/>
  <c r="N7" i="404"/>
  <c r="M7" i="404"/>
  <c r="J7" i="404"/>
  <c r="P6" i="404"/>
  <c r="N6" i="404"/>
  <c r="M6" i="404"/>
  <c r="J6" i="404"/>
  <c r="P5" i="404"/>
  <c r="O5" i="404" s="1"/>
  <c r="N5" i="404"/>
  <c r="M5" i="404"/>
  <c r="J5" i="404"/>
  <c r="P4" i="404"/>
  <c r="N4" i="404"/>
  <c r="M4" i="404"/>
  <c r="J4" i="404"/>
  <c r="P6" i="403"/>
  <c r="N6" i="403"/>
  <c r="M6" i="403"/>
  <c r="J6" i="403"/>
  <c r="P5" i="403"/>
  <c r="N5" i="403"/>
  <c r="M5" i="403"/>
  <c r="J5" i="403"/>
  <c r="P4" i="403"/>
  <c r="N4" i="403"/>
  <c r="M4" i="403"/>
  <c r="J4" i="403"/>
  <c r="P221" i="402"/>
  <c r="N221" i="402"/>
  <c r="M221" i="402"/>
  <c r="J221" i="402"/>
  <c r="P220" i="402"/>
  <c r="N220" i="402"/>
  <c r="M220" i="402"/>
  <c r="J220" i="402"/>
  <c r="P219" i="402"/>
  <c r="N219" i="402"/>
  <c r="M219" i="402"/>
  <c r="J219" i="402"/>
  <c r="P218" i="402"/>
  <c r="N218" i="402"/>
  <c r="M218" i="402"/>
  <c r="J218" i="402"/>
  <c r="P217" i="402"/>
  <c r="N217" i="402"/>
  <c r="M217" i="402"/>
  <c r="J217" i="402"/>
  <c r="P216" i="402"/>
  <c r="N216" i="402"/>
  <c r="M216" i="402"/>
  <c r="J216" i="402"/>
  <c r="P215" i="402"/>
  <c r="N215" i="402"/>
  <c r="M215" i="402"/>
  <c r="J215" i="402"/>
  <c r="P214" i="402"/>
  <c r="N214" i="402"/>
  <c r="M214" i="402"/>
  <c r="J214" i="402"/>
  <c r="P213" i="402"/>
  <c r="N213" i="402"/>
  <c r="M213" i="402"/>
  <c r="O213" i="402" s="1"/>
  <c r="Q213" i="402" s="1"/>
  <c r="J213" i="402"/>
  <c r="P212" i="402"/>
  <c r="N212" i="402"/>
  <c r="M212" i="402"/>
  <c r="J212" i="402"/>
  <c r="P211" i="402"/>
  <c r="N211" i="402"/>
  <c r="M211" i="402"/>
  <c r="O211" i="402" s="1"/>
  <c r="Q211" i="402" s="1"/>
  <c r="J211" i="402"/>
  <c r="P210" i="402"/>
  <c r="N210" i="402"/>
  <c r="M210" i="402"/>
  <c r="O210" i="402" s="1"/>
  <c r="Q210" i="402" s="1"/>
  <c r="J210" i="402"/>
  <c r="P209" i="402"/>
  <c r="N209" i="402"/>
  <c r="M209" i="402"/>
  <c r="J209" i="402"/>
  <c r="P208" i="402"/>
  <c r="N208" i="402"/>
  <c r="M208" i="402"/>
  <c r="O208" i="402" s="1"/>
  <c r="Q208" i="402" s="1"/>
  <c r="J208" i="402"/>
  <c r="P207" i="402"/>
  <c r="N207" i="402"/>
  <c r="M207" i="402"/>
  <c r="J207" i="402"/>
  <c r="P206" i="402"/>
  <c r="N206" i="402"/>
  <c r="M206" i="402"/>
  <c r="O206" i="402" s="1"/>
  <c r="J206" i="402"/>
  <c r="P205" i="402"/>
  <c r="N205" i="402"/>
  <c r="M205" i="402"/>
  <c r="J205" i="402"/>
  <c r="P204" i="402"/>
  <c r="N204" i="402"/>
  <c r="M204" i="402"/>
  <c r="O204" i="402" s="1"/>
  <c r="J204" i="402"/>
  <c r="P203" i="402"/>
  <c r="N203" i="402"/>
  <c r="M203" i="402"/>
  <c r="J203" i="402"/>
  <c r="P202" i="402"/>
  <c r="N202" i="402"/>
  <c r="M202" i="402"/>
  <c r="J202" i="402"/>
  <c r="P201" i="402"/>
  <c r="N201" i="402"/>
  <c r="M201" i="402"/>
  <c r="J201" i="402"/>
  <c r="P200" i="402"/>
  <c r="N200" i="402"/>
  <c r="M200" i="402"/>
  <c r="J200" i="402"/>
  <c r="P199" i="402"/>
  <c r="N199" i="402"/>
  <c r="M199" i="402"/>
  <c r="J199" i="402"/>
  <c r="P198" i="402"/>
  <c r="N198" i="402"/>
  <c r="M198" i="402"/>
  <c r="J198" i="402"/>
  <c r="P197" i="402"/>
  <c r="N197" i="402"/>
  <c r="M197" i="402"/>
  <c r="J197" i="402"/>
  <c r="P196" i="402"/>
  <c r="N196" i="402"/>
  <c r="M196" i="402"/>
  <c r="J196" i="402"/>
  <c r="P195" i="402"/>
  <c r="N195" i="402"/>
  <c r="M195" i="402"/>
  <c r="O195" i="402" s="1"/>
  <c r="J195" i="402"/>
  <c r="P194" i="402"/>
  <c r="N194" i="402"/>
  <c r="M194" i="402"/>
  <c r="J194" i="402"/>
  <c r="P193" i="402"/>
  <c r="N193" i="402"/>
  <c r="M193" i="402"/>
  <c r="J193" i="402"/>
  <c r="P192" i="402"/>
  <c r="N192" i="402"/>
  <c r="M192" i="402"/>
  <c r="J192" i="402"/>
  <c r="P191" i="402"/>
  <c r="N191" i="402"/>
  <c r="M191" i="402"/>
  <c r="O191" i="402" s="1"/>
  <c r="Q191" i="402" s="1"/>
  <c r="J191" i="402"/>
  <c r="P190" i="402"/>
  <c r="N190" i="402"/>
  <c r="M190" i="402"/>
  <c r="J190" i="402"/>
  <c r="P189" i="402"/>
  <c r="N189" i="402"/>
  <c r="M189" i="402"/>
  <c r="O189" i="402" s="1"/>
  <c r="Q189" i="402" s="1"/>
  <c r="J189" i="402"/>
  <c r="P188" i="402"/>
  <c r="N188" i="402"/>
  <c r="M188" i="402"/>
  <c r="J188" i="402"/>
  <c r="P187" i="402"/>
  <c r="N187" i="402"/>
  <c r="M187" i="402"/>
  <c r="O187" i="402" s="1"/>
  <c r="Q187" i="402" s="1"/>
  <c r="J187" i="402"/>
  <c r="P186" i="402"/>
  <c r="N186" i="402"/>
  <c r="M186" i="402"/>
  <c r="J186" i="402"/>
  <c r="P185" i="402"/>
  <c r="N185" i="402"/>
  <c r="M185" i="402"/>
  <c r="O185" i="402" s="1"/>
  <c r="J185" i="402"/>
  <c r="P184" i="402"/>
  <c r="N184" i="402"/>
  <c r="M184" i="402"/>
  <c r="J184" i="402"/>
  <c r="P183" i="402"/>
  <c r="N183" i="402"/>
  <c r="M183" i="402"/>
  <c r="J183" i="402"/>
  <c r="P182" i="402"/>
  <c r="N182" i="402"/>
  <c r="M182" i="402"/>
  <c r="J182" i="402"/>
  <c r="P181" i="402"/>
  <c r="N181" i="402"/>
  <c r="M181" i="402"/>
  <c r="J181" i="402"/>
  <c r="P180" i="402"/>
  <c r="N180" i="402"/>
  <c r="M180" i="402"/>
  <c r="J180" i="402"/>
  <c r="P179" i="402"/>
  <c r="N179" i="402"/>
  <c r="M179" i="402"/>
  <c r="O179" i="402" s="1"/>
  <c r="J179" i="402"/>
  <c r="P178" i="402"/>
  <c r="N178" i="402"/>
  <c r="M178" i="402"/>
  <c r="J178" i="402"/>
  <c r="P177" i="402"/>
  <c r="N177" i="402"/>
  <c r="M177" i="402"/>
  <c r="J177" i="402"/>
  <c r="P176" i="402"/>
  <c r="N176" i="402"/>
  <c r="M176" i="402"/>
  <c r="J176" i="402"/>
  <c r="P175" i="402"/>
  <c r="N175" i="402"/>
  <c r="M175" i="402"/>
  <c r="O175" i="402" s="1"/>
  <c r="Q175" i="402" s="1"/>
  <c r="J175" i="402"/>
  <c r="P174" i="402"/>
  <c r="N174" i="402"/>
  <c r="M174" i="402"/>
  <c r="J174" i="402"/>
  <c r="P173" i="402"/>
  <c r="N173" i="402"/>
  <c r="M173" i="402"/>
  <c r="O173" i="402" s="1"/>
  <c r="Q173" i="402" s="1"/>
  <c r="J173" i="402"/>
  <c r="P172" i="402"/>
  <c r="N172" i="402"/>
  <c r="M172" i="402"/>
  <c r="J172" i="402"/>
  <c r="P171" i="402"/>
  <c r="N171" i="402"/>
  <c r="M171" i="402"/>
  <c r="O171" i="402" s="1"/>
  <c r="Q171" i="402" s="1"/>
  <c r="J171" i="402"/>
  <c r="P170" i="402"/>
  <c r="N170" i="402"/>
  <c r="M170" i="402"/>
  <c r="J170" i="402"/>
  <c r="P169" i="402"/>
  <c r="N169" i="402"/>
  <c r="M169" i="402"/>
  <c r="O169" i="402" s="1"/>
  <c r="Q169" i="402" s="1"/>
  <c r="J169" i="402"/>
  <c r="P168" i="402"/>
  <c r="N168" i="402"/>
  <c r="M168" i="402"/>
  <c r="J168" i="402"/>
  <c r="P167" i="402"/>
  <c r="N167" i="402"/>
  <c r="M167" i="402"/>
  <c r="J167" i="402"/>
  <c r="P166" i="402"/>
  <c r="N166" i="402"/>
  <c r="M166" i="402"/>
  <c r="J166" i="402"/>
  <c r="P165" i="402"/>
  <c r="N165" i="402"/>
  <c r="M165" i="402"/>
  <c r="J165" i="402"/>
  <c r="P164" i="402"/>
  <c r="N164" i="402"/>
  <c r="M164" i="402"/>
  <c r="J164" i="402"/>
  <c r="P163" i="402"/>
  <c r="N163" i="402"/>
  <c r="M163" i="402"/>
  <c r="O163" i="402" s="1"/>
  <c r="J163" i="402"/>
  <c r="P162" i="402"/>
  <c r="N162" i="402"/>
  <c r="M162" i="402"/>
  <c r="J162" i="402"/>
  <c r="P161" i="402"/>
  <c r="N161" i="402"/>
  <c r="M161" i="402"/>
  <c r="J161" i="402"/>
  <c r="P160" i="402"/>
  <c r="N160" i="402"/>
  <c r="M160" i="402"/>
  <c r="J160" i="402"/>
  <c r="P159" i="402"/>
  <c r="N159" i="402"/>
  <c r="M159" i="402"/>
  <c r="O159" i="402" s="1"/>
  <c r="J159" i="402"/>
  <c r="P158" i="402"/>
  <c r="N158" i="402"/>
  <c r="M158" i="402"/>
  <c r="J158" i="402"/>
  <c r="P157" i="402"/>
  <c r="N157" i="402"/>
  <c r="M157" i="402"/>
  <c r="O157" i="402" s="1"/>
  <c r="J157" i="402"/>
  <c r="P156" i="402"/>
  <c r="N156" i="402"/>
  <c r="M156" i="402"/>
  <c r="J156" i="402"/>
  <c r="P155" i="402"/>
  <c r="N155" i="402"/>
  <c r="M155" i="402"/>
  <c r="J155" i="402"/>
  <c r="P154" i="402"/>
  <c r="N154" i="402"/>
  <c r="M154" i="402"/>
  <c r="J154" i="402"/>
  <c r="P153" i="402"/>
  <c r="N153" i="402"/>
  <c r="M153" i="402"/>
  <c r="O153" i="402" s="1"/>
  <c r="J153" i="402"/>
  <c r="P152" i="402"/>
  <c r="N152" i="402"/>
  <c r="M152" i="402"/>
  <c r="J152" i="402"/>
  <c r="P151" i="402"/>
  <c r="N151" i="402"/>
  <c r="M151" i="402"/>
  <c r="O151" i="402" s="1"/>
  <c r="J151" i="402"/>
  <c r="P150" i="402"/>
  <c r="N150" i="402"/>
  <c r="M150" i="402"/>
  <c r="J150" i="402"/>
  <c r="P149" i="402"/>
  <c r="N149" i="402"/>
  <c r="M149" i="402"/>
  <c r="J149" i="402"/>
  <c r="P148" i="402"/>
  <c r="N148" i="402"/>
  <c r="M148" i="402"/>
  <c r="J148" i="402"/>
  <c r="P147" i="402"/>
  <c r="N147" i="402"/>
  <c r="M147" i="402"/>
  <c r="O147" i="402" s="1"/>
  <c r="J147" i="402"/>
  <c r="P146" i="402"/>
  <c r="N146" i="402"/>
  <c r="M146" i="402"/>
  <c r="J146" i="402"/>
  <c r="P145" i="402"/>
  <c r="N145" i="402"/>
  <c r="M145" i="402"/>
  <c r="J145" i="402"/>
  <c r="P144" i="402"/>
  <c r="N144" i="402"/>
  <c r="M144" i="402"/>
  <c r="J144" i="402"/>
  <c r="P143" i="402"/>
  <c r="N143" i="402"/>
  <c r="M143" i="402"/>
  <c r="J143" i="402"/>
  <c r="P142" i="402"/>
  <c r="N142" i="402"/>
  <c r="M142" i="402"/>
  <c r="J142" i="402"/>
  <c r="P141" i="402"/>
  <c r="N141" i="402"/>
  <c r="M141" i="402"/>
  <c r="O141" i="402" s="1"/>
  <c r="Q141" i="402" s="1"/>
  <c r="J141" i="402"/>
  <c r="P140" i="402"/>
  <c r="N140" i="402"/>
  <c r="M140" i="402"/>
  <c r="J140" i="402"/>
  <c r="P139" i="402"/>
  <c r="N139" i="402"/>
  <c r="M139" i="402"/>
  <c r="J139" i="402"/>
  <c r="P138" i="402"/>
  <c r="N138" i="402"/>
  <c r="M138" i="402"/>
  <c r="J138" i="402"/>
  <c r="P137" i="402"/>
  <c r="N137" i="402"/>
  <c r="M137" i="402"/>
  <c r="J137" i="402"/>
  <c r="P136" i="402"/>
  <c r="N136" i="402"/>
  <c r="M136" i="402"/>
  <c r="J136" i="402"/>
  <c r="P135" i="402"/>
  <c r="N135" i="402"/>
  <c r="M135" i="402"/>
  <c r="J135" i="402"/>
  <c r="P134" i="402"/>
  <c r="N134" i="402"/>
  <c r="M134" i="402"/>
  <c r="J134" i="402"/>
  <c r="P133" i="402"/>
  <c r="N133" i="402"/>
  <c r="M133" i="402"/>
  <c r="J133" i="402"/>
  <c r="P132" i="402"/>
  <c r="N132" i="402"/>
  <c r="M132" i="402"/>
  <c r="J132" i="402"/>
  <c r="P131" i="402"/>
  <c r="N131" i="402"/>
  <c r="M131" i="402"/>
  <c r="J131" i="402"/>
  <c r="P130" i="402"/>
  <c r="N130" i="402"/>
  <c r="M130" i="402"/>
  <c r="J130" i="402"/>
  <c r="P129" i="402"/>
  <c r="N129" i="402"/>
  <c r="M129" i="402"/>
  <c r="J129" i="402"/>
  <c r="P128" i="402"/>
  <c r="N128" i="402"/>
  <c r="M128" i="402"/>
  <c r="J128" i="402"/>
  <c r="P127" i="402"/>
  <c r="N127" i="402"/>
  <c r="M127" i="402"/>
  <c r="J127" i="402"/>
  <c r="P126" i="402"/>
  <c r="N126" i="402"/>
  <c r="M126" i="402"/>
  <c r="J126" i="402"/>
  <c r="P125" i="402"/>
  <c r="N125" i="402"/>
  <c r="M125" i="402"/>
  <c r="J125" i="402"/>
  <c r="P124" i="402"/>
  <c r="N124" i="402"/>
  <c r="M124" i="402"/>
  <c r="J124" i="402"/>
  <c r="P123" i="402"/>
  <c r="N123" i="402"/>
  <c r="M123" i="402"/>
  <c r="J123" i="402"/>
  <c r="P122" i="402"/>
  <c r="N122" i="402"/>
  <c r="M122" i="402"/>
  <c r="J122" i="402"/>
  <c r="P121" i="402"/>
  <c r="N121" i="402"/>
  <c r="M121" i="402"/>
  <c r="J121" i="402"/>
  <c r="P120" i="402"/>
  <c r="N120" i="402"/>
  <c r="M120" i="402"/>
  <c r="J120" i="402"/>
  <c r="P119" i="402"/>
  <c r="N119" i="402"/>
  <c r="M119" i="402"/>
  <c r="J119" i="402"/>
  <c r="P118" i="402"/>
  <c r="N118" i="402"/>
  <c r="M118" i="402"/>
  <c r="J118" i="402"/>
  <c r="P117" i="402"/>
  <c r="N117" i="402"/>
  <c r="M117" i="402"/>
  <c r="J117" i="402"/>
  <c r="P116" i="402"/>
  <c r="N116" i="402"/>
  <c r="M116" i="402"/>
  <c r="J116" i="402"/>
  <c r="P115" i="402"/>
  <c r="N115" i="402"/>
  <c r="M115" i="402"/>
  <c r="J115" i="402"/>
  <c r="P114" i="402"/>
  <c r="N114" i="402"/>
  <c r="M114" i="402"/>
  <c r="J114" i="402"/>
  <c r="P113" i="402"/>
  <c r="N113" i="402"/>
  <c r="M113" i="402"/>
  <c r="J113" i="402"/>
  <c r="P112" i="402"/>
  <c r="N112" i="402"/>
  <c r="M112" i="402"/>
  <c r="J112" i="402"/>
  <c r="P111" i="402"/>
  <c r="N111" i="402"/>
  <c r="M111" i="402"/>
  <c r="J111" i="402"/>
  <c r="P110" i="402"/>
  <c r="N110" i="402"/>
  <c r="M110" i="402"/>
  <c r="J110" i="402"/>
  <c r="P109" i="402"/>
  <c r="N109" i="402"/>
  <c r="M109" i="402"/>
  <c r="J109" i="402"/>
  <c r="P108" i="402"/>
  <c r="N108" i="402"/>
  <c r="M108" i="402"/>
  <c r="J108" i="402"/>
  <c r="P107" i="402"/>
  <c r="N107" i="402"/>
  <c r="M107" i="402"/>
  <c r="J107" i="402"/>
  <c r="P106" i="402"/>
  <c r="N106" i="402"/>
  <c r="M106" i="402"/>
  <c r="J106" i="402"/>
  <c r="P105" i="402"/>
  <c r="N105" i="402"/>
  <c r="M105" i="402"/>
  <c r="J105" i="402"/>
  <c r="P104" i="402"/>
  <c r="N104" i="402"/>
  <c r="M104" i="402"/>
  <c r="J104" i="402"/>
  <c r="P103" i="402"/>
  <c r="N103" i="402"/>
  <c r="M103" i="402"/>
  <c r="J103" i="402"/>
  <c r="P102" i="402"/>
  <c r="N102" i="402"/>
  <c r="M102" i="402"/>
  <c r="J102" i="402"/>
  <c r="P101" i="402"/>
  <c r="N101" i="402"/>
  <c r="M101" i="402"/>
  <c r="J101" i="402"/>
  <c r="P100" i="402"/>
  <c r="N100" i="402"/>
  <c r="M100" i="402"/>
  <c r="J100" i="402"/>
  <c r="P99" i="402"/>
  <c r="N99" i="402"/>
  <c r="M99" i="402"/>
  <c r="J99" i="402"/>
  <c r="P98" i="402"/>
  <c r="N98" i="402"/>
  <c r="M98" i="402"/>
  <c r="J98" i="402"/>
  <c r="P97" i="402"/>
  <c r="N97" i="402"/>
  <c r="M97" i="402"/>
  <c r="J97" i="402"/>
  <c r="P96" i="402"/>
  <c r="N96" i="402"/>
  <c r="M96" i="402"/>
  <c r="J96" i="402"/>
  <c r="P95" i="402"/>
  <c r="N95" i="402"/>
  <c r="M95" i="402"/>
  <c r="J95" i="402"/>
  <c r="P94" i="402"/>
  <c r="N94" i="402"/>
  <c r="M94" i="402"/>
  <c r="J94" i="402"/>
  <c r="P93" i="402"/>
  <c r="N93" i="402"/>
  <c r="M93" i="402"/>
  <c r="J93" i="402"/>
  <c r="P92" i="402"/>
  <c r="N92" i="402"/>
  <c r="M92" i="402"/>
  <c r="J92" i="402"/>
  <c r="P91" i="402"/>
  <c r="N91" i="402"/>
  <c r="M91" i="402"/>
  <c r="J91" i="402"/>
  <c r="P90" i="402"/>
  <c r="N90" i="402"/>
  <c r="M90" i="402"/>
  <c r="J90" i="402"/>
  <c r="P89" i="402"/>
  <c r="N89" i="402"/>
  <c r="M89" i="402"/>
  <c r="J89" i="402"/>
  <c r="P88" i="402"/>
  <c r="N88" i="402"/>
  <c r="M88" i="402"/>
  <c r="J88" i="402"/>
  <c r="P87" i="402"/>
  <c r="N87" i="402"/>
  <c r="M87" i="402"/>
  <c r="J87" i="402"/>
  <c r="P86" i="402"/>
  <c r="N86" i="402"/>
  <c r="M86" i="402"/>
  <c r="J86" i="402"/>
  <c r="P85" i="402"/>
  <c r="N85" i="402"/>
  <c r="M85" i="402"/>
  <c r="J85" i="402"/>
  <c r="P84" i="402"/>
  <c r="N84" i="402"/>
  <c r="M84" i="402"/>
  <c r="J84" i="402"/>
  <c r="P83" i="402"/>
  <c r="N83" i="402"/>
  <c r="M83" i="402"/>
  <c r="J83" i="402"/>
  <c r="P82" i="402"/>
  <c r="N82" i="402"/>
  <c r="M82" i="402"/>
  <c r="J82" i="402"/>
  <c r="P81" i="402"/>
  <c r="N81" i="402"/>
  <c r="M81" i="402"/>
  <c r="J81" i="402"/>
  <c r="P80" i="402"/>
  <c r="N80" i="402"/>
  <c r="M80" i="402"/>
  <c r="J80" i="402"/>
  <c r="P79" i="402"/>
  <c r="N79" i="402"/>
  <c r="M79" i="402"/>
  <c r="J79" i="402"/>
  <c r="P78" i="402"/>
  <c r="N78" i="402"/>
  <c r="M78" i="402"/>
  <c r="J78" i="402"/>
  <c r="P77" i="402"/>
  <c r="N77" i="402"/>
  <c r="M77" i="402"/>
  <c r="P76" i="402"/>
  <c r="N76" i="402"/>
  <c r="M76" i="402"/>
  <c r="J76" i="402"/>
  <c r="P75" i="402"/>
  <c r="N75" i="402"/>
  <c r="M75" i="402"/>
  <c r="J75" i="402"/>
  <c r="P74" i="402"/>
  <c r="N74" i="402"/>
  <c r="M74" i="402"/>
  <c r="J74" i="402"/>
  <c r="P73" i="402"/>
  <c r="N73" i="402"/>
  <c r="M73" i="402"/>
  <c r="J73" i="402"/>
  <c r="P72" i="402"/>
  <c r="N72" i="402"/>
  <c r="M72" i="402"/>
  <c r="J72" i="402"/>
  <c r="P71" i="402"/>
  <c r="N71" i="402"/>
  <c r="M71" i="402"/>
  <c r="J71" i="402"/>
  <c r="P70" i="402"/>
  <c r="N70" i="402"/>
  <c r="M70" i="402"/>
  <c r="J70" i="402"/>
  <c r="P69" i="402"/>
  <c r="N69" i="402"/>
  <c r="M69" i="402"/>
  <c r="J69" i="402"/>
  <c r="P68" i="402"/>
  <c r="N68" i="402"/>
  <c r="M68" i="402"/>
  <c r="J68" i="402"/>
  <c r="P67" i="402"/>
  <c r="N67" i="402"/>
  <c r="M67" i="402"/>
  <c r="J67" i="402"/>
  <c r="P66" i="402"/>
  <c r="N66" i="402"/>
  <c r="M66" i="402"/>
  <c r="J66" i="402"/>
  <c r="P65" i="402"/>
  <c r="N65" i="402"/>
  <c r="M65" i="402"/>
  <c r="J65" i="402"/>
  <c r="P64" i="402"/>
  <c r="N64" i="402"/>
  <c r="M64" i="402"/>
  <c r="J64" i="402"/>
  <c r="P63" i="402"/>
  <c r="N63" i="402"/>
  <c r="M63" i="402"/>
  <c r="J63" i="402"/>
  <c r="P62" i="402"/>
  <c r="N62" i="402"/>
  <c r="M62" i="402"/>
  <c r="J62" i="402"/>
  <c r="P61" i="402"/>
  <c r="N61" i="402"/>
  <c r="M61" i="402"/>
  <c r="J61" i="402"/>
  <c r="P60" i="402"/>
  <c r="N60" i="402"/>
  <c r="M60" i="402"/>
  <c r="J60" i="402"/>
  <c r="P59" i="402"/>
  <c r="N59" i="402"/>
  <c r="M59" i="402"/>
  <c r="J59" i="402"/>
  <c r="P58" i="402"/>
  <c r="N58" i="402"/>
  <c r="M58" i="402"/>
  <c r="J58" i="402"/>
  <c r="P57" i="402"/>
  <c r="N57" i="402"/>
  <c r="M57" i="402"/>
  <c r="J57" i="402"/>
  <c r="P56" i="402"/>
  <c r="N56" i="402"/>
  <c r="M56" i="402"/>
  <c r="J56" i="402"/>
  <c r="P55" i="402"/>
  <c r="N55" i="402"/>
  <c r="M55" i="402"/>
  <c r="J55" i="402"/>
  <c r="P54" i="402"/>
  <c r="N54" i="402"/>
  <c r="M54" i="402"/>
  <c r="J54" i="402"/>
  <c r="P53" i="402"/>
  <c r="N53" i="402"/>
  <c r="M53" i="402"/>
  <c r="J53" i="402"/>
  <c r="P52" i="402"/>
  <c r="N52" i="402"/>
  <c r="M52" i="402"/>
  <c r="J52" i="402"/>
  <c r="P51" i="402"/>
  <c r="N51" i="402"/>
  <c r="M51" i="402"/>
  <c r="J51" i="402"/>
  <c r="P50" i="402"/>
  <c r="N50" i="402"/>
  <c r="M50" i="402"/>
  <c r="J50" i="402"/>
  <c r="P49" i="402"/>
  <c r="N49" i="402"/>
  <c r="M49" i="402"/>
  <c r="J49" i="402"/>
  <c r="P48" i="402"/>
  <c r="N48" i="402"/>
  <c r="M48" i="402"/>
  <c r="J48" i="402"/>
  <c r="P47" i="402"/>
  <c r="N47" i="402"/>
  <c r="M47" i="402"/>
  <c r="J47" i="402"/>
  <c r="P46" i="402"/>
  <c r="N46" i="402"/>
  <c r="M46" i="402"/>
  <c r="J46" i="402"/>
  <c r="P45" i="402"/>
  <c r="N45" i="402"/>
  <c r="M45" i="402"/>
  <c r="J45" i="402"/>
  <c r="P44" i="402"/>
  <c r="N44" i="402"/>
  <c r="M44" i="402"/>
  <c r="J44" i="402"/>
  <c r="P43" i="402"/>
  <c r="N43" i="402"/>
  <c r="M43" i="402"/>
  <c r="J43" i="402"/>
  <c r="P42" i="402"/>
  <c r="N42" i="402"/>
  <c r="M42" i="402"/>
  <c r="J42" i="402"/>
  <c r="P41" i="402"/>
  <c r="N41" i="402"/>
  <c r="M41" i="402"/>
  <c r="J41" i="402"/>
  <c r="P40" i="402"/>
  <c r="N40" i="402"/>
  <c r="M40" i="402"/>
  <c r="J40" i="402"/>
  <c r="P39" i="402"/>
  <c r="N39" i="402"/>
  <c r="M39" i="402"/>
  <c r="J39" i="402"/>
  <c r="P38" i="402"/>
  <c r="N38" i="402"/>
  <c r="M38" i="402"/>
  <c r="J38" i="402"/>
  <c r="P37" i="402"/>
  <c r="N37" i="402"/>
  <c r="M37" i="402"/>
  <c r="J37" i="402"/>
  <c r="P36" i="402"/>
  <c r="N36" i="402"/>
  <c r="M36" i="402"/>
  <c r="J36" i="402"/>
  <c r="P35" i="402"/>
  <c r="N35" i="402"/>
  <c r="M35" i="402"/>
  <c r="J35" i="402"/>
  <c r="P34" i="402"/>
  <c r="N34" i="402"/>
  <c r="M34" i="402"/>
  <c r="J34" i="402"/>
  <c r="P33" i="402"/>
  <c r="N33" i="402"/>
  <c r="M33" i="402"/>
  <c r="J33" i="402"/>
  <c r="P32" i="402"/>
  <c r="N32" i="402"/>
  <c r="M32" i="402"/>
  <c r="J32" i="402"/>
  <c r="P31" i="402"/>
  <c r="N31" i="402"/>
  <c r="M31" i="402"/>
  <c r="J31" i="402"/>
  <c r="P30" i="402"/>
  <c r="N30" i="402"/>
  <c r="M30" i="402"/>
  <c r="J30" i="402"/>
  <c r="P29" i="402"/>
  <c r="N29" i="402"/>
  <c r="M29" i="402"/>
  <c r="J29" i="402"/>
  <c r="P28" i="402"/>
  <c r="N28" i="402"/>
  <c r="M28" i="402"/>
  <c r="J28" i="402"/>
  <c r="P27" i="402"/>
  <c r="N27" i="402"/>
  <c r="M27" i="402"/>
  <c r="J27" i="402"/>
  <c r="P26" i="402"/>
  <c r="N26" i="402"/>
  <c r="M26" i="402"/>
  <c r="J26" i="402"/>
  <c r="P25" i="402"/>
  <c r="N25" i="402"/>
  <c r="M25" i="402"/>
  <c r="J25" i="402"/>
  <c r="P24" i="402"/>
  <c r="N24" i="402"/>
  <c r="M24" i="402"/>
  <c r="J24" i="402"/>
  <c r="P23" i="402"/>
  <c r="N23" i="402"/>
  <c r="M23" i="402"/>
  <c r="J23" i="402"/>
  <c r="P22" i="402"/>
  <c r="N22" i="402"/>
  <c r="M22" i="402"/>
  <c r="J22" i="402"/>
  <c r="P21" i="402"/>
  <c r="N21" i="402"/>
  <c r="M21" i="402"/>
  <c r="J21" i="402"/>
  <c r="P20" i="402"/>
  <c r="N20" i="402"/>
  <c r="M20" i="402"/>
  <c r="J20" i="402"/>
  <c r="P19" i="402"/>
  <c r="N19" i="402"/>
  <c r="M19" i="402"/>
  <c r="J19" i="402"/>
  <c r="P18" i="402"/>
  <c r="N18" i="402"/>
  <c r="M18" i="402"/>
  <c r="J18" i="402"/>
  <c r="P17" i="402"/>
  <c r="N17" i="402"/>
  <c r="M17" i="402"/>
  <c r="J17" i="402"/>
  <c r="P16" i="402"/>
  <c r="N16" i="402"/>
  <c r="M16" i="402"/>
  <c r="J16" i="402"/>
  <c r="P15" i="402"/>
  <c r="N15" i="402"/>
  <c r="M15" i="402"/>
  <c r="J15" i="402"/>
  <c r="P14" i="402"/>
  <c r="N14" i="402"/>
  <c r="M14" i="402"/>
  <c r="J14" i="402"/>
  <c r="P13" i="402"/>
  <c r="N13" i="402"/>
  <c r="M13" i="402"/>
  <c r="J13" i="402"/>
  <c r="P12" i="402"/>
  <c r="N12" i="402"/>
  <c r="M12" i="402"/>
  <c r="J12" i="402"/>
  <c r="P11" i="402"/>
  <c r="N11" i="402"/>
  <c r="M11" i="402"/>
  <c r="J11" i="402"/>
  <c r="P10" i="402"/>
  <c r="N10" i="402"/>
  <c r="M10" i="402"/>
  <c r="J10" i="402"/>
  <c r="P9" i="402"/>
  <c r="N9" i="402"/>
  <c r="M9" i="402"/>
  <c r="J9" i="402"/>
  <c r="P8" i="402"/>
  <c r="N8" i="402"/>
  <c r="M8" i="402"/>
  <c r="J8" i="402"/>
  <c r="P7" i="402"/>
  <c r="N7" i="402"/>
  <c r="M7" i="402"/>
  <c r="J7" i="402"/>
  <c r="P6" i="402"/>
  <c r="N6" i="402"/>
  <c r="M6" i="402"/>
  <c r="J6" i="402"/>
  <c r="P5" i="402"/>
  <c r="N5" i="402"/>
  <c r="M5" i="402"/>
  <c r="J5" i="402"/>
  <c r="P4" i="402"/>
  <c r="N4" i="402"/>
  <c r="M4" i="402"/>
  <c r="J4" i="402"/>
  <c r="J19" i="400"/>
  <c r="M19" i="400"/>
  <c r="N19" i="400"/>
  <c r="P19" i="400"/>
  <c r="J20" i="400"/>
  <c r="M20" i="400"/>
  <c r="N20" i="400"/>
  <c r="P20" i="400"/>
  <c r="P20" i="401"/>
  <c r="N20" i="401"/>
  <c r="M20" i="401"/>
  <c r="O20" i="401" s="1"/>
  <c r="Q20" i="401" s="1"/>
  <c r="J20" i="401"/>
  <c r="P19" i="401"/>
  <c r="N19" i="401"/>
  <c r="M19" i="401"/>
  <c r="J19" i="401"/>
  <c r="P18" i="401"/>
  <c r="N18" i="401"/>
  <c r="M18" i="401"/>
  <c r="O18" i="401" s="1"/>
  <c r="J18" i="401"/>
  <c r="P17" i="401"/>
  <c r="N17" i="401"/>
  <c r="M17" i="401"/>
  <c r="J17" i="401"/>
  <c r="P16" i="401"/>
  <c r="N16" i="401"/>
  <c r="M16" i="401"/>
  <c r="O16" i="401" s="1"/>
  <c r="Q16" i="401" s="1"/>
  <c r="R16" i="401" s="1"/>
  <c r="S16" i="401" s="1"/>
  <c r="J16" i="401"/>
  <c r="P15" i="401"/>
  <c r="O15" i="401" s="1"/>
  <c r="N15" i="401"/>
  <c r="M15" i="401"/>
  <c r="J15" i="401"/>
  <c r="P14" i="401"/>
  <c r="O14" i="401" s="1"/>
  <c r="N14" i="401"/>
  <c r="M14" i="401"/>
  <c r="J14" i="401"/>
  <c r="P13" i="401"/>
  <c r="O13" i="401" s="1"/>
  <c r="N13" i="401"/>
  <c r="M13" i="401"/>
  <c r="J13" i="401"/>
  <c r="P12" i="401"/>
  <c r="O12" i="401" s="1"/>
  <c r="N12" i="401"/>
  <c r="M12" i="401"/>
  <c r="J12" i="401"/>
  <c r="P11" i="401"/>
  <c r="N11" i="401"/>
  <c r="M11" i="401"/>
  <c r="J11" i="401"/>
  <c r="P10" i="401"/>
  <c r="N10" i="401"/>
  <c r="M10" i="401"/>
  <c r="J10" i="401"/>
  <c r="P9" i="401"/>
  <c r="N9" i="401"/>
  <c r="M9" i="401"/>
  <c r="J9" i="401"/>
  <c r="P8" i="401"/>
  <c r="N8" i="401"/>
  <c r="M8" i="401"/>
  <c r="O8" i="401" s="1"/>
  <c r="Q8" i="401" s="1"/>
  <c r="R8" i="401" s="1"/>
  <c r="S8" i="401" s="1"/>
  <c r="J8" i="401"/>
  <c r="P7" i="401"/>
  <c r="N7" i="401"/>
  <c r="M7" i="401"/>
  <c r="J7" i="401"/>
  <c r="P6" i="401"/>
  <c r="N6" i="401"/>
  <c r="M6" i="401"/>
  <c r="J6" i="401"/>
  <c r="P5" i="401"/>
  <c r="N5" i="401"/>
  <c r="M5" i="401"/>
  <c r="J5" i="401"/>
  <c r="P4" i="401"/>
  <c r="N4" i="401"/>
  <c r="M4" i="401"/>
  <c r="J4" i="401"/>
  <c r="P18" i="400"/>
  <c r="N18" i="400"/>
  <c r="M18" i="400"/>
  <c r="J18" i="400"/>
  <c r="P17" i="400"/>
  <c r="N17" i="400"/>
  <c r="M17" i="400"/>
  <c r="J17" i="400"/>
  <c r="P16" i="400"/>
  <c r="N16" i="400"/>
  <c r="M16" i="400"/>
  <c r="J16" i="400"/>
  <c r="P15" i="400"/>
  <c r="N15" i="400"/>
  <c r="M15" i="400"/>
  <c r="J15" i="400"/>
  <c r="P14" i="400"/>
  <c r="N14" i="400"/>
  <c r="M14" i="400"/>
  <c r="J14" i="400"/>
  <c r="P13" i="400"/>
  <c r="N13" i="400"/>
  <c r="M13" i="400"/>
  <c r="J13" i="400"/>
  <c r="P12" i="400"/>
  <c r="N12" i="400"/>
  <c r="M12" i="400"/>
  <c r="J12" i="400"/>
  <c r="P11" i="400"/>
  <c r="N11" i="400"/>
  <c r="M11" i="400"/>
  <c r="J11" i="400"/>
  <c r="P10" i="400"/>
  <c r="N10" i="400"/>
  <c r="M10" i="400"/>
  <c r="J10" i="400"/>
  <c r="P9" i="400"/>
  <c r="N9" i="400"/>
  <c r="M9" i="400"/>
  <c r="J9" i="400"/>
  <c r="P8" i="400"/>
  <c r="N8" i="400"/>
  <c r="M8" i="400"/>
  <c r="J8" i="400"/>
  <c r="P7" i="400"/>
  <c r="N7" i="400"/>
  <c r="M7" i="400"/>
  <c r="J7" i="400"/>
  <c r="P6" i="400"/>
  <c r="N6" i="400"/>
  <c r="M6" i="400"/>
  <c r="J6" i="400"/>
  <c r="P5" i="400"/>
  <c r="N5" i="400"/>
  <c r="M5" i="400"/>
  <c r="J5" i="400"/>
  <c r="P4" i="400"/>
  <c r="N4" i="400"/>
  <c r="M4" i="400"/>
  <c r="J4" i="400"/>
  <c r="P14" i="399"/>
  <c r="N14" i="399"/>
  <c r="M14" i="399"/>
  <c r="J14" i="399"/>
  <c r="P13" i="399"/>
  <c r="N13" i="399"/>
  <c r="M13" i="399"/>
  <c r="J13" i="399"/>
  <c r="P12" i="399"/>
  <c r="N12" i="399"/>
  <c r="M12" i="399"/>
  <c r="J12" i="399"/>
  <c r="P11" i="399"/>
  <c r="N11" i="399"/>
  <c r="M11" i="399"/>
  <c r="J11" i="399"/>
  <c r="P10" i="399"/>
  <c r="N10" i="399"/>
  <c r="M10" i="399"/>
  <c r="J10" i="399"/>
  <c r="P9" i="399"/>
  <c r="O9" i="399" s="1"/>
  <c r="N9" i="399"/>
  <c r="M9" i="399"/>
  <c r="J9" i="399"/>
  <c r="P8" i="399"/>
  <c r="N8" i="399"/>
  <c r="M8" i="399"/>
  <c r="J8" i="399"/>
  <c r="P7" i="399"/>
  <c r="N7" i="399"/>
  <c r="M7" i="399"/>
  <c r="J7" i="399"/>
  <c r="P6" i="399"/>
  <c r="N6" i="399"/>
  <c r="M6" i="399"/>
  <c r="J6" i="399"/>
  <c r="P5" i="399"/>
  <c r="N5" i="399"/>
  <c r="M5" i="399"/>
  <c r="J5" i="399"/>
  <c r="P4" i="399"/>
  <c r="N4" i="399"/>
  <c r="M4" i="399"/>
  <c r="J4" i="399"/>
  <c r="P10" i="398"/>
  <c r="N10" i="398"/>
  <c r="M10" i="398"/>
  <c r="J10" i="398"/>
  <c r="P9" i="398"/>
  <c r="N9" i="398"/>
  <c r="M9" i="398"/>
  <c r="J9" i="398"/>
  <c r="P8" i="398"/>
  <c r="N8" i="398"/>
  <c r="M8" i="398"/>
  <c r="J8" i="398"/>
  <c r="P7" i="398"/>
  <c r="N7" i="398"/>
  <c r="M7" i="398"/>
  <c r="J7" i="398"/>
  <c r="P6" i="398"/>
  <c r="N6" i="398"/>
  <c r="M6" i="398"/>
  <c r="J6" i="398"/>
  <c r="P5" i="398"/>
  <c r="N5" i="398"/>
  <c r="M5" i="398"/>
  <c r="J5" i="398"/>
  <c r="P4" i="398"/>
  <c r="N4" i="398"/>
  <c r="M4" i="398"/>
  <c r="J4" i="398"/>
  <c r="P9" i="397"/>
  <c r="N9" i="397"/>
  <c r="M9" i="397"/>
  <c r="J9" i="397"/>
  <c r="P8" i="397"/>
  <c r="N8" i="397"/>
  <c r="M8" i="397"/>
  <c r="J8" i="397"/>
  <c r="P7" i="397"/>
  <c r="N7" i="397"/>
  <c r="M7" i="397"/>
  <c r="J7" i="397"/>
  <c r="P6" i="397"/>
  <c r="N6" i="397"/>
  <c r="M6" i="397"/>
  <c r="J6" i="397"/>
  <c r="P5" i="397"/>
  <c r="N5" i="397"/>
  <c r="M5" i="397"/>
  <c r="J5" i="397"/>
  <c r="P4" i="397"/>
  <c r="N4" i="397"/>
  <c r="M4" i="397"/>
  <c r="J4" i="397"/>
  <c r="P12" i="396"/>
  <c r="N12" i="396"/>
  <c r="M12" i="396"/>
  <c r="J12" i="396"/>
  <c r="P11" i="396"/>
  <c r="N11" i="396"/>
  <c r="M11" i="396"/>
  <c r="J11" i="396"/>
  <c r="P10" i="396"/>
  <c r="N10" i="396"/>
  <c r="M10" i="396"/>
  <c r="J10" i="396"/>
  <c r="P9" i="396"/>
  <c r="N9" i="396"/>
  <c r="M9" i="396"/>
  <c r="J9" i="396"/>
  <c r="P8" i="396"/>
  <c r="N8" i="396"/>
  <c r="M8" i="396"/>
  <c r="J8" i="396"/>
  <c r="P7" i="396"/>
  <c r="N7" i="396"/>
  <c r="M7" i="396"/>
  <c r="J7" i="396"/>
  <c r="P6" i="396"/>
  <c r="N6" i="396"/>
  <c r="M6" i="396"/>
  <c r="J6" i="396"/>
  <c r="P5" i="396"/>
  <c r="N5" i="396"/>
  <c r="M5" i="396"/>
  <c r="J5" i="396"/>
  <c r="P4" i="396"/>
  <c r="N4" i="396"/>
  <c r="M4" i="396"/>
  <c r="J4" i="396"/>
  <c r="P10" i="395"/>
  <c r="N10" i="395"/>
  <c r="M10" i="395"/>
  <c r="J10" i="395"/>
  <c r="P9" i="395"/>
  <c r="O9" i="395" s="1"/>
  <c r="Q9" i="395" s="1"/>
  <c r="R9" i="395" s="1"/>
  <c r="S9" i="395" s="1"/>
  <c r="N9" i="395"/>
  <c r="M9" i="395"/>
  <c r="J9" i="395"/>
  <c r="P8" i="395"/>
  <c r="O8" i="395" s="1"/>
  <c r="N8" i="395"/>
  <c r="M8" i="395"/>
  <c r="J8" i="395"/>
  <c r="P7" i="395"/>
  <c r="O7" i="395" s="1"/>
  <c r="Q7" i="395" s="1"/>
  <c r="N7" i="395"/>
  <c r="M7" i="395"/>
  <c r="J7" i="395"/>
  <c r="P6" i="395"/>
  <c r="O6" i="395" s="1"/>
  <c r="N6" i="395"/>
  <c r="M6" i="395"/>
  <c r="J6" i="395"/>
  <c r="P5" i="395"/>
  <c r="N5" i="395"/>
  <c r="M5" i="395"/>
  <c r="J5" i="395"/>
  <c r="P4" i="395"/>
  <c r="O4" i="395" s="1"/>
  <c r="N4" i="395"/>
  <c r="M4" i="395"/>
  <c r="J4" i="395"/>
  <c r="P40" i="394"/>
  <c r="N40" i="394"/>
  <c r="M40" i="394"/>
  <c r="J40" i="394"/>
  <c r="P39" i="394"/>
  <c r="N39" i="394"/>
  <c r="M39" i="394"/>
  <c r="J39" i="394"/>
  <c r="P38" i="394"/>
  <c r="O38" i="394" s="1"/>
  <c r="N38" i="394"/>
  <c r="M38" i="394"/>
  <c r="J38" i="394"/>
  <c r="P37" i="394"/>
  <c r="N37" i="394"/>
  <c r="M37" i="394"/>
  <c r="J37" i="394"/>
  <c r="P36" i="394"/>
  <c r="N36" i="394"/>
  <c r="M36" i="394"/>
  <c r="J36" i="394"/>
  <c r="P35" i="394"/>
  <c r="N35" i="394"/>
  <c r="M35" i="394"/>
  <c r="J35" i="394"/>
  <c r="P34" i="394"/>
  <c r="N34" i="394"/>
  <c r="M34" i="394"/>
  <c r="J34" i="394"/>
  <c r="P33" i="394"/>
  <c r="N33" i="394"/>
  <c r="M33" i="394"/>
  <c r="J33" i="394"/>
  <c r="P32" i="394"/>
  <c r="N32" i="394"/>
  <c r="M32" i="394"/>
  <c r="J32" i="394"/>
  <c r="P31" i="394"/>
  <c r="N31" i="394"/>
  <c r="M31" i="394"/>
  <c r="J31" i="394"/>
  <c r="P30" i="394"/>
  <c r="N30" i="394"/>
  <c r="M30" i="394"/>
  <c r="J30" i="394"/>
  <c r="P29" i="394"/>
  <c r="N29" i="394"/>
  <c r="M29" i="394"/>
  <c r="J29" i="394"/>
  <c r="P28" i="394"/>
  <c r="O28" i="394" s="1"/>
  <c r="N28" i="394"/>
  <c r="M28" i="394"/>
  <c r="J28" i="394"/>
  <c r="P27" i="394"/>
  <c r="N27" i="394"/>
  <c r="M27" i="394"/>
  <c r="O27" i="394" s="1"/>
  <c r="Q27" i="394" s="1"/>
  <c r="R27" i="394" s="1"/>
  <c r="S27" i="394" s="1"/>
  <c r="J27" i="394"/>
  <c r="P26" i="394"/>
  <c r="N26" i="394"/>
  <c r="M26" i="394"/>
  <c r="J26" i="394"/>
  <c r="P25" i="394"/>
  <c r="N25" i="394"/>
  <c r="M25" i="394"/>
  <c r="J25" i="394"/>
  <c r="P24" i="394"/>
  <c r="O24" i="394"/>
  <c r="N24" i="394"/>
  <c r="M24" i="394"/>
  <c r="J24" i="394"/>
  <c r="P23" i="394"/>
  <c r="N23" i="394"/>
  <c r="M23" i="394"/>
  <c r="O23" i="394" s="1"/>
  <c r="J23" i="394"/>
  <c r="P22" i="394"/>
  <c r="N22" i="394"/>
  <c r="M22" i="394"/>
  <c r="J22" i="394"/>
  <c r="P21" i="394"/>
  <c r="N21" i="394"/>
  <c r="M21" i="394"/>
  <c r="O21" i="394" s="1"/>
  <c r="J21" i="394"/>
  <c r="P20" i="394"/>
  <c r="N20" i="394"/>
  <c r="M20" i="394"/>
  <c r="J20" i="394"/>
  <c r="P19" i="394"/>
  <c r="N19" i="394"/>
  <c r="M19" i="394"/>
  <c r="O19" i="394" s="1"/>
  <c r="J19" i="394"/>
  <c r="P18" i="394"/>
  <c r="N18" i="394"/>
  <c r="M18" i="394"/>
  <c r="J18" i="394"/>
  <c r="P17" i="394"/>
  <c r="N17" i="394"/>
  <c r="M17" i="394"/>
  <c r="J17" i="394"/>
  <c r="P16" i="394"/>
  <c r="N16" i="394"/>
  <c r="M16" i="394"/>
  <c r="J16" i="394"/>
  <c r="P15" i="394"/>
  <c r="N15" i="394"/>
  <c r="M15" i="394"/>
  <c r="O15" i="394" s="1"/>
  <c r="J15" i="394"/>
  <c r="P14" i="394"/>
  <c r="N14" i="394"/>
  <c r="M14" i="394"/>
  <c r="J14" i="394"/>
  <c r="P13" i="394"/>
  <c r="N13" i="394"/>
  <c r="M13" i="394"/>
  <c r="O13" i="394" s="1"/>
  <c r="J13" i="394"/>
  <c r="P12" i="394"/>
  <c r="N12" i="394"/>
  <c r="M12" i="394"/>
  <c r="J12" i="394"/>
  <c r="P11" i="394"/>
  <c r="N11" i="394"/>
  <c r="M11" i="394"/>
  <c r="O11" i="394" s="1"/>
  <c r="Q11" i="394" s="1"/>
  <c r="J11" i="394"/>
  <c r="P10" i="394"/>
  <c r="N10" i="394"/>
  <c r="M10" i="394"/>
  <c r="J10" i="394"/>
  <c r="P9" i="394"/>
  <c r="N9" i="394"/>
  <c r="M9" i="394"/>
  <c r="O9" i="394" s="1"/>
  <c r="Q9" i="394" s="1"/>
  <c r="J9" i="394"/>
  <c r="P8" i="394"/>
  <c r="O8" i="394" s="1"/>
  <c r="N8" i="394"/>
  <c r="M8" i="394"/>
  <c r="J8" i="394"/>
  <c r="P7" i="394"/>
  <c r="N7" i="394"/>
  <c r="M7" i="394"/>
  <c r="J7" i="394"/>
  <c r="P6" i="394"/>
  <c r="N6" i="394"/>
  <c r="M6" i="394"/>
  <c r="J6" i="394"/>
  <c r="P5" i="394"/>
  <c r="N5" i="394"/>
  <c r="M5" i="394"/>
  <c r="J5" i="394"/>
  <c r="P4" i="394"/>
  <c r="N4" i="394"/>
  <c r="M4" i="394"/>
  <c r="J4" i="394"/>
  <c r="P11" i="393"/>
  <c r="N11" i="393"/>
  <c r="M11" i="393"/>
  <c r="O11" i="393" s="1"/>
  <c r="Q11" i="393" s="1"/>
  <c r="J11" i="393"/>
  <c r="P10" i="393"/>
  <c r="N10" i="393"/>
  <c r="M10" i="393"/>
  <c r="J10" i="393"/>
  <c r="P9" i="393"/>
  <c r="N9" i="393"/>
  <c r="M9" i="393"/>
  <c r="O9" i="393" s="1"/>
  <c r="Q9" i="393" s="1"/>
  <c r="J9" i="393"/>
  <c r="P8" i="393"/>
  <c r="N8" i="393"/>
  <c r="M8" i="393"/>
  <c r="J8" i="393"/>
  <c r="P7" i="393"/>
  <c r="N7" i="393"/>
  <c r="M7" i="393"/>
  <c r="O7" i="393" s="1"/>
  <c r="Q7" i="393" s="1"/>
  <c r="J7" i="393"/>
  <c r="P6" i="393"/>
  <c r="O6" i="393" s="1"/>
  <c r="N6" i="393"/>
  <c r="M6" i="393"/>
  <c r="J6" i="393"/>
  <c r="P5" i="393"/>
  <c r="N5" i="393"/>
  <c r="M5" i="393"/>
  <c r="O5" i="393" s="1"/>
  <c r="Q5" i="393" s="1"/>
  <c r="J5" i="393"/>
  <c r="P4" i="393"/>
  <c r="N4" i="393"/>
  <c r="M4" i="393"/>
  <c r="J4" i="393"/>
  <c r="P13" i="392"/>
  <c r="N13" i="392"/>
  <c r="M13" i="392"/>
  <c r="J13" i="392"/>
  <c r="P12" i="392"/>
  <c r="N12" i="392"/>
  <c r="M12" i="392"/>
  <c r="J12" i="392"/>
  <c r="P11" i="392"/>
  <c r="N11" i="392"/>
  <c r="M11" i="392"/>
  <c r="J11" i="392"/>
  <c r="P10" i="392"/>
  <c r="N10" i="392"/>
  <c r="M10" i="392"/>
  <c r="J10" i="392"/>
  <c r="P9" i="392"/>
  <c r="N9" i="392"/>
  <c r="M9" i="392"/>
  <c r="J9" i="392"/>
  <c r="P8" i="392"/>
  <c r="N8" i="392"/>
  <c r="M8" i="392"/>
  <c r="J8" i="392"/>
  <c r="P7" i="392"/>
  <c r="N7" i="392"/>
  <c r="M7" i="392"/>
  <c r="J7" i="392"/>
  <c r="P6" i="392"/>
  <c r="N6" i="392"/>
  <c r="M6" i="392"/>
  <c r="J6" i="392"/>
  <c r="P5" i="392"/>
  <c r="N5" i="392"/>
  <c r="M5" i="392"/>
  <c r="J5" i="392"/>
  <c r="P4" i="392"/>
  <c r="N4" i="392"/>
  <c r="M4" i="392"/>
  <c r="J4" i="392"/>
  <c r="J9" i="386"/>
  <c r="M9" i="386"/>
  <c r="N9" i="386"/>
  <c r="P9" i="386"/>
  <c r="O9" i="386" s="1"/>
  <c r="P14" i="391"/>
  <c r="N14" i="391"/>
  <c r="M14" i="391"/>
  <c r="O14" i="391" s="1"/>
  <c r="J14" i="391"/>
  <c r="P13" i="391"/>
  <c r="O13" i="391" s="1"/>
  <c r="Q13" i="391" s="1"/>
  <c r="R13" i="391" s="1"/>
  <c r="S13" i="391" s="1"/>
  <c r="N13" i="391"/>
  <c r="M13" i="391"/>
  <c r="J13" i="391"/>
  <c r="P12" i="391"/>
  <c r="N12" i="391"/>
  <c r="M12" i="391"/>
  <c r="O12" i="391" s="1"/>
  <c r="Q12" i="391" s="1"/>
  <c r="R12" i="391" s="1"/>
  <c r="S12" i="391" s="1"/>
  <c r="J12" i="391"/>
  <c r="P11" i="391"/>
  <c r="N11" i="391"/>
  <c r="M11" i="391"/>
  <c r="J11" i="391"/>
  <c r="P10" i="391"/>
  <c r="N10" i="391"/>
  <c r="M10" i="391"/>
  <c r="J10" i="391"/>
  <c r="P9" i="391"/>
  <c r="N9" i="391"/>
  <c r="M9" i="391"/>
  <c r="J9" i="391"/>
  <c r="P8" i="391"/>
  <c r="N8" i="391"/>
  <c r="M8" i="391"/>
  <c r="O8" i="391" s="1"/>
  <c r="Q8" i="391" s="1"/>
  <c r="R8" i="391" s="1"/>
  <c r="S8" i="391" s="1"/>
  <c r="J8" i="391"/>
  <c r="P7" i="391"/>
  <c r="N7" i="391"/>
  <c r="M7" i="391"/>
  <c r="J7" i="391"/>
  <c r="P6" i="391"/>
  <c r="N6" i="391"/>
  <c r="M6" i="391"/>
  <c r="J6" i="391"/>
  <c r="P5" i="391"/>
  <c r="N5" i="391"/>
  <c r="M5" i="391"/>
  <c r="O5" i="391" s="1"/>
  <c r="Q5" i="391" s="1"/>
  <c r="R5" i="391" s="1"/>
  <c r="S5" i="391" s="1"/>
  <c r="J5" i="391"/>
  <c r="P4" i="391"/>
  <c r="N4" i="391"/>
  <c r="M4" i="391"/>
  <c r="J4" i="391"/>
  <c r="P40" i="390"/>
  <c r="N40" i="390"/>
  <c r="M40" i="390"/>
  <c r="J40" i="390"/>
  <c r="P39" i="390"/>
  <c r="N39" i="390"/>
  <c r="M39" i="390"/>
  <c r="O39" i="390" s="1"/>
  <c r="Q39" i="390" s="1"/>
  <c r="J39" i="390"/>
  <c r="P38" i="390"/>
  <c r="N38" i="390"/>
  <c r="M38" i="390"/>
  <c r="J38" i="390"/>
  <c r="P37" i="390"/>
  <c r="N37" i="390"/>
  <c r="M37" i="390"/>
  <c r="O37" i="390" s="1"/>
  <c r="Q37" i="390" s="1"/>
  <c r="J37" i="390"/>
  <c r="P36" i="390"/>
  <c r="N36" i="390"/>
  <c r="M36" i="390"/>
  <c r="J36" i="390"/>
  <c r="P35" i="390"/>
  <c r="N35" i="390"/>
  <c r="M35" i="390"/>
  <c r="O35" i="390" s="1"/>
  <c r="Q35" i="390" s="1"/>
  <c r="J35" i="390"/>
  <c r="P34" i="390"/>
  <c r="N34" i="390"/>
  <c r="M34" i="390"/>
  <c r="J34" i="390"/>
  <c r="P33" i="390"/>
  <c r="N33" i="390"/>
  <c r="M33" i="390"/>
  <c r="O33" i="390" s="1"/>
  <c r="Q33" i="390" s="1"/>
  <c r="J33" i="390"/>
  <c r="P32" i="390"/>
  <c r="N32" i="390"/>
  <c r="M32" i="390"/>
  <c r="J32" i="390"/>
  <c r="P31" i="390"/>
  <c r="N31" i="390"/>
  <c r="M31" i="390"/>
  <c r="O31" i="390" s="1"/>
  <c r="Q31" i="390" s="1"/>
  <c r="J31" i="390"/>
  <c r="P30" i="390"/>
  <c r="N30" i="390"/>
  <c r="M30" i="390"/>
  <c r="J30" i="390"/>
  <c r="P29" i="390"/>
  <c r="N29" i="390"/>
  <c r="M29" i="390"/>
  <c r="J29" i="390"/>
  <c r="P28" i="390"/>
  <c r="N28" i="390"/>
  <c r="M28" i="390"/>
  <c r="J28" i="390"/>
  <c r="P27" i="390"/>
  <c r="N27" i="390"/>
  <c r="M27" i="390"/>
  <c r="J27" i="390"/>
  <c r="P26" i="390"/>
  <c r="N26" i="390"/>
  <c r="M26" i="390"/>
  <c r="J26" i="390"/>
  <c r="P25" i="390"/>
  <c r="N25" i="390"/>
  <c r="M25" i="390"/>
  <c r="J25" i="390"/>
  <c r="P24" i="390"/>
  <c r="N24" i="390"/>
  <c r="M24" i="390"/>
  <c r="J24" i="390"/>
  <c r="P23" i="390"/>
  <c r="N23" i="390"/>
  <c r="M23" i="390"/>
  <c r="J23" i="390"/>
  <c r="P22" i="390"/>
  <c r="N22" i="390"/>
  <c r="M22" i="390"/>
  <c r="J22" i="390"/>
  <c r="P21" i="390"/>
  <c r="N21" i="390"/>
  <c r="M21" i="390"/>
  <c r="J21" i="390"/>
  <c r="P20" i="390"/>
  <c r="N20" i="390"/>
  <c r="M20" i="390"/>
  <c r="J20" i="390"/>
  <c r="P19" i="390"/>
  <c r="N19" i="390"/>
  <c r="M19" i="390"/>
  <c r="J19" i="390"/>
  <c r="P18" i="390"/>
  <c r="N18" i="390"/>
  <c r="M18" i="390"/>
  <c r="J18" i="390"/>
  <c r="P17" i="390"/>
  <c r="N17" i="390"/>
  <c r="M17" i="390"/>
  <c r="J17" i="390"/>
  <c r="P16" i="390"/>
  <c r="N16" i="390"/>
  <c r="M16" i="390"/>
  <c r="J16" i="390"/>
  <c r="P15" i="390"/>
  <c r="N15" i="390"/>
  <c r="M15" i="390"/>
  <c r="J15" i="390"/>
  <c r="P14" i="390"/>
  <c r="N14" i="390"/>
  <c r="M14" i="390"/>
  <c r="J14" i="390"/>
  <c r="P13" i="390"/>
  <c r="N13" i="390"/>
  <c r="M13" i="390"/>
  <c r="J13" i="390"/>
  <c r="P12" i="390"/>
  <c r="N12" i="390"/>
  <c r="M12" i="390"/>
  <c r="J12" i="390"/>
  <c r="P11" i="390"/>
  <c r="N11" i="390"/>
  <c r="M11" i="390"/>
  <c r="J11" i="390"/>
  <c r="P10" i="390"/>
  <c r="N10" i="390"/>
  <c r="M10" i="390"/>
  <c r="J10" i="390"/>
  <c r="P9" i="390"/>
  <c r="N9" i="390"/>
  <c r="M9" i="390"/>
  <c r="J9" i="390"/>
  <c r="P8" i="390"/>
  <c r="N8" i="390"/>
  <c r="M8" i="390"/>
  <c r="J8" i="390"/>
  <c r="P7" i="390"/>
  <c r="N7" i="390"/>
  <c r="M7" i="390"/>
  <c r="J7" i="390"/>
  <c r="P6" i="390"/>
  <c r="N6" i="390"/>
  <c r="M6" i="390"/>
  <c r="J6" i="390"/>
  <c r="P5" i="390"/>
  <c r="N5" i="390"/>
  <c r="M5" i="390"/>
  <c r="J5" i="390"/>
  <c r="P4" i="390"/>
  <c r="N4" i="390"/>
  <c r="M4" i="390"/>
  <c r="J4" i="390"/>
  <c r="P24" i="389"/>
  <c r="O24" i="389"/>
  <c r="Q24" i="389" s="1"/>
  <c r="R24" i="389" s="1"/>
  <c r="S24" i="389" s="1"/>
  <c r="N24" i="389"/>
  <c r="M24" i="389"/>
  <c r="J24" i="389"/>
  <c r="P23" i="389"/>
  <c r="N23" i="389"/>
  <c r="M23" i="389"/>
  <c r="O23" i="389" s="1"/>
  <c r="Q23" i="389" s="1"/>
  <c r="J23" i="389"/>
  <c r="P22" i="389"/>
  <c r="N22" i="389"/>
  <c r="M22" i="389"/>
  <c r="J22" i="389"/>
  <c r="P21" i="389"/>
  <c r="N21" i="389"/>
  <c r="M21" i="389"/>
  <c r="O21" i="389" s="1"/>
  <c r="J21" i="389"/>
  <c r="P20" i="389"/>
  <c r="N20" i="389"/>
  <c r="M20" i="389"/>
  <c r="O20" i="389" s="1"/>
  <c r="J20" i="389"/>
  <c r="P19" i="389"/>
  <c r="N19" i="389"/>
  <c r="M19" i="389"/>
  <c r="O19" i="389" s="1"/>
  <c r="Q19" i="389" s="1"/>
  <c r="R19" i="389" s="1"/>
  <c r="S19" i="389" s="1"/>
  <c r="J19" i="389"/>
  <c r="P18" i="389"/>
  <c r="N18" i="389"/>
  <c r="M18" i="389"/>
  <c r="O18" i="389" s="1"/>
  <c r="Q18" i="389" s="1"/>
  <c r="R18" i="389" s="1"/>
  <c r="S18" i="389" s="1"/>
  <c r="J18" i="389"/>
  <c r="P17" i="389"/>
  <c r="N17" i="389"/>
  <c r="M17" i="389"/>
  <c r="O17" i="389" s="1"/>
  <c r="Q17" i="389" s="1"/>
  <c r="R17" i="389" s="1"/>
  <c r="S17" i="389" s="1"/>
  <c r="J17" i="389"/>
  <c r="P16" i="389"/>
  <c r="N16" i="389"/>
  <c r="M16" i="389"/>
  <c r="O16" i="389" s="1"/>
  <c r="Q16" i="389" s="1"/>
  <c r="R16" i="389" s="1"/>
  <c r="S16" i="389" s="1"/>
  <c r="J16" i="389"/>
  <c r="P15" i="389"/>
  <c r="N15" i="389"/>
  <c r="M15" i="389"/>
  <c r="J15" i="389"/>
  <c r="P14" i="389"/>
  <c r="N14" i="389"/>
  <c r="M14" i="389"/>
  <c r="J14" i="389"/>
  <c r="P13" i="389"/>
  <c r="N13" i="389"/>
  <c r="M13" i="389"/>
  <c r="J13" i="389"/>
  <c r="P12" i="389"/>
  <c r="N12" i="389"/>
  <c r="M12" i="389"/>
  <c r="O12" i="389" s="1"/>
  <c r="J12" i="389"/>
  <c r="P11" i="389"/>
  <c r="O11" i="389"/>
  <c r="N11" i="389"/>
  <c r="M11" i="389"/>
  <c r="J11" i="389"/>
  <c r="P10" i="389"/>
  <c r="N10" i="389"/>
  <c r="M10" i="389"/>
  <c r="O10" i="389" s="1"/>
  <c r="Q10" i="389" s="1"/>
  <c r="J10" i="389"/>
  <c r="P9" i="389"/>
  <c r="N9" i="389"/>
  <c r="M9" i="389"/>
  <c r="J9" i="389"/>
  <c r="P8" i="389"/>
  <c r="N8" i="389"/>
  <c r="M8" i="389"/>
  <c r="O8" i="389" s="1"/>
  <c r="Q8" i="389" s="1"/>
  <c r="J8" i="389"/>
  <c r="P7" i="389"/>
  <c r="N7" i="389"/>
  <c r="M7" i="389"/>
  <c r="J7" i="389"/>
  <c r="P6" i="389"/>
  <c r="N6" i="389"/>
  <c r="M6" i="389"/>
  <c r="O6" i="389" s="1"/>
  <c r="Q6" i="389" s="1"/>
  <c r="J6" i="389"/>
  <c r="P5" i="389"/>
  <c r="O5" i="389" s="1"/>
  <c r="N5" i="389"/>
  <c r="M5" i="389"/>
  <c r="J5" i="389"/>
  <c r="P4" i="389"/>
  <c r="N4" i="389"/>
  <c r="M4" i="389"/>
  <c r="O4" i="389" s="1"/>
  <c r="Q4" i="389" s="1"/>
  <c r="J4" i="389"/>
  <c r="P14" i="388"/>
  <c r="N14" i="388"/>
  <c r="M14" i="388"/>
  <c r="O14" i="388" s="1"/>
  <c r="Q14" i="388" s="1"/>
  <c r="J14" i="388"/>
  <c r="P13" i="388"/>
  <c r="N13" i="388"/>
  <c r="M13" i="388"/>
  <c r="J13" i="388"/>
  <c r="P12" i="388"/>
  <c r="N12" i="388"/>
  <c r="M12" i="388"/>
  <c r="O12" i="388" s="1"/>
  <c r="J12" i="388"/>
  <c r="P11" i="388"/>
  <c r="N11" i="388"/>
  <c r="M11" i="388"/>
  <c r="J11" i="388"/>
  <c r="P10" i="388"/>
  <c r="N10" i="388"/>
  <c r="M10" i="388"/>
  <c r="O10" i="388" s="1"/>
  <c r="J10" i="388"/>
  <c r="P9" i="388"/>
  <c r="N9" i="388"/>
  <c r="M9" i="388"/>
  <c r="O9" i="388" s="1"/>
  <c r="Q9" i="388" s="1"/>
  <c r="J9" i="388"/>
  <c r="P8" i="388"/>
  <c r="N8" i="388"/>
  <c r="M8" i="388"/>
  <c r="J8" i="388"/>
  <c r="P7" i="388"/>
  <c r="N7" i="388"/>
  <c r="M7" i="388"/>
  <c r="O7" i="388" s="1"/>
  <c r="J7" i="388"/>
  <c r="P6" i="388"/>
  <c r="N6" i="388"/>
  <c r="M6" i="388"/>
  <c r="J6" i="388"/>
  <c r="P5" i="388"/>
  <c r="N5" i="388"/>
  <c r="M5" i="388"/>
  <c r="O5" i="388" s="1"/>
  <c r="Q5" i="388" s="1"/>
  <c r="J5" i="388"/>
  <c r="P4" i="388"/>
  <c r="N4" i="388"/>
  <c r="M4" i="388"/>
  <c r="J4" i="388"/>
  <c r="P31" i="387"/>
  <c r="N31" i="387"/>
  <c r="M31" i="387"/>
  <c r="J31" i="387"/>
  <c r="P30" i="387"/>
  <c r="N30" i="387"/>
  <c r="M30" i="387"/>
  <c r="O30" i="387" s="1"/>
  <c r="J30" i="387"/>
  <c r="P29" i="387"/>
  <c r="O29" i="387" s="1"/>
  <c r="N29" i="387"/>
  <c r="M29" i="387"/>
  <c r="J29" i="387"/>
  <c r="P28" i="387"/>
  <c r="N28" i="387"/>
  <c r="M28" i="387"/>
  <c r="J28" i="387"/>
  <c r="P27" i="387"/>
  <c r="N27" i="387"/>
  <c r="M27" i="387"/>
  <c r="J27" i="387"/>
  <c r="P26" i="387"/>
  <c r="N26" i="387"/>
  <c r="M26" i="387"/>
  <c r="J26" i="387"/>
  <c r="P25" i="387"/>
  <c r="N25" i="387"/>
  <c r="M25" i="387"/>
  <c r="J25" i="387"/>
  <c r="P24" i="387"/>
  <c r="N24" i="387"/>
  <c r="M24" i="387"/>
  <c r="J24" i="387"/>
  <c r="P23" i="387"/>
  <c r="O23" i="387" s="1"/>
  <c r="N23" i="387"/>
  <c r="M23" i="387"/>
  <c r="J23" i="387"/>
  <c r="P22" i="387"/>
  <c r="N22" i="387"/>
  <c r="M22" i="387"/>
  <c r="J22" i="387"/>
  <c r="P21" i="387"/>
  <c r="N21" i="387"/>
  <c r="M21" i="387"/>
  <c r="J21" i="387"/>
  <c r="P20" i="387"/>
  <c r="N20" i="387"/>
  <c r="M20" i="387"/>
  <c r="J20" i="387"/>
  <c r="P19" i="387"/>
  <c r="N19" i="387"/>
  <c r="M19" i="387"/>
  <c r="J19" i="387"/>
  <c r="P18" i="387"/>
  <c r="N18" i="387"/>
  <c r="M18" i="387"/>
  <c r="J18" i="387"/>
  <c r="P17" i="387"/>
  <c r="N17" i="387"/>
  <c r="M17" i="387"/>
  <c r="J17" i="387"/>
  <c r="P16" i="387"/>
  <c r="N16" i="387"/>
  <c r="M16" i="387"/>
  <c r="J16" i="387"/>
  <c r="P15" i="387"/>
  <c r="N15" i="387"/>
  <c r="M15" i="387"/>
  <c r="J15" i="387"/>
  <c r="P14" i="387"/>
  <c r="N14" i="387"/>
  <c r="M14" i="387"/>
  <c r="J14" i="387"/>
  <c r="P13" i="387"/>
  <c r="N13" i="387"/>
  <c r="M13" i="387"/>
  <c r="J13" i="387"/>
  <c r="P12" i="387"/>
  <c r="N12" i="387"/>
  <c r="M12" i="387"/>
  <c r="J12" i="387"/>
  <c r="P11" i="387"/>
  <c r="N11" i="387"/>
  <c r="M11" i="387"/>
  <c r="J11" i="387"/>
  <c r="P10" i="387"/>
  <c r="N10" i="387"/>
  <c r="M10" i="387"/>
  <c r="J10" i="387"/>
  <c r="P9" i="387"/>
  <c r="N9" i="387"/>
  <c r="M9" i="387"/>
  <c r="J9" i="387"/>
  <c r="P8" i="387"/>
  <c r="N8" i="387"/>
  <c r="M8" i="387"/>
  <c r="J8" i="387"/>
  <c r="P7" i="387"/>
  <c r="N7" i="387"/>
  <c r="M7" i="387"/>
  <c r="J7" i="387"/>
  <c r="P6" i="387"/>
  <c r="N6" i="387"/>
  <c r="M6" i="387"/>
  <c r="J6" i="387"/>
  <c r="P5" i="387"/>
  <c r="N5" i="387"/>
  <c r="M5" i="387"/>
  <c r="J5" i="387"/>
  <c r="P4" i="387"/>
  <c r="N4" i="387"/>
  <c r="M4" i="387"/>
  <c r="O4" i="387" s="1"/>
  <c r="Q4" i="387" s="1"/>
  <c r="J4" i="387"/>
  <c r="P133" i="386"/>
  <c r="N133" i="386"/>
  <c r="M133" i="386"/>
  <c r="J133" i="386"/>
  <c r="P132" i="386"/>
  <c r="N132" i="386"/>
  <c r="M132" i="386"/>
  <c r="J132" i="386"/>
  <c r="P131" i="386"/>
  <c r="N131" i="386"/>
  <c r="M131" i="386"/>
  <c r="J131" i="386"/>
  <c r="P130" i="386"/>
  <c r="N130" i="386"/>
  <c r="M130" i="386"/>
  <c r="J130" i="386"/>
  <c r="P129" i="386"/>
  <c r="N129" i="386"/>
  <c r="M129" i="386"/>
  <c r="J129" i="386"/>
  <c r="P128" i="386"/>
  <c r="N128" i="386"/>
  <c r="M128" i="386"/>
  <c r="J128" i="386"/>
  <c r="P127" i="386"/>
  <c r="N127" i="386"/>
  <c r="M127" i="386"/>
  <c r="J127" i="386"/>
  <c r="P126" i="386"/>
  <c r="N126" i="386"/>
  <c r="M126" i="386"/>
  <c r="J126" i="386"/>
  <c r="P125" i="386"/>
  <c r="N125" i="386"/>
  <c r="M125" i="386"/>
  <c r="J125" i="386"/>
  <c r="P124" i="386"/>
  <c r="N124" i="386"/>
  <c r="M124" i="386"/>
  <c r="J124" i="386"/>
  <c r="P123" i="386"/>
  <c r="N123" i="386"/>
  <c r="M123" i="386"/>
  <c r="J123" i="386"/>
  <c r="P122" i="386"/>
  <c r="N122" i="386"/>
  <c r="M122" i="386"/>
  <c r="J122" i="386"/>
  <c r="P121" i="386"/>
  <c r="N121" i="386"/>
  <c r="M121" i="386"/>
  <c r="J121" i="386"/>
  <c r="P120" i="386"/>
  <c r="N120" i="386"/>
  <c r="M120" i="386"/>
  <c r="J120" i="386"/>
  <c r="P119" i="386"/>
  <c r="N119" i="386"/>
  <c r="M119" i="386"/>
  <c r="J119" i="386"/>
  <c r="P118" i="386"/>
  <c r="N118" i="386"/>
  <c r="M118" i="386"/>
  <c r="J118" i="386"/>
  <c r="P117" i="386"/>
  <c r="N117" i="386"/>
  <c r="M117" i="386"/>
  <c r="J117" i="386"/>
  <c r="P116" i="386"/>
  <c r="N116" i="386"/>
  <c r="M116" i="386"/>
  <c r="J116" i="386"/>
  <c r="P115" i="386"/>
  <c r="N115" i="386"/>
  <c r="M115" i="386"/>
  <c r="J115" i="386"/>
  <c r="P114" i="386"/>
  <c r="N114" i="386"/>
  <c r="M114" i="386"/>
  <c r="J114" i="386"/>
  <c r="P113" i="386"/>
  <c r="N113" i="386"/>
  <c r="M113" i="386"/>
  <c r="J113" i="386"/>
  <c r="P112" i="386"/>
  <c r="N112" i="386"/>
  <c r="M112" i="386"/>
  <c r="J112" i="386"/>
  <c r="P111" i="386"/>
  <c r="N111" i="386"/>
  <c r="M111" i="386"/>
  <c r="J111" i="386"/>
  <c r="P110" i="386"/>
  <c r="N110" i="386"/>
  <c r="M110" i="386"/>
  <c r="J110" i="386"/>
  <c r="P109" i="386"/>
  <c r="N109" i="386"/>
  <c r="M109" i="386"/>
  <c r="J109" i="386"/>
  <c r="P108" i="386"/>
  <c r="N108" i="386"/>
  <c r="M108" i="386"/>
  <c r="J108" i="386"/>
  <c r="P107" i="386"/>
  <c r="N107" i="386"/>
  <c r="M107" i="386"/>
  <c r="J107" i="386"/>
  <c r="P106" i="386"/>
  <c r="N106" i="386"/>
  <c r="M106" i="386"/>
  <c r="J106" i="386"/>
  <c r="P105" i="386"/>
  <c r="N105" i="386"/>
  <c r="M105" i="386"/>
  <c r="J105" i="386"/>
  <c r="P104" i="386"/>
  <c r="N104" i="386"/>
  <c r="M104" i="386"/>
  <c r="J104" i="386"/>
  <c r="P103" i="386"/>
  <c r="N103" i="386"/>
  <c r="M103" i="386"/>
  <c r="J103" i="386"/>
  <c r="P102" i="386"/>
  <c r="N102" i="386"/>
  <c r="M102" i="386"/>
  <c r="J102" i="386"/>
  <c r="P101" i="386"/>
  <c r="N101" i="386"/>
  <c r="M101" i="386"/>
  <c r="J101" i="386"/>
  <c r="P100" i="386"/>
  <c r="N100" i="386"/>
  <c r="M100" i="386"/>
  <c r="J100" i="386"/>
  <c r="P99" i="386"/>
  <c r="N99" i="386"/>
  <c r="M99" i="386"/>
  <c r="J99" i="386"/>
  <c r="P98" i="386"/>
  <c r="N98" i="386"/>
  <c r="M98" i="386"/>
  <c r="J98" i="386"/>
  <c r="P97" i="386"/>
  <c r="N97" i="386"/>
  <c r="M97" i="386"/>
  <c r="J97" i="386"/>
  <c r="P96" i="386"/>
  <c r="N96" i="386"/>
  <c r="M96" i="386"/>
  <c r="J96" i="386"/>
  <c r="P95" i="386"/>
  <c r="N95" i="386"/>
  <c r="M95" i="386"/>
  <c r="J95" i="386"/>
  <c r="P94" i="386"/>
  <c r="N94" i="386"/>
  <c r="M94" i="386"/>
  <c r="J94" i="386"/>
  <c r="P93" i="386"/>
  <c r="N93" i="386"/>
  <c r="M93" i="386"/>
  <c r="J93" i="386"/>
  <c r="P92" i="386"/>
  <c r="N92" i="386"/>
  <c r="M92" i="386"/>
  <c r="J92" i="386"/>
  <c r="P91" i="386"/>
  <c r="N91" i="386"/>
  <c r="M91" i="386"/>
  <c r="J91" i="386"/>
  <c r="P90" i="386"/>
  <c r="N90" i="386"/>
  <c r="M90" i="386"/>
  <c r="J90" i="386"/>
  <c r="P89" i="386"/>
  <c r="N89" i="386"/>
  <c r="M89" i="386"/>
  <c r="J89" i="386"/>
  <c r="P88" i="386"/>
  <c r="N88" i="386"/>
  <c r="M88" i="386"/>
  <c r="J88" i="386"/>
  <c r="P87" i="386"/>
  <c r="N87" i="386"/>
  <c r="M87" i="386"/>
  <c r="J87" i="386"/>
  <c r="P86" i="386"/>
  <c r="N86" i="386"/>
  <c r="M86" i="386"/>
  <c r="J86" i="386"/>
  <c r="P85" i="386"/>
  <c r="O85" i="386" s="1"/>
  <c r="N85" i="386"/>
  <c r="M85" i="386"/>
  <c r="J85" i="386"/>
  <c r="P84" i="386"/>
  <c r="N84" i="386"/>
  <c r="M84" i="386"/>
  <c r="J84" i="386"/>
  <c r="P83" i="386"/>
  <c r="N83" i="386"/>
  <c r="M83" i="386"/>
  <c r="J83" i="386"/>
  <c r="P82" i="386"/>
  <c r="N82" i="386"/>
  <c r="M82" i="386"/>
  <c r="J82" i="386"/>
  <c r="P81" i="386"/>
  <c r="N81" i="386"/>
  <c r="M81" i="386"/>
  <c r="J81" i="386"/>
  <c r="P80" i="386"/>
  <c r="N80" i="386"/>
  <c r="M80" i="386"/>
  <c r="J80" i="386"/>
  <c r="P79" i="386"/>
  <c r="O79" i="386" s="1"/>
  <c r="N79" i="386"/>
  <c r="M79" i="386"/>
  <c r="J79" i="386"/>
  <c r="P78" i="386"/>
  <c r="N78" i="386"/>
  <c r="M78" i="386"/>
  <c r="J78" i="386"/>
  <c r="P77" i="386"/>
  <c r="O77" i="386" s="1"/>
  <c r="N77" i="386"/>
  <c r="M77" i="386"/>
  <c r="J77" i="386"/>
  <c r="P76" i="386"/>
  <c r="N76" i="386"/>
  <c r="M76" i="386"/>
  <c r="J76" i="386"/>
  <c r="P75" i="386"/>
  <c r="N75" i="386"/>
  <c r="M75" i="386"/>
  <c r="J75" i="386"/>
  <c r="P74" i="386"/>
  <c r="N74" i="386"/>
  <c r="M74" i="386"/>
  <c r="J74" i="386"/>
  <c r="P73" i="386"/>
  <c r="N73" i="386"/>
  <c r="M73" i="386"/>
  <c r="O73" i="386" s="1"/>
  <c r="Q73" i="386" s="1"/>
  <c r="J73" i="386"/>
  <c r="P72" i="386"/>
  <c r="N72" i="386"/>
  <c r="M72" i="386"/>
  <c r="J72" i="386"/>
  <c r="P71" i="386"/>
  <c r="N71" i="386"/>
  <c r="M71" i="386"/>
  <c r="O71" i="386" s="1"/>
  <c r="J71" i="386"/>
  <c r="P70" i="386"/>
  <c r="N70" i="386"/>
  <c r="M70" i="386"/>
  <c r="J70" i="386"/>
  <c r="P69" i="386"/>
  <c r="N69" i="386"/>
  <c r="M69" i="386"/>
  <c r="J69" i="386"/>
  <c r="P68" i="386"/>
  <c r="N68" i="386"/>
  <c r="M68" i="386"/>
  <c r="J68" i="386"/>
  <c r="P67" i="386"/>
  <c r="N67" i="386"/>
  <c r="M67" i="386"/>
  <c r="O67" i="386" s="1"/>
  <c r="Q67" i="386" s="1"/>
  <c r="J67" i="386"/>
  <c r="P66" i="386"/>
  <c r="N66" i="386"/>
  <c r="M66" i="386"/>
  <c r="J66" i="386"/>
  <c r="P65" i="386"/>
  <c r="N65" i="386"/>
  <c r="M65" i="386"/>
  <c r="O65" i="386" s="1"/>
  <c r="J65" i="386"/>
  <c r="P64" i="386"/>
  <c r="N64" i="386"/>
  <c r="M64" i="386"/>
  <c r="J64" i="386"/>
  <c r="P63" i="386"/>
  <c r="N63" i="386"/>
  <c r="M63" i="386"/>
  <c r="O63" i="386" s="1"/>
  <c r="J63" i="386"/>
  <c r="P62" i="386"/>
  <c r="N62" i="386"/>
  <c r="M62" i="386"/>
  <c r="J62" i="386"/>
  <c r="P61" i="386"/>
  <c r="N61" i="386"/>
  <c r="M61" i="386"/>
  <c r="J61" i="386"/>
  <c r="P60" i="386"/>
  <c r="N60" i="386"/>
  <c r="M60" i="386"/>
  <c r="J60" i="386"/>
  <c r="P59" i="386"/>
  <c r="N59" i="386"/>
  <c r="M59" i="386"/>
  <c r="J59" i="386"/>
  <c r="P58" i="386"/>
  <c r="N58" i="386"/>
  <c r="M58" i="386"/>
  <c r="J58" i="386"/>
  <c r="P57" i="386"/>
  <c r="N57" i="386"/>
  <c r="M57" i="386"/>
  <c r="J57" i="386"/>
  <c r="P56" i="386"/>
  <c r="N56" i="386"/>
  <c r="M56" i="386"/>
  <c r="J56" i="386"/>
  <c r="P55" i="386"/>
  <c r="N55" i="386"/>
  <c r="M55" i="386"/>
  <c r="J55" i="386"/>
  <c r="P54" i="386"/>
  <c r="N54" i="386"/>
  <c r="M54" i="386"/>
  <c r="J54" i="386"/>
  <c r="P53" i="386"/>
  <c r="N53" i="386"/>
  <c r="M53" i="386"/>
  <c r="J53" i="386"/>
  <c r="P52" i="386"/>
  <c r="N52" i="386"/>
  <c r="M52" i="386"/>
  <c r="J52" i="386"/>
  <c r="P51" i="386"/>
  <c r="N51" i="386"/>
  <c r="M51" i="386"/>
  <c r="J51" i="386"/>
  <c r="P50" i="386"/>
  <c r="N50" i="386"/>
  <c r="M50" i="386"/>
  <c r="J50" i="386"/>
  <c r="P49" i="386"/>
  <c r="N49" i="386"/>
  <c r="M49" i="386"/>
  <c r="J49" i="386"/>
  <c r="P48" i="386"/>
  <c r="N48" i="386"/>
  <c r="M48" i="386"/>
  <c r="J48" i="386"/>
  <c r="P47" i="386"/>
  <c r="N47" i="386"/>
  <c r="M47" i="386"/>
  <c r="O47" i="386" s="1"/>
  <c r="J47" i="386"/>
  <c r="P46" i="386"/>
  <c r="N46" i="386"/>
  <c r="M46" i="386"/>
  <c r="J46" i="386"/>
  <c r="P45" i="386"/>
  <c r="N45" i="386"/>
  <c r="M45" i="386"/>
  <c r="J45" i="386"/>
  <c r="P44" i="386"/>
  <c r="N44" i="386"/>
  <c r="M44" i="386"/>
  <c r="J44" i="386"/>
  <c r="P43" i="386"/>
  <c r="N43" i="386"/>
  <c r="M43" i="386"/>
  <c r="O43" i="386" s="1"/>
  <c r="Q43" i="386" s="1"/>
  <c r="J43" i="386"/>
  <c r="P42" i="386"/>
  <c r="N42" i="386"/>
  <c r="M42" i="386"/>
  <c r="J42" i="386"/>
  <c r="P41" i="386"/>
  <c r="N41" i="386"/>
  <c r="M41" i="386"/>
  <c r="O41" i="386" s="1"/>
  <c r="Q41" i="386" s="1"/>
  <c r="J41" i="386"/>
  <c r="P40" i="386"/>
  <c r="N40" i="386"/>
  <c r="M40" i="386"/>
  <c r="J40" i="386"/>
  <c r="P39" i="386"/>
  <c r="N39" i="386"/>
  <c r="M39" i="386"/>
  <c r="J39" i="386"/>
  <c r="P38" i="386"/>
  <c r="N38" i="386"/>
  <c r="M38" i="386"/>
  <c r="J38" i="386"/>
  <c r="P37" i="386"/>
  <c r="N37" i="386"/>
  <c r="M37" i="386"/>
  <c r="J37" i="386"/>
  <c r="P36" i="386"/>
  <c r="N36" i="386"/>
  <c r="M36" i="386"/>
  <c r="J36" i="386"/>
  <c r="P35" i="386"/>
  <c r="N35" i="386"/>
  <c r="M35" i="386"/>
  <c r="O35" i="386" s="1"/>
  <c r="Q35" i="386" s="1"/>
  <c r="J35" i="386"/>
  <c r="P34" i="386"/>
  <c r="N34" i="386"/>
  <c r="M34" i="386"/>
  <c r="J34" i="386"/>
  <c r="P33" i="386"/>
  <c r="N33" i="386"/>
  <c r="M33" i="386"/>
  <c r="O33" i="386" s="1"/>
  <c r="J33" i="386"/>
  <c r="P32" i="386"/>
  <c r="N32" i="386"/>
  <c r="M32" i="386"/>
  <c r="J32" i="386"/>
  <c r="P31" i="386"/>
  <c r="N31" i="386"/>
  <c r="M31" i="386"/>
  <c r="O31" i="386" s="1"/>
  <c r="J31" i="386"/>
  <c r="P30" i="386"/>
  <c r="N30" i="386"/>
  <c r="M30" i="386"/>
  <c r="P29" i="386"/>
  <c r="N29" i="386"/>
  <c r="M29" i="386"/>
  <c r="J29" i="386"/>
  <c r="P28" i="386"/>
  <c r="N28" i="386"/>
  <c r="M28" i="386"/>
  <c r="J28" i="386"/>
  <c r="P27" i="386"/>
  <c r="N27" i="386"/>
  <c r="M27" i="386"/>
  <c r="J27" i="386"/>
  <c r="P26" i="386"/>
  <c r="N26" i="386"/>
  <c r="M26" i="386"/>
  <c r="J26" i="386"/>
  <c r="P25" i="386"/>
  <c r="N25" i="386"/>
  <c r="M25" i="386"/>
  <c r="J25" i="386"/>
  <c r="P24" i="386"/>
  <c r="N24" i="386"/>
  <c r="M24" i="386"/>
  <c r="J24" i="386"/>
  <c r="P23" i="386"/>
  <c r="N23" i="386"/>
  <c r="M23" i="386"/>
  <c r="J23" i="386"/>
  <c r="P22" i="386"/>
  <c r="N22" i="386"/>
  <c r="M22" i="386"/>
  <c r="J22" i="386"/>
  <c r="P21" i="386"/>
  <c r="N21" i="386"/>
  <c r="M21" i="386"/>
  <c r="J21" i="386"/>
  <c r="P20" i="386"/>
  <c r="N20" i="386"/>
  <c r="M20" i="386"/>
  <c r="O20" i="386" s="1"/>
  <c r="J20" i="386"/>
  <c r="P19" i="386"/>
  <c r="N19" i="386"/>
  <c r="M19" i="386"/>
  <c r="J19" i="386"/>
  <c r="P18" i="386"/>
  <c r="N18" i="386"/>
  <c r="M18" i="386"/>
  <c r="J18" i="386"/>
  <c r="P17" i="386"/>
  <c r="N17" i="386"/>
  <c r="M17" i="386"/>
  <c r="O17" i="386" s="1"/>
  <c r="J17" i="386"/>
  <c r="P16" i="386"/>
  <c r="N16" i="386"/>
  <c r="M16" i="386"/>
  <c r="J16" i="386"/>
  <c r="P15" i="386"/>
  <c r="N15" i="386"/>
  <c r="M15" i="386"/>
  <c r="O15" i="386" s="1"/>
  <c r="Q15" i="386" s="1"/>
  <c r="J15" i="386"/>
  <c r="P14" i="386"/>
  <c r="N14" i="386"/>
  <c r="M14" i="386"/>
  <c r="J14" i="386"/>
  <c r="P13" i="386"/>
  <c r="N13" i="386"/>
  <c r="M13" i="386"/>
  <c r="J13" i="386"/>
  <c r="P12" i="386"/>
  <c r="N12" i="386"/>
  <c r="M12" i="386"/>
  <c r="J12" i="386"/>
  <c r="P11" i="386"/>
  <c r="N11" i="386"/>
  <c r="M11" i="386"/>
  <c r="J11" i="386"/>
  <c r="P10" i="386"/>
  <c r="N10" i="386"/>
  <c r="M10" i="386"/>
  <c r="J10" i="386"/>
  <c r="P8" i="386"/>
  <c r="N8" i="386"/>
  <c r="M8" i="386"/>
  <c r="J8" i="386"/>
  <c r="P7" i="386"/>
  <c r="N7" i="386"/>
  <c r="M7" i="386"/>
  <c r="J7" i="386"/>
  <c r="P6" i="386"/>
  <c r="N6" i="386"/>
  <c r="M6" i="386"/>
  <c r="J6" i="386"/>
  <c r="P5" i="386"/>
  <c r="N5" i="386"/>
  <c r="M5" i="386"/>
  <c r="J5" i="386"/>
  <c r="P4" i="386"/>
  <c r="N4" i="386"/>
  <c r="M4" i="386"/>
  <c r="J4" i="386"/>
  <c r="P141" i="385"/>
  <c r="N141" i="385"/>
  <c r="M141" i="385"/>
  <c r="J141" i="385"/>
  <c r="P140" i="385"/>
  <c r="N140" i="385"/>
  <c r="M140" i="385"/>
  <c r="J140" i="385"/>
  <c r="P139" i="385"/>
  <c r="N139" i="385"/>
  <c r="M139" i="385"/>
  <c r="J139" i="385"/>
  <c r="P138" i="385"/>
  <c r="N138" i="385"/>
  <c r="M138" i="385"/>
  <c r="J138" i="385"/>
  <c r="P137" i="385"/>
  <c r="N137" i="385"/>
  <c r="M137" i="385"/>
  <c r="J137" i="385"/>
  <c r="P136" i="385"/>
  <c r="N136" i="385"/>
  <c r="M136" i="385"/>
  <c r="J136" i="385"/>
  <c r="P135" i="385"/>
  <c r="N135" i="385"/>
  <c r="M135" i="385"/>
  <c r="J135" i="385"/>
  <c r="P134" i="385"/>
  <c r="N134" i="385"/>
  <c r="M134" i="385"/>
  <c r="J134" i="385"/>
  <c r="P133" i="385"/>
  <c r="N133" i="385"/>
  <c r="M133" i="385"/>
  <c r="J133" i="385"/>
  <c r="P132" i="385"/>
  <c r="N132" i="385"/>
  <c r="M132" i="385"/>
  <c r="J132" i="385"/>
  <c r="P131" i="385"/>
  <c r="N131" i="385"/>
  <c r="M131" i="385"/>
  <c r="J131" i="385"/>
  <c r="P130" i="385"/>
  <c r="N130" i="385"/>
  <c r="M130" i="385"/>
  <c r="J130" i="385"/>
  <c r="P129" i="385"/>
  <c r="N129" i="385"/>
  <c r="M129" i="385"/>
  <c r="J129" i="385"/>
  <c r="P128" i="385"/>
  <c r="N128" i="385"/>
  <c r="M128" i="385"/>
  <c r="J128" i="385"/>
  <c r="P127" i="385"/>
  <c r="N127" i="385"/>
  <c r="M127" i="385"/>
  <c r="J127" i="385"/>
  <c r="P126" i="385"/>
  <c r="N126" i="385"/>
  <c r="M126" i="385"/>
  <c r="J126" i="385"/>
  <c r="P125" i="385"/>
  <c r="N125" i="385"/>
  <c r="M125" i="385"/>
  <c r="J125" i="385"/>
  <c r="P124" i="385"/>
  <c r="N124" i="385"/>
  <c r="M124" i="385"/>
  <c r="J124" i="385"/>
  <c r="P123" i="385"/>
  <c r="N123" i="385"/>
  <c r="M123" i="385"/>
  <c r="J123" i="385"/>
  <c r="P122" i="385"/>
  <c r="N122" i="385"/>
  <c r="M122" i="385"/>
  <c r="J122" i="385"/>
  <c r="P121" i="385"/>
  <c r="N121" i="385"/>
  <c r="M121" i="385"/>
  <c r="J121" i="385"/>
  <c r="P120" i="385"/>
  <c r="N120" i="385"/>
  <c r="M120" i="385"/>
  <c r="J120" i="385"/>
  <c r="P119" i="385"/>
  <c r="N119" i="385"/>
  <c r="M119" i="385"/>
  <c r="J119" i="385"/>
  <c r="P118" i="385"/>
  <c r="N118" i="385"/>
  <c r="M118" i="385"/>
  <c r="J118" i="385"/>
  <c r="P117" i="385"/>
  <c r="N117" i="385"/>
  <c r="M117" i="385"/>
  <c r="J117" i="385"/>
  <c r="P116" i="385"/>
  <c r="N116" i="385"/>
  <c r="M116" i="385"/>
  <c r="J116" i="385"/>
  <c r="P115" i="385"/>
  <c r="N115" i="385"/>
  <c r="M115" i="385"/>
  <c r="J115" i="385"/>
  <c r="P114" i="385"/>
  <c r="N114" i="385"/>
  <c r="M114" i="385"/>
  <c r="J114" i="385"/>
  <c r="P113" i="385"/>
  <c r="N113" i="385"/>
  <c r="M113" i="385"/>
  <c r="J113" i="385"/>
  <c r="P112" i="385"/>
  <c r="N112" i="385"/>
  <c r="M112" i="385"/>
  <c r="J112" i="385"/>
  <c r="P111" i="385"/>
  <c r="N111" i="385"/>
  <c r="M111" i="385"/>
  <c r="J111" i="385"/>
  <c r="P110" i="385"/>
  <c r="N110" i="385"/>
  <c r="M110" i="385"/>
  <c r="J110" i="385"/>
  <c r="P109" i="385"/>
  <c r="N109" i="385"/>
  <c r="M109" i="385"/>
  <c r="J109" i="385"/>
  <c r="P108" i="385"/>
  <c r="N108" i="385"/>
  <c r="M108" i="385"/>
  <c r="O108" i="385" s="1"/>
  <c r="J108" i="385"/>
  <c r="P107" i="385"/>
  <c r="N107" i="385"/>
  <c r="M107" i="385"/>
  <c r="J107" i="385"/>
  <c r="P106" i="385"/>
  <c r="N106" i="385"/>
  <c r="M106" i="385"/>
  <c r="O106" i="385" s="1"/>
  <c r="J106" i="385"/>
  <c r="P105" i="385"/>
  <c r="N105" i="385"/>
  <c r="M105" i="385"/>
  <c r="J105" i="385"/>
  <c r="P104" i="385"/>
  <c r="N104" i="385"/>
  <c r="M104" i="385"/>
  <c r="J104" i="385"/>
  <c r="P103" i="385"/>
  <c r="N103" i="385"/>
  <c r="M103" i="385"/>
  <c r="J103" i="385"/>
  <c r="P102" i="385"/>
  <c r="N102" i="385"/>
  <c r="M102" i="385"/>
  <c r="J102" i="385"/>
  <c r="P101" i="385"/>
  <c r="N101" i="385"/>
  <c r="M101" i="385"/>
  <c r="J101" i="385"/>
  <c r="P100" i="385"/>
  <c r="N100" i="385"/>
  <c r="M100" i="385"/>
  <c r="J100" i="385"/>
  <c r="P99" i="385"/>
  <c r="N99" i="385"/>
  <c r="M99" i="385"/>
  <c r="J99" i="385"/>
  <c r="P98" i="385"/>
  <c r="N98" i="385"/>
  <c r="M98" i="385"/>
  <c r="J98" i="385"/>
  <c r="P97" i="385"/>
  <c r="N97" i="385"/>
  <c r="M97" i="385"/>
  <c r="J97" i="385"/>
  <c r="P96" i="385"/>
  <c r="N96" i="385"/>
  <c r="M96" i="385"/>
  <c r="O96" i="385" s="1"/>
  <c r="J96" i="385"/>
  <c r="P95" i="385"/>
  <c r="N95" i="385"/>
  <c r="M95" i="385"/>
  <c r="J95" i="385"/>
  <c r="P94" i="385"/>
  <c r="N94" i="385"/>
  <c r="M94" i="385"/>
  <c r="O94" i="385" s="1"/>
  <c r="J94" i="385"/>
  <c r="P93" i="385"/>
  <c r="N93" i="385"/>
  <c r="M93" i="385"/>
  <c r="J93" i="385"/>
  <c r="P92" i="385"/>
  <c r="N92" i="385"/>
  <c r="M92" i="385"/>
  <c r="J92" i="385"/>
  <c r="P91" i="385"/>
  <c r="N91" i="385"/>
  <c r="M91" i="385"/>
  <c r="J91" i="385"/>
  <c r="P90" i="385"/>
  <c r="N90" i="385"/>
  <c r="M90" i="385"/>
  <c r="J90" i="385"/>
  <c r="P89" i="385"/>
  <c r="N89" i="385"/>
  <c r="M89" i="385"/>
  <c r="J89" i="385"/>
  <c r="P88" i="385"/>
  <c r="N88" i="385"/>
  <c r="M88" i="385"/>
  <c r="O88" i="385" s="1"/>
  <c r="J88" i="385"/>
  <c r="P87" i="385"/>
  <c r="N87" i="385"/>
  <c r="M87" i="385"/>
  <c r="J87" i="385"/>
  <c r="P86" i="385"/>
  <c r="N86" i="385"/>
  <c r="M86" i="385"/>
  <c r="O86" i="385" s="1"/>
  <c r="J86" i="385"/>
  <c r="P85" i="385"/>
  <c r="N85" i="385"/>
  <c r="M85" i="385"/>
  <c r="J85" i="385"/>
  <c r="P84" i="385"/>
  <c r="N84" i="385"/>
  <c r="M84" i="385"/>
  <c r="O84" i="385" s="1"/>
  <c r="J84" i="385"/>
  <c r="P83" i="385"/>
  <c r="N83" i="385"/>
  <c r="M83" i="385"/>
  <c r="J83" i="385"/>
  <c r="P82" i="385"/>
  <c r="N82" i="385"/>
  <c r="M82" i="385"/>
  <c r="O82" i="385" s="1"/>
  <c r="J82" i="385"/>
  <c r="P81" i="385"/>
  <c r="N81" i="385"/>
  <c r="M81" i="385"/>
  <c r="J81" i="385"/>
  <c r="P80" i="385"/>
  <c r="N80" i="385"/>
  <c r="M80" i="385"/>
  <c r="J80" i="385"/>
  <c r="P79" i="385"/>
  <c r="N79" i="385"/>
  <c r="M79" i="385"/>
  <c r="J79" i="385"/>
  <c r="P78" i="385"/>
  <c r="N78" i="385"/>
  <c r="M78" i="385"/>
  <c r="J78" i="385"/>
  <c r="P77" i="385"/>
  <c r="N77" i="385"/>
  <c r="M77" i="385"/>
  <c r="J77" i="385"/>
  <c r="P76" i="385"/>
  <c r="N76" i="385"/>
  <c r="M76" i="385"/>
  <c r="J76" i="385"/>
  <c r="P75" i="385"/>
  <c r="N75" i="385"/>
  <c r="M75" i="385"/>
  <c r="J75" i="385"/>
  <c r="P74" i="385"/>
  <c r="N74" i="385"/>
  <c r="M74" i="385"/>
  <c r="O74" i="385" s="1"/>
  <c r="J74" i="385"/>
  <c r="P73" i="385"/>
  <c r="N73" i="385"/>
  <c r="M73" i="385"/>
  <c r="J73" i="385"/>
  <c r="P72" i="385"/>
  <c r="N72" i="385"/>
  <c r="M72" i="385"/>
  <c r="O72" i="385" s="1"/>
  <c r="J72" i="385"/>
  <c r="P71" i="385"/>
  <c r="N71" i="385"/>
  <c r="M71" i="385"/>
  <c r="J71" i="385"/>
  <c r="P70" i="385"/>
  <c r="N70" i="385"/>
  <c r="M70" i="385"/>
  <c r="J70" i="385"/>
  <c r="P69" i="385"/>
  <c r="N69" i="385"/>
  <c r="M69" i="385"/>
  <c r="J69" i="385"/>
  <c r="P68" i="385"/>
  <c r="N68" i="385"/>
  <c r="M68" i="385"/>
  <c r="J68" i="385"/>
  <c r="P67" i="385"/>
  <c r="N67" i="385"/>
  <c r="M67" i="385"/>
  <c r="J67" i="385"/>
  <c r="P66" i="385"/>
  <c r="N66" i="385"/>
  <c r="M66" i="385"/>
  <c r="J66" i="385"/>
  <c r="P65" i="385"/>
  <c r="N65" i="385"/>
  <c r="M65" i="385"/>
  <c r="J65" i="385"/>
  <c r="P64" i="385"/>
  <c r="N64" i="385"/>
  <c r="M64" i="385"/>
  <c r="J64" i="385"/>
  <c r="P63" i="385"/>
  <c r="N63" i="385"/>
  <c r="M63" i="385"/>
  <c r="J63" i="385"/>
  <c r="P62" i="385"/>
  <c r="N62" i="385"/>
  <c r="M62" i="385"/>
  <c r="J62" i="385"/>
  <c r="P61" i="385"/>
  <c r="N61" i="385"/>
  <c r="M61" i="385"/>
  <c r="J61" i="385"/>
  <c r="P60" i="385"/>
  <c r="N60" i="385"/>
  <c r="M60" i="385"/>
  <c r="J60" i="385"/>
  <c r="P59" i="385"/>
  <c r="N59" i="385"/>
  <c r="M59" i="385"/>
  <c r="J59" i="385"/>
  <c r="P58" i="385"/>
  <c r="N58" i="385"/>
  <c r="M58" i="385"/>
  <c r="J58" i="385"/>
  <c r="P57" i="385"/>
  <c r="N57" i="385"/>
  <c r="M57" i="385"/>
  <c r="J57" i="385"/>
  <c r="P56" i="385"/>
  <c r="N56" i="385"/>
  <c r="M56" i="385"/>
  <c r="J56" i="385"/>
  <c r="P55" i="385"/>
  <c r="N55" i="385"/>
  <c r="M55" i="385"/>
  <c r="J55" i="385"/>
  <c r="P54" i="385"/>
  <c r="N54" i="385"/>
  <c r="M54" i="385"/>
  <c r="J54" i="385"/>
  <c r="P53" i="385"/>
  <c r="N53" i="385"/>
  <c r="M53" i="385"/>
  <c r="J53" i="385"/>
  <c r="P52" i="385"/>
  <c r="N52" i="385"/>
  <c r="M52" i="385"/>
  <c r="J52" i="385"/>
  <c r="P51" i="385"/>
  <c r="N51" i="385"/>
  <c r="M51" i="385"/>
  <c r="J51" i="385"/>
  <c r="P50" i="385"/>
  <c r="N50" i="385"/>
  <c r="M50" i="385"/>
  <c r="J50" i="385"/>
  <c r="P49" i="385"/>
  <c r="N49" i="385"/>
  <c r="M49" i="385"/>
  <c r="J49" i="385"/>
  <c r="P48" i="385"/>
  <c r="N48" i="385"/>
  <c r="M48" i="385"/>
  <c r="J48" i="385"/>
  <c r="P47" i="385"/>
  <c r="N47" i="385"/>
  <c r="M47" i="385"/>
  <c r="J47" i="385"/>
  <c r="P46" i="385"/>
  <c r="N46" i="385"/>
  <c r="M46" i="385"/>
  <c r="J46" i="385"/>
  <c r="P45" i="385"/>
  <c r="N45" i="385"/>
  <c r="M45" i="385"/>
  <c r="J45" i="385"/>
  <c r="P44" i="385"/>
  <c r="N44" i="385"/>
  <c r="M44" i="385"/>
  <c r="J44" i="385"/>
  <c r="P43" i="385"/>
  <c r="N43" i="385"/>
  <c r="M43" i="385"/>
  <c r="J43" i="385"/>
  <c r="P42" i="385"/>
  <c r="N42" i="385"/>
  <c r="M42" i="385"/>
  <c r="J42" i="385"/>
  <c r="P41" i="385"/>
  <c r="N41" i="385"/>
  <c r="M41" i="385"/>
  <c r="J41" i="385"/>
  <c r="P40" i="385"/>
  <c r="N40" i="385"/>
  <c r="M40" i="385"/>
  <c r="J40" i="385"/>
  <c r="P39" i="385"/>
  <c r="N39" i="385"/>
  <c r="M39" i="385"/>
  <c r="J39" i="385"/>
  <c r="P38" i="385"/>
  <c r="N38" i="385"/>
  <c r="M38" i="385"/>
  <c r="J38" i="385"/>
  <c r="P37" i="385"/>
  <c r="N37" i="385"/>
  <c r="M37" i="385"/>
  <c r="J37" i="385"/>
  <c r="P36" i="385"/>
  <c r="N36" i="385"/>
  <c r="M36" i="385"/>
  <c r="J36" i="385"/>
  <c r="P35" i="385"/>
  <c r="N35" i="385"/>
  <c r="M35" i="385"/>
  <c r="J35" i="385"/>
  <c r="P34" i="385"/>
  <c r="N34" i="385"/>
  <c r="M34" i="385"/>
  <c r="J34" i="385"/>
  <c r="P33" i="385"/>
  <c r="N33" i="385"/>
  <c r="M33" i="385"/>
  <c r="J33" i="385"/>
  <c r="P32" i="385"/>
  <c r="N32" i="385"/>
  <c r="M32" i="385"/>
  <c r="J32" i="385"/>
  <c r="P31" i="385"/>
  <c r="N31" i="385"/>
  <c r="M31" i="385"/>
  <c r="J31" i="385"/>
  <c r="P30" i="385"/>
  <c r="N30" i="385"/>
  <c r="M30" i="385"/>
  <c r="J30" i="385"/>
  <c r="P29" i="385"/>
  <c r="N29" i="385"/>
  <c r="M29" i="385"/>
  <c r="J29" i="385"/>
  <c r="P28" i="385"/>
  <c r="N28" i="385"/>
  <c r="M28" i="385"/>
  <c r="J28" i="385"/>
  <c r="P27" i="385"/>
  <c r="N27" i="385"/>
  <c r="M27" i="385"/>
  <c r="J27" i="385"/>
  <c r="P26" i="385"/>
  <c r="N26" i="385"/>
  <c r="M26" i="385"/>
  <c r="J26" i="385"/>
  <c r="P25" i="385"/>
  <c r="N25" i="385"/>
  <c r="M25" i="385"/>
  <c r="J25" i="385"/>
  <c r="P24" i="385"/>
  <c r="N24" i="385"/>
  <c r="M24" i="385"/>
  <c r="J24" i="385"/>
  <c r="P23" i="385"/>
  <c r="N23" i="385"/>
  <c r="M23" i="385"/>
  <c r="J23" i="385"/>
  <c r="P22" i="385"/>
  <c r="N22" i="385"/>
  <c r="M22" i="385"/>
  <c r="J22" i="385"/>
  <c r="P21" i="385"/>
  <c r="N21" i="385"/>
  <c r="M21" i="385"/>
  <c r="J21" i="385"/>
  <c r="P20" i="385"/>
  <c r="N20" i="385"/>
  <c r="M20" i="385"/>
  <c r="J20" i="385"/>
  <c r="P19" i="385"/>
  <c r="N19" i="385"/>
  <c r="M19" i="385"/>
  <c r="J19" i="385"/>
  <c r="P18" i="385"/>
  <c r="N18" i="385"/>
  <c r="M18" i="385"/>
  <c r="J18" i="385"/>
  <c r="P17" i="385"/>
  <c r="N17" i="385"/>
  <c r="M17" i="385"/>
  <c r="J17" i="385"/>
  <c r="P16" i="385"/>
  <c r="N16" i="385"/>
  <c r="M16" i="385"/>
  <c r="J16" i="385"/>
  <c r="P15" i="385"/>
  <c r="N15" i="385"/>
  <c r="M15" i="385"/>
  <c r="J15" i="385"/>
  <c r="P14" i="385"/>
  <c r="N14" i="385"/>
  <c r="M14" i="385"/>
  <c r="J14" i="385"/>
  <c r="P13" i="385"/>
  <c r="N13" i="385"/>
  <c r="M13" i="385"/>
  <c r="J13" i="385"/>
  <c r="P12" i="385"/>
  <c r="N12" i="385"/>
  <c r="M12" i="385"/>
  <c r="J12" i="385"/>
  <c r="P11" i="385"/>
  <c r="N11" i="385"/>
  <c r="M11" i="385"/>
  <c r="J11" i="385"/>
  <c r="P10" i="385"/>
  <c r="N10" i="385"/>
  <c r="M10" i="385"/>
  <c r="J10" i="385"/>
  <c r="P9" i="385"/>
  <c r="N9" i="385"/>
  <c r="M9" i="385"/>
  <c r="J9" i="385"/>
  <c r="P8" i="385"/>
  <c r="N8" i="385"/>
  <c r="M8" i="385"/>
  <c r="J8" i="385"/>
  <c r="P7" i="385"/>
  <c r="N7" i="385"/>
  <c r="M7" i="385"/>
  <c r="J7" i="385"/>
  <c r="P6" i="385"/>
  <c r="N6" i="385"/>
  <c r="M6" i="385"/>
  <c r="J6" i="385"/>
  <c r="P5" i="385"/>
  <c r="N5" i="385"/>
  <c r="M5" i="385"/>
  <c r="J5" i="385"/>
  <c r="P4" i="385"/>
  <c r="N4" i="385"/>
  <c r="M4" i="385"/>
  <c r="J4" i="385"/>
  <c r="P97" i="384"/>
  <c r="N97" i="384"/>
  <c r="M97" i="384"/>
  <c r="J97" i="384"/>
  <c r="P96" i="384"/>
  <c r="N96" i="384"/>
  <c r="M96" i="384"/>
  <c r="O96" i="384" s="1"/>
  <c r="J96" i="384"/>
  <c r="P95" i="384"/>
  <c r="N95" i="384"/>
  <c r="M95" i="384"/>
  <c r="O95" i="384" s="1"/>
  <c r="J95" i="384"/>
  <c r="P94" i="384"/>
  <c r="N94" i="384"/>
  <c r="M94" i="384"/>
  <c r="O94" i="384" s="1"/>
  <c r="J94" i="384"/>
  <c r="P93" i="384"/>
  <c r="N93" i="384"/>
  <c r="M93" i="384"/>
  <c r="O93" i="384" s="1"/>
  <c r="J93" i="384"/>
  <c r="P92" i="384"/>
  <c r="N92" i="384"/>
  <c r="M92" i="384"/>
  <c r="J92" i="384"/>
  <c r="P91" i="384"/>
  <c r="N91" i="384"/>
  <c r="M91" i="384"/>
  <c r="J91" i="384"/>
  <c r="P90" i="384"/>
  <c r="N90" i="384"/>
  <c r="M90" i="384"/>
  <c r="J90" i="384"/>
  <c r="P89" i="384"/>
  <c r="N89" i="384"/>
  <c r="M89" i="384"/>
  <c r="J89" i="384"/>
  <c r="P88" i="384"/>
  <c r="N88" i="384"/>
  <c r="M88" i="384"/>
  <c r="J88" i="384"/>
  <c r="P87" i="384"/>
  <c r="N87" i="384"/>
  <c r="M87" i="384"/>
  <c r="J87" i="384"/>
  <c r="P86" i="384"/>
  <c r="N86" i="384"/>
  <c r="M86" i="384"/>
  <c r="J86" i="384"/>
  <c r="P85" i="384"/>
  <c r="N85" i="384"/>
  <c r="M85" i="384"/>
  <c r="O85" i="384" s="1"/>
  <c r="J85" i="384"/>
  <c r="P84" i="384"/>
  <c r="N84" i="384"/>
  <c r="M84" i="384"/>
  <c r="J84" i="384"/>
  <c r="P83" i="384"/>
  <c r="N83" i="384"/>
  <c r="M83" i="384"/>
  <c r="O83" i="384" s="1"/>
  <c r="J83" i="384"/>
  <c r="P82" i="384"/>
  <c r="N82" i="384"/>
  <c r="M82" i="384"/>
  <c r="J82" i="384"/>
  <c r="P81" i="384"/>
  <c r="N81" i="384"/>
  <c r="M81" i="384"/>
  <c r="J81" i="384"/>
  <c r="P80" i="384"/>
  <c r="N80" i="384"/>
  <c r="M80" i="384"/>
  <c r="J80" i="384"/>
  <c r="P79" i="384"/>
  <c r="N79" i="384"/>
  <c r="M79" i="384"/>
  <c r="J79" i="384"/>
  <c r="P78" i="384"/>
  <c r="N78" i="384"/>
  <c r="M78" i="384"/>
  <c r="J78" i="384"/>
  <c r="P77" i="384"/>
  <c r="N77" i="384"/>
  <c r="M77" i="384"/>
  <c r="J77" i="384"/>
  <c r="P76" i="384"/>
  <c r="N76" i="384"/>
  <c r="M76" i="384"/>
  <c r="J76" i="384"/>
  <c r="P75" i="384"/>
  <c r="N75" i="384"/>
  <c r="M75" i="384"/>
  <c r="J75" i="384"/>
  <c r="P74" i="384"/>
  <c r="N74" i="384"/>
  <c r="M74" i="384"/>
  <c r="J74" i="384"/>
  <c r="P73" i="384"/>
  <c r="N73" i="384"/>
  <c r="M73" i="384"/>
  <c r="J73" i="384"/>
  <c r="P72" i="384"/>
  <c r="N72" i="384"/>
  <c r="M72" i="384"/>
  <c r="J72" i="384"/>
  <c r="P71" i="384"/>
  <c r="N71" i="384"/>
  <c r="M71" i="384"/>
  <c r="J71" i="384"/>
  <c r="P70" i="384"/>
  <c r="N70" i="384"/>
  <c r="M70" i="384"/>
  <c r="J70" i="384"/>
  <c r="P69" i="384"/>
  <c r="N69" i="384"/>
  <c r="M69" i="384"/>
  <c r="J69" i="384"/>
  <c r="P68" i="384"/>
  <c r="N68" i="384"/>
  <c r="M68" i="384"/>
  <c r="J68" i="384"/>
  <c r="P67" i="384"/>
  <c r="N67" i="384"/>
  <c r="M67" i="384"/>
  <c r="J67" i="384"/>
  <c r="P66" i="384"/>
  <c r="N66" i="384"/>
  <c r="M66" i="384"/>
  <c r="J66" i="384"/>
  <c r="P65" i="384"/>
  <c r="N65" i="384"/>
  <c r="M65" i="384"/>
  <c r="J65" i="384"/>
  <c r="P64" i="384"/>
  <c r="N64" i="384"/>
  <c r="M64" i="384"/>
  <c r="O64" i="384" s="1"/>
  <c r="J64" i="384"/>
  <c r="P63" i="384"/>
  <c r="N63" i="384"/>
  <c r="M63" i="384"/>
  <c r="J63" i="384"/>
  <c r="P62" i="384"/>
  <c r="N62" i="384"/>
  <c r="M62" i="384"/>
  <c r="J62" i="384"/>
  <c r="P61" i="384"/>
  <c r="N61" i="384"/>
  <c r="M61" i="384"/>
  <c r="O61" i="384" s="1"/>
  <c r="J61" i="384"/>
  <c r="P60" i="384"/>
  <c r="N60" i="384"/>
  <c r="M60" i="384"/>
  <c r="J60" i="384"/>
  <c r="P59" i="384"/>
  <c r="N59" i="384"/>
  <c r="M59" i="384"/>
  <c r="O59" i="384" s="1"/>
  <c r="J59" i="384"/>
  <c r="P58" i="384"/>
  <c r="N58" i="384"/>
  <c r="M58" i="384"/>
  <c r="J58" i="384"/>
  <c r="P57" i="384"/>
  <c r="N57" i="384"/>
  <c r="M57" i="384"/>
  <c r="J57" i="384"/>
  <c r="P56" i="384"/>
  <c r="N56" i="384"/>
  <c r="M56" i="384"/>
  <c r="O56" i="384" s="1"/>
  <c r="J56" i="384"/>
  <c r="P55" i="384"/>
  <c r="N55" i="384"/>
  <c r="M55" i="384"/>
  <c r="O55" i="384" s="1"/>
  <c r="J55" i="384"/>
  <c r="P54" i="384"/>
  <c r="N54" i="384"/>
  <c r="M54" i="384"/>
  <c r="O54" i="384" s="1"/>
  <c r="J54" i="384"/>
  <c r="P53" i="384"/>
  <c r="N53" i="384"/>
  <c r="M53" i="384"/>
  <c r="J53" i="384"/>
  <c r="P52" i="384"/>
  <c r="N52" i="384"/>
  <c r="M52" i="384"/>
  <c r="O52" i="384" s="1"/>
  <c r="J52" i="384"/>
  <c r="P51" i="384"/>
  <c r="N51" i="384"/>
  <c r="M51" i="384"/>
  <c r="J51" i="384"/>
  <c r="P50" i="384"/>
  <c r="N50" i="384"/>
  <c r="M50" i="384"/>
  <c r="O50" i="384" s="1"/>
  <c r="J50" i="384"/>
  <c r="P49" i="384"/>
  <c r="N49" i="384"/>
  <c r="M49" i="384"/>
  <c r="J49" i="384"/>
  <c r="P48" i="384"/>
  <c r="N48" i="384"/>
  <c r="M48" i="384"/>
  <c r="O48" i="384" s="1"/>
  <c r="J48" i="384"/>
  <c r="P47" i="384"/>
  <c r="N47" i="384"/>
  <c r="M47" i="384"/>
  <c r="J47" i="384"/>
  <c r="P46" i="384"/>
  <c r="N46" i="384"/>
  <c r="M46" i="384"/>
  <c r="O46" i="384" s="1"/>
  <c r="J46" i="384"/>
  <c r="P45" i="384"/>
  <c r="N45" i="384"/>
  <c r="M45" i="384"/>
  <c r="O45" i="384" s="1"/>
  <c r="J45" i="384"/>
  <c r="P44" i="384"/>
  <c r="N44" i="384"/>
  <c r="M44" i="384"/>
  <c r="J44" i="384"/>
  <c r="P43" i="384"/>
  <c r="N43" i="384"/>
  <c r="M43" i="384"/>
  <c r="J43" i="384"/>
  <c r="P42" i="384"/>
  <c r="N42" i="384"/>
  <c r="M42" i="384"/>
  <c r="J42" i="384"/>
  <c r="P41" i="384"/>
  <c r="N41" i="384"/>
  <c r="M41" i="384"/>
  <c r="J41" i="384"/>
  <c r="P40" i="384"/>
  <c r="N40" i="384"/>
  <c r="M40" i="384"/>
  <c r="J40" i="384"/>
  <c r="P39" i="384"/>
  <c r="N39" i="384"/>
  <c r="M39" i="384"/>
  <c r="J39" i="384"/>
  <c r="P38" i="384"/>
  <c r="N38" i="384"/>
  <c r="M38" i="384"/>
  <c r="J38" i="384"/>
  <c r="P37" i="384"/>
  <c r="N37" i="384"/>
  <c r="M37" i="384"/>
  <c r="J37" i="384"/>
  <c r="P36" i="384"/>
  <c r="N36" i="384"/>
  <c r="M36" i="384"/>
  <c r="J36" i="384"/>
  <c r="P35" i="384"/>
  <c r="N35" i="384"/>
  <c r="M35" i="384"/>
  <c r="J35" i="384"/>
  <c r="P34" i="384"/>
  <c r="N34" i="384"/>
  <c r="M34" i="384"/>
  <c r="J34" i="384"/>
  <c r="P33" i="384"/>
  <c r="N33" i="384"/>
  <c r="M33" i="384"/>
  <c r="J33" i="384"/>
  <c r="P32" i="384"/>
  <c r="N32" i="384"/>
  <c r="M32" i="384"/>
  <c r="J32" i="384"/>
  <c r="P31" i="384"/>
  <c r="N31" i="384"/>
  <c r="M31" i="384"/>
  <c r="O31" i="384" s="1"/>
  <c r="J31" i="384"/>
  <c r="P30" i="384"/>
  <c r="N30" i="384"/>
  <c r="M30" i="384"/>
  <c r="J30" i="384"/>
  <c r="P29" i="384"/>
  <c r="N29" i="384"/>
  <c r="M29" i="384"/>
  <c r="O29" i="384" s="1"/>
  <c r="J29" i="384"/>
  <c r="P28" i="384"/>
  <c r="N28" i="384"/>
  <c r="M28" i="384"/>
  <c r="J28" i="384"/>
  <c r="P27" i="384"/>
  <c r="N27" i="384"/>
  <c r="M27" i="384"/>
  <c r="O27" i="384" s="1"/>
  <c r="J27" i="384"/>
  <c r="P26" i="384"/>
  <c r="N26" i="384"/>
  <c r="M26" i="384"/>
  <c r="J26" i="384"/>
  <c r="P25" i="384"/>
  <c r="N25" i="384"/>
  <c r="M25" i="384"/>
  <c r="J25" i="384"/>
  <c r="P24" i="384"/>
  <c r="N24" i="384"/>
  <c r="M24" i="384"/>
  <c r="J24" i="384"/>
  <c r="P23" i="384"/>
  <c r="N23" i="384"/>
  <c r="M23" i="384"/>
  <c r="O23" i="384" s="1"/>
  <c r="J23" i="384"/>
  <c r="P22" i="384"/>
  <c r="N22" i="384"/>
  <c r="M22" i="384"/>
  <c r="J22" i="384"/>
  <c r="P21" i="384"/>
  <c r="N21" i="384"/>
  <c r="M21" i="384"/>
  <c r="J21" i="384"/>
  <c r="P20" i="384"/>
  <c r="N20" i="384"/>
  <c r="M20" i="384"/>
  <c r="J20" i="384"/>
  <c r="P19" i="384"/>
  <c r="N19" i="384"/>
  <c r="M19" i="384"/>
  <c r="O19" i="384" s="1"/>
  <c r="J19" i="384"/>
  <c r="P18" i="384"/>
  <c r="N18" i="384"/>
  <c r="M18" i="384"/>
  <c r="J18" i="384"/>
  <c r="P17" i="384"/>
  <c r="N17" i="384"/>
  <c r="M17" i="384"/>
  <c r="O17" i="384" s="1"/>
  <c r="J17" i="384"/>
  <c r="P16" i="384"/>
  <c r="N16" i="384"/>
  <c r="M16" i="384"/>
  <c r="J16" i="384"/>
  <c r="P15" i="384"/>
  <c r="N15" i="384"/>
  <c r="M15" i="384"/>
  <c r="J15" i="384"/>
  <c r="P14" i="384"/>
  <c r="N14" i="384"/>
  <c r="M14" i="384"/>
  <c r="J14" i="384"/>
  <c r="P13" i="384"/>
  <c r="N13" i="384"/>
  <c r="M13" i="384"/>
  <c r="J13" i="384"/>
  <c r="P12" i="384"/>
  <c r="N12" i="384"/>
  <c r="M12" i="384"/>
  <c r="O12" i="384" s="1"/>
  <c r="Q12" i="384" s="1"/>
  <c r="J12" i="384"/>
  <c r="P11" i="384"/>
  <c r="N11" i="384"/>
  <c r="M11" i="384"/>
  <c r="J11" i="384"/>
  <c r="P10" i="384"/>
  <c r="N10" i="384"/>
  <c r="M10" i="384"/>
  <c r="J10" i="384"/>
  <c r="P9" i="384"/>
  <c r="N9" i="384"/>
  <c r="M9" i="384"/>
  <c r="J9" i="384"/>
  <c r="P8" i="384"/>
  <c r="N8" i="384"/>
  <c r="M8" i="384"/>
  <c r="O8" i="384" s="1"/>
  <c r="Q8" i="384" s="1"/>
  <c r="J8" i="384"/>
  <c r="P7" i="384"/>
  <c r="N7" i="384"/>
  <c r="M7" i="384"/>
  <c r="O7" i="384" s="1"/>
  <c r="J7" i="384"/>
  <c r="P6" i="384"/>
  <c r="N6" i="384"/>
  <c r="M6" i="384"/>
  <c r="O6" i="384" s="1"/>
  <c r="Q6" i="384" s="1"/>
  <c r="J6" i="384"/>
  <c r="P5" i="384"/>
  <c r="N5" i="384"/>
  <c r="M5" i="384"/>
  <c r="J5" i="384"/>
  <c r="P4" i="384"/>
  <c r="N4" i="384"/>
  <c r="M4" i="384"/>
  <c r="J4" i="384"/>
  <c r="P5" i="383"/>
  <c r="N5" i="383"/>
  <c r="M5" i="383"/>
  <c r="O5" i="383" s="1"/>
  <c r="Q5" i="383" s="1"/>
  <c r="R5" i="383" s="1"/>
  <c r="S5" i="383" s="1"/>
  <c r="J5" i="383"/>
  <c r="P4" i="383"/>
  <c r="N4" i="383"/>
  <c r="M4" i="383"/>
  <c r="J4" i="383"/>
  <c r="P276" i="382"/>
  <c r="N276" i="382"/>
  <c r="M276" i="382"/>
  <c r="J276" i="382"/>
  <c r="P275" i="382"/>
  <c r="N275" i="382"/>
  <c r="M275" i="382"/>
  <c r="J275" i="382"/>
  <c r="P274" i="382"/>
  <c r="N274" i="382"/>
  <c r="M274" i="382"/>
  <c r="J274" i="382"/>
  <c r="P273" i="382"/>
  <c r="N273" i="382"/>
  <c r="M273" i="382"/>
  <c r="J273" i="382"/>
  <c r="P272" i="382"/>
  <c r="N272" i="382"/>
  <c r="M272" i="382"/>
  <c r="J272" i="382"/>
  <c r="P271" i="382"/>
  <c r="N271" i="382"/>
  <c r="M271" i="382"/>
  <c r="J271" i="382"/>
  <c r="P270" i="382"/>
  <c r="N270" i="382"/>
  <c r="M270" i="382"/>
  <c r="J270" i="382"/>
  <c r="P269" i="382"/>
  <c r="N269" i="382"/>
  <c r="M269" i="382"/>
  <c r="J269" i="382"/>
  <c r="P268" i="382"/>
  <c r="N268" i="382"/>
  <c r="M268" i="382"/>
  <c r="J268" i="382"/>
  <c r="P267" i="382"/>
  <c r="N267" i="382"/>
  <c r="M267" i="382"/>
  <c r="J267" i="382"/>
  <c r="P266" i="382"/>
  <c r="N266" i="382"/>
  <c r="M266" i="382"/>
  <c r="J266" i="382"/>
  <c r="P265" i="382"/>
  <c r="N265" i="382"/>
  <c r="M265" i="382"/>
  <c r="J265" i="382"/>
  <c r="P264" i="382"/>
  <c r="N264" i="382"/>
  <c r="M264" i="382"/>
  <c r="J264" i="382"/>
  <c r="P263" i="382"/>
  <c r="N263" i="382"/>
  <c r="M263" i="382"/>
  <c r="J263" i="382"/>
  <c r="P262" i="382"/>
  <c r="N262" i="382"/>
  <c r="M262" i="382"/>
  <c r="J262" i="382"/>
  <c r="P261" i="382"/>
  <c r="N261" i="382"/>
  <c r="M261" i="382"/>
  <c r="J261" i="382"/>
  <c r="P260" i="382"/>
  <c r="N260" i="382"/>
  <c r="M260" i="382"/>
  <c r="J260" i="382"/>
  <c r="P259" i="382"/>
  <c r="N259" i="382"/>
  <c r="M259" i="382"/>
  <c r="J259" i="382"/>
  <c r="P258" i="382"/>
  <c r="N258" i="382"/>
  <c r="M258" i="382"/>
  <c r="J258" i="382"/>
  <c r="P257" i="382"/>
  <c r="N257" i="382"/>
  <c r="M257" i="382"/>
  <c r="J257" i="382"/>
  <c r="P256" i="382"/>
  <c r="N256" i="382"/>
  <c r="M256" i="382"/>
  <c r="J256" i="382"/>
  <c r="P255" i="382"/>
  <c r="N255" i="382"/>
  <c r="M255" i="382"/>
  <c r="J255" i="382"/>
  <c r="P254" i="382"/>
  <c r="N254" i="382"/>
  <c r="M254" i="382"/>
  <c r="J254" i="382"/>
  <c r="P253" i="382"/>
  <c r="N253" i="382"/>
  <c r="M253" i="382"/>
  <c r="J253" i="382"/>
  <c r="P252" i="382"/>
  <c r="N252" i="382"/>
  <c r="M252" i="382"/>
  <c r="J252" i="382"/>
  <c r="P251" i="382"/>
  <c r="N251" i="382"/>
  <c r="M251" i="382"/>
  <c r="J251" i="382"/>
  <c r="P250" i="382"/>
  <c r="N250" i="382"/>
  <c r="M250" i="382"/>
  <c r="J250" i="382"/>
  <c r="P249" i="382"/>
  <c r="N249" i="382"/>
  <c r="M249" i="382"/>
  <c r="J249" i="382"/>
  <c r="P248" i="382"/>
  <c r="N248" i="382"/>
  <c r="M248" i="382"/>
  <c r="J248" i="382"/>
  <c r="P247" i="382"/>
  <c r="N247" i="382"/>
  <c r="M247" i="382"/>
  <c r="J247" i="382"/>
  <c r="P246" i="382"/>
  <c r="N246" i="382"/>
  <c r="M246" i="382"/>
  <c r="J246" i="382"/>
  <c r="P245" i="382"/>
  <c r="N245" i="382"/>
  <c r="M245" i="382"/>
  <c r="J245" i="382"/>
  <c r="P244" i="382"/>
  <c r="N244" i="382"/>
  <c r="M244" i="382"/>
  <c r="J244" i="382"/>
  <c r="P243" i="382"/>
  <c r="N243" i="382"/>
  <c r="M243" i="382"/>
  <c r="J243" i="382"/>
  <c r="P242" i="382"/>
  <c r="N242" i="382"/>
  <c r="M242" i="382"/>
  <c r="J242" i="382"/>
  <c r="P241" i="382"/>
  <c r="N241" i="382"/>
  <c r="M241" i="382"/>
  <c r="J241" i="382"/>
  <c r="P240" i="382"/>
  <c r="N240" i="382"/>
  <c r="M240" i="382"/>
  <c r="J240" i="382"/>
  <c r="P239" i="382"/>
  <c r="N239" i="382"/>
  <c r="M239" i="382"/>
  <c r="J239" i="382"/>
  <c r="P238" i="382"/>
  <c r="N238" i="382"/>
  <c r="M238" i="382"/>
  <c r="J238" i="382"/>
  <c r="P237" i="382"/>
  <c r="N237" i="382"/>
  <c r="M237" i="382"/>
  <c r="J237" i="382"/>
  <c r="P236" i="382"/>
  <c r="N236" i="382"/>
  <c r="M236" i="382"/>
  <c r="J236" i="382"/>
  <c r="P235" i="382"/>
  <c r="N235" i="382"/>
  <c r="M235" i="382"/>
  <c r="J235" i="382"/>
  <c r="P234" i="382"/>
  <c r="N234" i="382"/>
  <c r="M234" i="382"/>
  <c r="J234" i="382"/>
  <c r="P233" i="382"/>
  <c r="N233" i="382"/>
  <c r="M233" i="382"/>
  <c r="J233" i="382"/>
  <c r="P232" i="382"/>
  <c r="N232" i="382"/>
  <c r="M232" i="382"/>
  <c r="J232" i="382"/>
  <c r="P231" i="382"/>
  <c r="N231" i="382"/>
  <c r="M231" i="382"/>
  <c r="J231" i="382"/>
  <c r="P230" i="382"/>
  <c r="N230" i="382"/>
  <c r="M230" i="382"/>
  <c r="J230" i="382"/>
  <c r="P229" i="382"/>
  <c r="N229" i="382"/>
  <c r="M229" i="382"/>
  <c r="J229" i="382"/>
  <c r="P228" i="382"/>
  <c r="N228" i="382"/>
  <c r="M228" i="382"/>
  <c r="J228" i="382"/>
  <c r="P227" i="382"/>
  <c r="N227" i="382"/>
  <c r="M227" i="382"/>
  <c r="J227" i="382"/>
  <c r="P226" i="382"/>
  <c r="N226" i="382"/>
  <c r="M226" i="382"/>
  <c r="J226" i="382"/>
  <c r="P225" i="382"/>
  <c r="N225" i="382"/>
  <c r="M225" i="382"/>
  <c r="J225" i="382"/>
  <c r="P224" i="382"/>
  <c r="N224" i="382"/>
  <c r="M224" i="382"/>
  <c r="J224" i="382"/>
  <c r="P223" i="382"/>
  <c r="N223" i="382"/>
  <c r="M223" i="382"/>
  <c r="J223" i="382"/>
  <c r="P222" i="382"/>
  <c r="N222" i="382"/>
  <c r="M222" i="382"/>
  <c r="J222" i="382"/>
  <c r="P221" i="382"/>
  <c r="N221" i="382"/>
  <c r="M221" i="382"/>
  <c r="J221" i="382"/>
  <c r="P220" i="382"/>
  <c r="N220" i="382"/>
  <c r="M220" i="382"/>
  <c r="J220" i="382"/>
  <c r="P219" i="382"/>
  <c r="N219" i="382"/>
  <c r="M219" i="382"/>
  <c r="J219" i="382"/>
  <c r="P218" i="382"/>
  <c r="N218" i="382"/>
  <c r="M218" i="382"/>
  <c r="J218" i="382"/>
  <c r="P217" i="382"/>
  <c r="N217" i="382"/>
  <c r="M217" i="382"/>
  <c r="J217" i="382"/>
  <c r="P216" i="382"/>
  <c r="N216" i="382"/>
  <c r="M216" i="382"/>
  <c r="J216" i="382"/>
  <c r="P215" i="382"/>
  <c r="N215" i="382"/>
  <c r="M215" i="382"/>
  <c r="J215" i="382"/>
  <c r="P214" i="382"/>
  <c r="N214" i="382"/>
  <c r="M214" i="382"/>
  <c r="J214" i="382"/>
  <c r="P213" i="382"/>
  <c r="N213" i="382"/>
  <c r="M213" i="382"/>
  <c r="J213" i="382"/>
  <c r="P212" i="382"/>
  <c r="N212" i="382"/>
  <c r="M212" i="382"/>
  <c r="J212" i="382"/>
  <c r="P211" i="382"/>
  <c r="N211" i="382"/>
  <c r="M211" i="382"/>
  <c r="J211" i="382"/>
  <c r="P210" i="382"/>
  <c r="N210" i="382"/>
  <c r="M210" i="382"/>
  <c r="J210" i="382"/>
  <c r="P209" i="382"/>
  <c r="N209" i="382"/>
  <c r="M209" i="382"/>
  <c r="J209" i="382"/>
  <c r="P208" i="382"/>
  <c r="N208" i="382"/>
  <c r="M208" i="382"/>
  <c r="J208" i="382"/>
  <c r="P207" i="382"/>
  <c r="N207" i="382"/>
  <c r="M207" i="382"/>
  <c r="J207" i="382"/>
  <c r="P206" i="382"/>
  <c r="N206" i="382"/>
  <c r="M206" i="382"/>
  <c r="J206" i="382"/>
  <c r="P205" i="382"/>
  <c r="N205" i="382"/>
  <c r="M205" i="382"/>
  <c r="J205" i="382"/>
  <c r="P204" i="382"/>
  <c r="N204" i="382"/>
  <c r="M204" i="382"/>
  <c r="J204" i="382"/>
  <c r="P203" i="382"/>
  <c r="N203" i="382"/>
  <c r="M203" i="382"/>
  <c r="J203" i="382"/>
  <c r="P202" i="382"/>
  <c r="N202" i="382"/>
  <c r="M202" i="382"/>
  <c r="J202" i="382"/>
  <c r="P201" i="382"/>
  <c r="N201" i="382"/>
  <c r="M201" i="382"/>
  <c r="J201" i="382"/>
  <c r="P200" i="382"/>
  <c r="N200" i="382"/>
  <c r="M200" i="382"/>
  <c r="J200" i="382"/>
  <c r="P199" i="382"/>
  <c r="N199" i="382"/>
  <c r="M199" i="382"/>
  <c r="J199" i="382"/>
  <c r="P198" i="382"/>
  <c r="N198" i="382"/>
  <c r="M198" i="382"/>
  <c r="J198" i="382"/>
  <c r="P197" i="382"/>
  <c r="N197" i="382"/>
  <c r="M197" i="382"/>
  <c r="J197" i="382"/>
  <c r="P196" i="382"/>
  <c r="N196" i="382"/>
  <c r="M196" i="382"/>
  <c r="J196" i="382"/>
  <c r="P195" i="382"/>
  <c r="N195" i="382"/>
  <c r="M195" i="382"/>
  <c r="J195" i="382"/>
  <c r="P194" i="382"/>
  <c r="N194" i="382"/>
  <c r="M194" i="382"/>
  <c r="J194" i="382"/>
  <c r="P193" i="382"/>
  <c r="N193" i="382"/>
  <c r="M193" i="382"/>
  <c r="J193" i="382"/>
  <c r="P192" i="382"/>
  <c r="N192" i="382"/>
  <c r="M192" i="382"/>
  <c r="J192" i="382"/>
  <c r="P191" i="382"/>
  <c r="N191" i="382"/>
  <c r="M191" i="382"/>
  <c r="J191" i="382"/>
  <c r="P190" i="382"/>
  <c r="N190" i="382"/>
  <c r="M190" i="382"/>
  <c r="J190" i="382"/>
  <c r="P189" i="382"/>
  <c r="N189" i="382"/>
  <c r="M189" i="382"/>
  <c r="J189" i="382"/>
  <c r="P188" i="382"/>
  <c r="N188" i="382"/>
  <c r="M188" i="382"/>
  <c r="J188" i="382"/>
  <c r="P187" i="382"/>
  <c r="N187" i="382"/>
  <c r="M187" i="382"/>
  <c r="J187" i="382"/>
  <c r="P186" i="382"/>
  <c r="N186" i="382"/>
  <c r="M186" i="382"/>
  <c r="J186" i="382"/>
  <c r="P185" i="382"/>
  <c r="N185" i="382"/>
  <c r="M185" i="382"/>
  <c r="J185" i="382"/>
  <c r="P184" i="382"/>
  <c r="N184" i="382"/>
  <c r="M184" i="382"/>
  <c r="J184" i="382"/>
  <c r="P183" i="382"/>
  <c r="N183" i="382"/>
  <c r="M183" i="382"/>
  <c r="J183" i="382"/>
  <c r="P182" i="382"/>
  <c r="N182" i="382"/>
  <c r="M182" i="382"/>
  <c r="J182" i="382"/>
  <c r="P181" i="382"/>
  <c r="N181" i="382"/>
  <c r="M181" i="382"/>
  <c r="J181" i="382"/>
  <c r="P180" i="382"/>
  <c r="N180" i="382"/>
  <c r="M180" i="382"/>
  <c r="J180" i="382"/>
  <c r="P179" i="382"/>
  <c r="N179" i="382"/>
  <c r="M179" i="382"/>
  <c r="J179" i="382"/>
  <c r="P178" i="382"/>
  <c r="N178" i="382"/>
  <c r="M178" i="382"/>
  <c r="J178" i="382"/>
  <c r="P177" i="382"/>
  <c r="N177" i="382"/>
  <c r="M177" i="382"/>
  <c r="J177" i="382"/>
  <c r="P176" i="382"/>
  <c r="N176" i="382"/>
  <c r="M176" i="382"/>
  <c r="J176" i="382"/>
  <c r="P175" i="382"/>
  <c r="N175" i="382"/>
  <c r="M175" i="382"/>
  <c r="J175" i="382"/>
  <c r="P174" i="382"/>
  <c r="N174" i="382"/>
  <c r="M174" i="382"/>
  <c r="J174" i="382"/>
  <c r="P173" i="382"/>
  <c r="N173" i="382"/>
  <c r="M173" i="382"/>
  <c r="J173" i="382"/>
  <c r="P172" i="382"/>
  <c r="N172" i="382"/>
  <c r="M172" i="382"/>
  <c r="J172" i="382"/>
  <c r="P171" i="382"/>
  <c r="N171" i="382"/>
  <c r="M171" i="382"/>
  <c r="J171" i="382"/>
  <c r="P170" i="382"/>
  <c r="N170" i="382"/>
  <c r="M170" i="382"/>
  <c r="J170" i="382"/>
  <c r="P169" i="382"/>
  <c r="N169" i="382"/>
  <c r="M169" i="382"/>
  <c r="J169" i="382"/>
  <c r="P168" i="382"/>
  <c r="N168" i="382"/>
  <c r="M168" i="382"/>
  <c r="J168" i="382"/>
  <c r="P167" i="382"/>
  <c r="N167" i="382"/>
  <c r="M167" i="382"/>
  <c r="J167" i="382"/>
  <c r="P166" i="382"/>
  <c r="N166" i="382"/>
  <c r="M166" i="382"/>
  <c r="J166" i="382"/>
  <c r="P165" i="382"/>
  <c r="N165" i="382"/>
  <c r="M165" i="382"/>
  <c r="J165" i="382"/>
  <c r="P164" i="382"/>
  <c r="N164" i="382"/>
  <c r="M164" i="382"/>
  <c r="J164" i="382"/>
  <c r="P163" i="382"/>
  <c r="N163" i="382"/>
  <c r="M163" i="382"/>
  <c r="J163" i="382"/>
  <c r="P162" i="382"/>
  <c r="N162" i="382"/>
  <c r="M162" i="382"/>
  <c r="J162" i="382"/>
  <c r="P161" i="382"/>
  <c r="N161" i="382"/>
  <c r="M161" i="382"/>
  <c r="J161" i="382"/>
  <c r="P160" i="382"/>
  <c r="N160" i="382"/>
  <c r="M160" i="382"/>
  <c r="J160" i="382"/>
  <c r="P159" i="382"/>
  <c r="N159" i="382"/>
  <c r="M159" i="382"/>
  <c r="J159" i="382"/>
  <c r="P158" i="382"/>
  <c r="N158" i="382"/>
  <c r="M158" i="382"/>
  <c r="J158" i="382"/>
  <c r="P157" i="382"/>
  <c r="N157" i="382"/>
  <c r="M157" i="382"/>
  <c r="J157" i="382"/>
  <c r="P156" i="382"/>
  <c r="N156" i="382"/>
  <c r="M156" i="382"/>
  <c r="J156" i="382"/>
  <c r="P155" i="382"/>
  <c r="N155" i="382"/>
  <c r="M155" i="382"/>
  <c r="J155" i="382"/>
  <c r="P154" i="382"/>
  <c r="N154" i="382"/>
  <c r="M154" i="382"/>
  <c r="J154" i="382"/>
  <c r="P153" i="382"/>
  <c r="N153" i="382"/>
  <c r="M153" i="382"/>
  <c r="J153" i="382"/>
  <c r="P152" i="382"/>
  <c r="N152" i="382"/>
  <c r="M152" i="382"/>
  <c r="J152" i="382"/>
  <c r="P151" i="382"/>
  <c r="N151" i="382"/>
  <c r="M151" i="382"/>
  <c r="J151" i="382"/>
  <c r="P150" i="382"/>
  <c r="N150" i="382"/>
  <c r="M150" i="382"/>
  <c r="J150" i="382"/>
  <c r="P149" i="382"/>
  <c r="N149" i="382"/>
  <c r="M149" i="382"/>
  <c r="J149" i="382"/>
  <c r="P148" i="382"/>
  <c r="N148" i="382"/>
  <c r="M148" i="382"/>
  <c r="J148" i="382"/>
  <c r="P147" i="382"/>
  <c r="N147" i="382"/>
  <c r="M147" i="382"/>
  <c r="J147" i="382"/>
  <c r="P146" i="382"/>
  <c r="N146" i="382"/>
  <c r="M146" i="382"/>
  <c r="J146" i="382"/>
  <c r="P145" i="382"/>
  <c r="N145" i="382"/>
  <c r="M145" i="382"/>
  <c r="J145" i="382"/>
  <c r="P144" i="382"/>
  <c r="N144" i="382"/>
  <c r="M144" i="382"/>
  <c r="J144" i="382"/>
  <c r="P143" i="382"/>
  <c r="N143" i="382"/>
  <c r="M143" i="382"/>
  <c r="J143" i="382"/>
  <c r="P142" i="382"/>
  <c r="N142" i="382"/>
  <c r="M142" i="382"/>
  <c r="P141" i="382"/>
  <c r="N141" i="382"/>
  <c r="M141" i="382"/>
  <c r="J141" i="382"/>
  <c r="P140" i="382"/>
  <c r="N140" i="382"/>
  <c r="M140" i="382"/>
  <c r="J140" i="382"/>
  <c r="P139" i="382"/>
  <c r="N139" i="382"/>
  <c r="M139" i="382"/>
  <c r="J139" i="382"/>
  <c r="P138" i="382"/>
  <c r="N138" i="382"/>
  <c r="M138" i="382"/>
  <c r="J138" i="382"/>
  <c r="P137" i="382"/>
  <c r="N137" i="382"/>
  <c r="M137" i="382"/>
  <c r="J137" i="382"/>
  <c r="P136" i="382"/>
  <c r="N136" i="382"/>
  <c r="M136" i="382"/>
  <c r="J136" i="382"/>
  <c r="P135" i="382"/>
  <c r="N135" i="382"/>
  <c r="M135" i="382"/>
  <c r="J135" i="382"/>
  <c r="P134" i="382"/>
  <c r="N134" i="382"/>
  <c r="M134" i="382"/>
  <c r="J134" i="382"/>
  <c r="P133" i="382"/>
  <c r="N133" i="382"/>
  <c r="M133" i="382"/>
  <c r="J133" i="382"/>
  <c r="P132" i="382"/>
  <c r="N132" i="382"/>
  <c r="M132" i="382"/>
  <c r="J132" i="382"/>
  <c r="P131" i="382"/>
  <c r="N131" i="382"/>
  <c r="M131" i="382"/>
  <c r="J131" i="382"/>
  <c r="P130" i="382"/>
  <c r="N130" i="382"/>
  <c r="M130" i="382"/>
  <c r="J130" i="382"/>
  <c r="P129" i="382"/>
  <c r="N129" i="382"/>
  <c r="M129" i="382"/>
  <c r="J129" i="382"/>
  <c r="P128" i="382"/>
  <c r="N128" i="382"/>
  <c r="M128" i="382"/>
  <c r="J128" i="382"/>
  <c r="P127" i="382"/>
  <c r="N127" i="382"/>
  <c r="M127" i="382"/>
  <c r="J127" i="382"/>
  <c r="P126" i="382"/>
  <c r="N126" i="382"/>
  <c r="M126" i="382"/>
  <c r="J126" i="382"/>
  <c r="P125" i="382"/>
  <c r="N125" i="382"/>
  <c r="M125" i="382"/>
  <c r="J125" i="382"/>
  <c r="P124" i="382"/>
  <c r="N124" i="382"/>
  <c r="M124" i="382"/>
  <c r="J124" i="382"/>
  <c r="P123" i="382"/>
  <c r="N123" i="382"/>
  <c r="M123" i="382"/>
  <c r="J123" i="382"/>
  <c r="P122" i="382"/>
  <c r="N122" i="382"/>
  <c r="M122" i="382"/>
  <c r="J122" i="382"/>
  <c r="P121" i="382"/>
  <c r="N121" i="382"/>
  <c r="M121" i="382"/>
  <c r="J121" i="382"/>
  <c r="P120" i="382"/>
  <c r="N120" i="382"/>
  <c r="M120" i="382"/>
  <c r="J120" i="382"/>
  <c r="P119" i="382"/>
  <c r="N119" i="382"/>
  <c r="M119" i="382"/>
  <c r="J119" i="382"/>
  <c r="P118" i="382"/>
  <c r="N118" i="382"/>
  <c r="M118" i="382"/>
  <c r="J118" i="382"/>
  <c r="P117" i="382"/>
  <c r="N117" i="382"/>
  <c r="M117" i="382"/>
  <c r="J117" i="382"/>
  <c r="P116" i="382"/>
  <c r="N116" i="382"/>
  <c r="M116" i="382"/>
  <c r="J116" i="382"/>
  <c r="P115" i="382"/>
  <c r="N115" i="382"/>
  <c r="M115" i="382"/>
  <c r="J115" i="382"/>
  <c r="P114" i="382"/>
  <c r="N114" i="382"/>
  <c r="M114" i="382"/>
  <c r="J114" i="382"/>
  <c r="P113" i="382"/>
  <c r="N113" i="382"/>
  <c r="M113" i="382"/>
  <c r="J113" i="382"/>
  <c r="P112" i="382"/>
  <c r="N112" i="382"/>
  <c r="M112" i="382"/>
  <c r="J112" i="382"/>
  <c r="P111" i="382"/>
  <c r="N111" i="382"/>
  <c r="M111" i="382"/>
  <c r="J111" i="382"/>
  <c r="P110" i="382"/>
  <c r="N110" i="382"/>
  <c r="M110" i="382"/>
  <c r="J110" i="382"/>
  <c r="P109" i="382"/>
  <c r="N109" i="382"/>
  <c r="M109" i="382"/>
  <c r="J109" i="382"/>
  <c r="P108" i="382"/>
  <c r="N108" i="382"/>
  <c r="M108" i="382"/>
  <c r="J108" i="382"/>
  <c r="P107" i="382"/>
  <c r="N107" i="382"/>
  <c r="M107" i="382"/>
  <c r="J107" i="382"/>
  <c r="P106" i="382"/>
  <c r="N106" i="382"/>
  <c r="M106" i="382"/>
  <c r="J106" i="382"/>
  <c r="P105" i="382"/>
  <c r="N105" i="382"/>
  <c r="M105" i="382"/>
  <c r="J105" i="382"/>
  <c r="P104" i="382"/>
  <c r="N104" i="382"/>
  <c r="M104" i="382"/>
  <c r="J104" i="382"/>
  <c r="P103" i="382"/>
  <c r="N103" i="382"/>
  <c r="M103" i="382"/>
  <c r="J103" i="382"/>
  <c r="P102" i="382"/>
  <c r="N102" i="382"/>
  <c r="M102" i="382"/>
  <c r="J102" i="382"/>
  <c r="P101" i="382"/>
  <c r="N101" i="382"/>
  <c r="M101" i="382"/>
  <c r="J101" i="382"/>
  <c r="P100" i="382"/>
  <c r="N100" i="382"/>
  <c r="M100" i="382"/>
  <c r="J100" i="382"/>
  <c r="P99" i="382"/>
  <c r="N99" i="382"/>
  <c r="M99" i="382"/>
  <c r="J99" i="382"/>
  <c r="P98" i="382"/>
  <c r="N98" i="382"/>
  <c r="M98" i="382"/>
  <c r="J98" i="382"/>
  <c r="P97" i="382"/>
  <c r="N97" i="382"/>
  <c r="M97" i="382"/>
  <c r="J97" i="382"/>
  <c r="P96" i="382"/>
  <c r="N96" i="382"/>
  <c r="M96" i="382"/>
  <c r="J96" i="382"/>
  <c r="P95" i="382"/>
  <c r="N95" i="382"/>
  <c r="M95" i="382"/>
  <c r="J95" i="382"/>
  <c r="P94" i="382"/>
  <c r="N94" i="382"/>
  <c r="M94" i="382"/>
  <c r="J94" i="382"/>
  <c r="P93" i="382"/>
  <c r="N93" i="382"/>
  <c r="M93" i="382"/>
  <c r="J93" i="382"/>
  <c r="P92" i="382"/>
  <c r="N92" i="382"/>
  <c r="M92" i="382"/>
  <c r="J92" i="382"/>
  <c r="P91" i="382"/>
  <c r="N91" i="382"/>
  <c r="M91" i="382"/>
  <c r="J91" i="382"/>
  <c r="P90" i="382"/>
  <c r="N90" i="382"/>
  <c r="M90" i="382"/>
  <c r="J90" i="382"/>
  <c r="P89" i="382"/>
  <c r="N89" i="382"/>
  <c r="M89" i="382"/>
  <c r="J89" i="382"/>
  <c r="P88" i="382"/>
  <c r="N88" i="382"/>
  <c r="M88" i="382"/>
  <c r="J88" i="382"/>
  <c r="P87" i="382"/>
  <c r="N87" i="382"/>
  <c r="M87" i="382"/>
  <c r="J87" i="382"/>
  <c r="P86" i="382"/>
  <c r="N86" i="382"/>
  <c r="M86" i="382"/>
  <c r="J86" i="382"/>
  <c r="P85" i="382"/>
  <c r="N85" i="382"/>
  <c r="M85" i="382"/>
  <c r="J85" i="382"/>
  <c r="P84" i="382"/>
  <c r="N84" i="382"/>
  <c r="M84" i="382"/>
  <c r="J84" i="382"/>
  <c r="P83" i="382"/>
  <c r="N83" i="382"/>
  <c r="M83" i="382"/>
  <c r="J83" i="382"/>
  <c r="P82" i="382"/>
  <c r="N82" i="382"/>
  <c r="M82" i="382"/>
  <c r="J82" i="382"/>
  <c r="P81" i="382"/>
  <c r="N81" i="382"/>
  <c r="M81" i="382"/>
  <c r="J81" i="382"/>
  <c r="P80" i="382"/>
  <c r="N80" i="382"/>
  <c r="M80" i="382"/>
  <c r="J80" i="382"/>
  <c r="P79" i="382"/>
  <c r="N79" i="382"/>
  <c r="M79" i="382"/>
  <c r="J79" i="382"/>
  <c r="P78" i="382"/>
  <c r="N78" i="382"/>
  <c r="M78" i="382"/>
  <c r="J78" i="382"/>
  <c r="P77" i="382"/>
  <c r="N77" i="382"/>
  <c r="M77" i="382"/>
  <c r="J77" i="382"/>
  <c r="P76" i="382"/>
  <c r="N76" i="382"/>
  <c r="M76" i="382"/>
  <c r="J76" i="382"/>
  <c r="P75" i="382"/>
  <c r="N75" i="382"/>
  <c r="M75" i="382"/>
  <c r="J75" i="382"/>
  <c r="P74" i="382"/>
  <c r="N74" i="382"/>
  <c r="M74" i="382"/>
  <c r="J74" i="382"/>
  <c r="P73" i="382"/>
  <c r="N73" i="382"/>
  <c r="M73" i="382"/>
  <c r="J73" i="382"/>
  <c r="P72" i="382"/>
  <c r="N72" i="382"/>
  <c r="M72" i="382"/>
  <c r="J72" i="382"/>
  <c r="P71" i="382"/>
  <c r="N71" i="382"/>
  <c r="M71" i="382"/>
  <c r="J71" i="382"/>
  <c r="P70" i="382"/>
  <c r="N70" i="382"/>
  <c r="M70" i="382"/>
  <c r="J70" i="382"/>
  <c r="P69" i="382"/>
  <c r="N69" i="382"/>
  <c r="M69" i="382"/>
  <c r="J69" i="382"/>
  <c r="P68" i="382"/>
  <c r="N68" i="382"/>
  <c r="M68" i="382"/>
  <c r="J68" i="382"/>
  <c r="P67" i="382"/>
  <c r="N67" i="382"/>
  <c r="M67" i="382"/>
  <c r="J67" i="382"/>
  <c r="P66" i="382"/>
  <c r="N66" i="382"/>
  <c r="M66" i="382"/>
  <c r="J66" i="382"/>
  <c r="P65" i="382"/>
  <c r="N65" i="382"/>
  <c r="M65" i="382"/>
  <c r="J65" i="382"/>
  <c r="P64" i="382"/>
  <c r="N64" i="382"/>
  <c r="M64" i="382"/>
  <c r="J64" i="382"/>
  <c r="P63" i="382"/>
  <c r="N63" i="382"/>
  <c r="M63" i="382"/>
  <c r="J63" i="382"/>
  <c r="P62" i="382"/>
  <c r="N62" i="382"/>
  <c r="M62" i="382"/>
  <c r="J62" i="382"/>
  <c r="P61" i="382"/>
  <c r="N61" i="382"/>
  <c r="M61" i="382"/>
  <c r="J61" i="382"/>
  <c r="P60" i="382"/>
  <c r="N60" i="382"/>
  <c r="M60" i="382"/>
  <c r="J60" i="382"/>
  <c r="P59" i="382"/>
  <c r="N59" i="382"/>
  <c r="M59" i="382"/>
  <c r="J59" i="382"/>
  <c r="P58" i="382"/>
  <c r="N58" i="382"/>
  <c r="M58" i="382"/>
  <c r="J58" i="382"/>
  <c r="P57" i="382"/>
  <c r="N57" i="382"/>
  <c r="M57" i="382"/>
  <c r="J57" i="382"/>
  <c r="P56" i="382"/>
  <c r="N56" i="382"/>
  <c r="M56" i="382"/>
  <c r="J56" i="382"/>
  <c r="P55" i="382"/>
  <c r="N55" i="382"/>
  <c r="M55" i="382"/>
  <c r="J55" i="382"/>
  <c r="P54" i="382"/>
  <c r="N54" i="382"/>
  <c r="M54" i="382"/>
  <c r="J54" i="382"/>
  <c r="P53" i="382"/>
  <c r="N53" i="382"/>
  <c r="M53" i="382"/>
  <c r="J53" i="382"/>
  <c r="P52" i="382"/>
  <c r="N52" i="382"/>
  <c r="M52" i="382"/>
  <c r="J52" i="382"/>
  <c r="P51" i="382"/>
  <c r="N51" i="382"/>
  <c r="M51" i="382"/>
  <c r="J51" i="382"/>
  <c r="P50" i="382"/>
  <c r="N50" i="382"/>
  <c r="M50" i="382"/>
  <c r="J50" i="382"/>
  <c r="P49" i="382"/>
  <c r="N49" i="382"/>
  <c r="M49" i="382"/>
  <c r="J49" i="382"/>
  <c r="P48" i="382"/>
  <c r="N48" i="382"/>
  <c r="M48" i="382"/>
  <c r="J48" i="382"/>
  <c r="P47" i="382"/>
  <c r="N47" i="382"/>
  <c r="M47" i="382"/>
  <c r="J47" i="382"/>
  <c r="P46" i="382"/>
  <c r="N46" i="382"/>
  <c r="M46" i="382"/>
  <c r="J46" i="382"/>
  <c r="P45" i="382"/>
  <c r="N45" i="382"/>
  <c r="M45" i="382"/>
  <c r="J45" i="382"/>
  <c r="P44" i="382"/>
  <c r="N44" i="382"/>
  <c r="M44" i="382"/>
  <c r="J44" i="382"/>
  <c r="P43" i="382"/>
  <c r="N43" i="382"/>
  <c r="M43" i="382"/>
  <c r="J43" i="382"/>
  <c r="P42" i="382"/>
  <c r="N42" i="382"/>
  <c r="M42" i="382"/>
  <c r="J42" i="382"/>
  <c r="P41" i="382"/>
  <c r="N41" i="382"/>
  <c r="M41" i="382"/>
  <c r="J41" i="382"/>
  <c r="P40" i="382"/>
  <c r="N40" i="382"/>
  <c r="M40" i="382"/>
  <c r="J40" i="382"/>
  <c r="P39" i="382"/>
  <c r="N39" i="382"/>
  <c r="M39" i="382"/>
  <c r="J39" i="382"/>
  <c r="P38" i="382"/>
  <c r="N38" i="382"/>
  <c r="M38" i="382"/>
  <c r="J38" i="382"/>
  <c r="P37" i="382"/>
  <c r="N37" i="382"/>
  <c r="M37" i="382"/>
  <c r="J37" i="382"/>
  <c r="P36" i="382"/>
  <c r="N36" i="382"/>
  <c r="M36" i="382"/>
  <c r="J36" i="382"/>
  <c r="P35" i="382"/>
  <c r="N35" i="382"/>
  <c r="M35" i="382"/>
  <c r="J35" i="382"/>
  <c r="P34" i="382"/>
  <c r="N34" i="382"/>
  <c r="M34" i="382"/>
  <c r="J34" i="382"/>
  <c r="P33" i="382"/>
  <c r="N33" i="382"/>
  <c r="M33" i="382"/>
  <c r="J33" i="382"/>
  <c r="P32" i="382"/>
  <c r="N32" i="382"/>
  <c r="M32" i="382"/>
  <c r="J32" i="382"/>
  <c r="P31" i="382"/>
  <c r="N31" i="382"/>
  <c r="M31" i="382"/>
  <c r="J31" i="382"/>
  <c r="P30" i="382"/>
  <c r="N30" i="382"/>
  <c r="M30" i="382"/>
  <c r="J30" i="382"/>
  <c r="P29" i="382"/>
  <c r="N29" i="382"/>
  <c r="M29" i="382"/>
  <c r="J29" i="382"/>
  <c r="P28" i="382"/>
  <c r="N28" i="382"/>
  <c r="M28" i="382"/>
  <c r="J28" i="382"/>
  <c r="P27" i="382"/>
  <c r="N27" i="382"/>
  <c r="M27" i="382"/>
  <c r="J27" i="382"/>
  <c r="P26" i="382"/>
  <c r="N26" i="382"/>
  <c r="M26" i="382"/>
  <c r="J26" i="382"/>
  <c r="P25" i="382"/>
  <c r="N25" i="382"/>
  <c r="M25" i="382"/>
  <c r="J25" i="382"/>
  <c r="P24" i="382"/>
  <c r="N24" i="382"/>
  <c r="M24" i="382"/>
  <c r="J24" i="382"/>
  <c r="P23" i="382"/>
  <c r="N23" i="382"/>
  <c r="M23" i="382"/>
  <c r="J23" i="382"/>
  <c r="P22" i="382"/>
  <c r="N22" i="382"/>
  <c r="M22" i="382"/>
  <c r="J22" i="382"/>
  <c r="P21" i="382"/>
  <c r="N21" i="382"/>
  <c r="M21" i="382"/>
  <c r="J21" i="382"/>
  <c r="P20" i="382"/>
  <c r="N20" i="382"/>
  <c r="M20" i="382"/>
  <c r="J20" i="382"/>
  <c r="P19" i="382"/>
  <c r="N19" i="382"/>
  <c r="M19" i="382"/>
  <c r="J19" i="382"/>
  <c r="P18" i="382"/>
  <c r="N18" i="382"/>
  <c r="M18" i="382"/>
  <c r="J18" i="382"/>
  <c r="P17" i="382"/>
  <c r="N17" i="382"/>
  <c r="M17" i="382"/>
  <c r="J17" i="382"/>
  <c r="P16" i="382"/>
  <c r="N16" i="382"/>
  <c r="M16" i="382"/>
  <c r="J16" i="382"/>
  <c r="P15" i="382"/>
  <c r="N15" i="382"/>
  <c r="M15" i="382"/>
  <c r="J15" i="382"/>
  <c r="P14" i="382"/>
  <c r="N14" i="382"/>
  <c r="M14" i="382"/>
  <c r="J14" i="382"/>
  <c r="P13" i="382"/>
  <c r="N13" i="382"/>
  <c r="M13" i="382"/>
  <c r="J13" i="382"/>
  <c r="P12" i="382"/>
  <c r="N12" i="382"/>
  <c r="M12" i="382"/>
  <c r="J12" i="382"/>
  <c r="P11" i="382"/>
  <c r="N11" i="382"/>
  <c r="M11" i="382"/>
  <c r="J11" i="382"/>
  <c r="P10" i="382"/>
  <c r="N10" i="382"/>
  <c r="M10" i="382"/>
  <c r="J10" i="382"/>
  <c r="P9" i="382"/>
  <c r="N9" i="382"/>
  <c r="M9" i="382"/>
  <c r="J9" i="382"/>
  <c r="P8" i="382"/>
  <c r="N8" i="382"/>
  <c r="M8" i="382"/>
  <c r="J8" i="382"/>
  <c r="P7" i="382"/>
  <c r="N7" i="382"/>
  <c r="M7" i="382"/>
  <c r="J7" i="382"/>
  <c r="P6" i="382"/>
  <c r="N6" i="382"/>
  <c r="M6" i="382"/>
  <c r="J6" i="382"/>
  <c r="P5" i="382"/>
  <c r="N5" i="382"/>
  <c r="M5" i="382"/>
  <c r="J5" i="382"/>
  <c r="P4" i="382"/>
  <c r="N4" i="382"/>
  <c r="M4" i="382"/>
  <c r="J4" i="382"/>
  <c r="P5" i="353"/>
  <c r="P6" i="353"/>
  <c r="P7" i="353"/>
  <c r="P8" i="353"/>
  <c r="P9" i="353"/>
  <c r="P10" i="353"/>
  <c r="P11" i="353"/>
  <c r="P12" i="353"/>
  <c r="P13" i="353"/>
  <c r="P14" i="353"/>
  <c r="P15" i="353"/>
  <c r="P16" i="353"/>
  <c r="P17" i="353"/>
  <c r="P18" i="353"/>
  <c r="P19" i="353"/>
  <c r="P20" i="353"/>
  <c r="P21" i="353"/>
  <c r="P22" i="353"/>
  <c r="P23" i="353"/>
  <c r="P24" i="353"/>
  <c r="P25" i="353"/>
  <c r="P26" i="353"/>
  <c r="P27" i="353"/>
  <c r="P28" i="353"/>
  <c r="P29" i="353"/>
  <c r="P30" i="353"/>
  <c r="P31" i="353"/>
  <c r="P32" i="353"/>
  <c r="P33" i="353"/>
  <c r="P34" i="353"/>
  <c r="P35" i="353"/>
  <c r="P36" i="353"/>
  <c r="P37" i="353"/>
  <c r="P38" i="353"/>
  <c r="P39" i="353"/>
  <c r="P40" i="353"/>
  <c r="P41" i="353"/>
  <c r="P42" i="353"/>
  <c r="P43" i="353"/>
  <c r="P44" i="353"/>
  <c r="P45" i="353"/>
  <c r="P46" i="353"/>
  <c r="P47" i="353"/>
  <c r="P48" i="353"/>
  <c r="P49" i="353"/>
  <c r="P50" i="353"/>
  <c r="P51" i="353"/>
  <c r="P52" i="353"/>
  <c r="P53" i="353"/>
  <c r="P54" i="353"/>
  <c r="P55" i="353"/>
  <c r="P56" i="353"/>
  <c r="P57" i="353"/>
  <c r="P58" i="353"/>
  <c r="P59" i="353"/>
  <c r="P60" i="353"/>
  <c r="P61" i="353"/>
  <c r="P62" i="353"/>
  <c r="P63" i="353"/>
  <c r="P64" i="353"/>
  <c r="P65" i="353"/>
  <c r="P66" i="353"/>
  <c r="P67" i="353"/>
  <c r="P68" i="353"/>
  <c r="P69" i="353"/>
  <c r="P70" i="353"/>
  <c r="P71" i="353"/>
  <c r="P72" i="353"/>
  <c r="P73" i="353"/>
  <c r="P74" i="353"/>
  <c r="P75" i="353"/>
  <c r="P76" i="353"/>
  <c r="P77" i="353"/>
  <c r="P78" i="353"/>
  <c r="P79" i="353"/>
  <c r="P80" i="353"/>
  <c r="P81" i="353"/>
  <c r="P82" i="353"/>
  <c r="P83" i="353"/>
  <c r="P84" i="353"/>
  <c r="P85" i="353"/>
  <c r="P86" i="353"/>
  <c r="P87" i="353"/>
  <c r="P88" i="353"/>
  <c r="P89" i="353"/>
  <c r="P90" i="353"/>
  <c r="P91" i="353"/>
  <c r="P92" i="353"/>
  <c r="P93" i="353"/>
  <c r="P94" i="353"/>
  <c r="P95" i="353"/>
  <c r="P96" i="353"/>
  <c r="P97" i="353"/>
  <c r="P98" i="353"/>
  <c r="P99" i="353"/>
  <c r="P100" i="353"/>
  <c r="P101" i="353"/>
  <c r="P102" i="353"/>
  <c r="P103" i="353"/>
  <c r="P104" i="353"/>
  <c r="P105" i="353"/>
  <c r="P106" i="353"/>
  <c r="P107" i="353"/>
  <c r="P108" i="353"/>
  <c r="P109" i="353"/>
  <c r="P110" i="353"/>
  <c r="P111" i="353"/>
  <c r="P112" i="353"/>
  <c r="P113" i="353"/>
  <c r="P114" i="353"/>
  <c r="P115" i="353"/>
  <c r="P116" i="353"/>
  <c r="P117" i="353"/>
  <c r="P118" i="353"/>
  <c r="P119" i="353"/>
  <c r="P120" i="353"/>
  <c r="P121" i="353"/>
  <c r="P122" i="353"/>
  <c r="P123" i="353"/>
  <c r="P124" i="353"/>
  <c r="P125" i="353"/>
  <c r="P126" i="353"/>
  <c r="P127" i="353"/>
  <c r="P128" i="353"/>
  <c r="P129" i="353"/>
  <c r="P130" i="353"/>
  <c r="P131" i="353"/>
  <c r="P132" i="353"/>
  <c r="P133" i="353"/>
  <c r="P134" i="353"/>
  <c r="P135" i="353"/>
  <c r="P136" i="353"/>
  <c r="P137" i="353"/>
  <c r="P138" i="353"/>
  <c r="P139" i="353"/>
  <c r="P140" i="353"/>
  <c r="P141" i="353"/>
  <c r="P142" i="353"/>
  <c r="P143" i="353"/>
  <c r="P144" i="353"/>
  <c r="P145" i="353"/>
  <c r="P146" i="353"/>
  <c r="P147" i="353"/>
  <c r="P148" i="353"/>
  <c r="P149" i="353"/>
  <c r="P150" i="353"/>
  <c r="P151" i="353"/>
  <c r="P152" i="353"/>
  <c r="P153" i="353"/>
  <c r="P154" i="353"/>
  <c r="P155" i="353"/>
  <c r="P156" i="353"/>
  <c r="P157" i="353"/>
  <c r="P158" i="353"/>
  <c r="P159" i="353"/>
  <c r="P160" i="353"/>
  <c r="P161" i="353"/>
  <c r="P162" i="353"/>
  <c r="P163" i="353"/>
  <c r="P164" i="353"/>
  <c r="P165" i="353"/>
  <c r="P166" i="353"/>
  <c r="P167" i="353"/>
  <c r="P168" i="353"/>
  <c r="P169" i="353"/>
  <c r="P170" i="353"/>
  <c r="P171" i="353"/>
  <c r="P172" i="353"/>
  <c r="P173" i="353"/>
  <c r="P174" i="353"/>
  <c r="P175" i="353"/>
  <c r="P176" i="353"/>
  <c r="P177" i="353"/>
  <c r="P178" i="353"/>
  <c r="P179" i="353"/>
  <c r="P180" i="353"/>
  <c r="P181" i="353"/>
  <c r="P182" i="353"/>
  <c r="P183" i="353"/>
  <c r="P184" i="353"/>
  <c r="P185" i="353"/>
  <c r="P186" i="353"/>
  <c r="P187" i="353"/>
  <c r="P188" i="353"/>
  <c r="P189" i="353"/>
  <c r="P190" i="353"/>
  <c r="P191" i="353"/>
  <c r="P192" i="353"/>
  <c r="P193" i="353"/>
  <c r="P194" i="353"/>
  <c r="P195" i="353"/>
  <c r="P196" i="353"/>
  <c r="P197" i="353"/>
  <c r="P198" i="353"/>
  <c r="P199" i="353"/>
  <c r="P200" i="353"/>
  <c r="P201" i="353"/>
  <c r="P202" i="353"/>
  <c r="P203" i="353"/>
  <c r="P204" i="353"/>
  <c r="P205" i="353"/>
  <c r="P206" i="353"/>
  <c r="P207" i="353"/>
  <c r="P208" i="353"/>
  <c r="P209" i="353"/>
  <c r="P210" i="353"/>
  <c r="P211" i="353"/>
  <c r="P212" i="353"/>
  <c r="P213" i="353"/>
  <c r="P214" i="353"/>
  <c r="P215" i="353"/>
  <c r="P216" i="353"/>
  <c r="P217" i="353"/>
  <c r="P218" i="353"/>
  <c r="P219" i="353"/>
  <c r="P220" i="353"/>
  <c r="P221" i="353"/>
  <c r="P222" i="353"/>
  <c r="P223" i="353"/>
  <c r="P224" i="353"/>
  <c r="P225" i="353"/>
  <c r="P226" i="353"/>
  <c r="P227" i="353"/>
  <c r="P228" i="353"/>
  <c r="P229" i="353"/>
  <c r="P230" i="353"/>
  <c r="P231" i="353"/>
  <c r="P232" i="353"/>
  <c r="P233" i="353"/>
  <c r="P234" i="353"/>
  <c r="P235" i="353"/>
  <c r="P236" i="353"/>
  <c r="P237" i="353"/>
  <c r="P238" i="353"/>
  <c r="P239" i="353"/>
  <c r="P240" i="353"/>
  <c r="P241" i="353"/>
  <c r="P242" i="353"/>
  <c r="P243" i="353"/>
  <c r="P244" i="353"/>
  <c r="P245" i="353"/>
  <c r="P246" i="353"/>
  <c r="P247" i="353"/>
  <c r="P248" i="353"/>
  <c r="P249" i="353"/>
  <c r="P250" i="353"/>
  <c r="P251" i="353"/>
  <c r="P252" i="353"/>
  <c r="P253" i="353"/>
  <c r="P254" i="353"/>
  <c r="P255" i="353"/>
  <c r="P256" i="353"/>
  <c r="P257" i="353"/>
  <c r="P258" i="353"/>
  <c r="P259" i="353"/>
  <c r="P260" i="353"/>
  <c r="P261" i="353"/>
  <c r="P262" i="353"/>
  <c r="P263" i="353"/>
  <c r="P264" i="353"/>
  <c r="P265" i="353"/>
  <c r="P266" i="353"/>
  <c r="P267" i="353"/>
  <c r="P268" i="353"/>
  <c r="P269" i="353"/>
  <c r="P270" i="353"/>
  <c r="P271" i="353"/>
  <c r="P272" i="353"/>
  <c r="P273" i="353"/>
  <c r="P274" i="353"/>
  <c r="P275" i="353"/>
  <c r="P276" i="353"/>
  <c r="P277" i="353"/>
  <c r="P278" i="353"/>
  <c r="P279" i="353"/>
  <c r="P280" i="353"/>
  <c r="P281" i="353"/>
  <c r="P282" i="353"/>
  <c r="P283" i="353"/>
  <c r="P284" i="353"/>
  <c r="P285" i="353"/>
  <c r="P286" i="353"/>
  <c r="P287" i="353"/>
  <c r="P288" i="353"/>
  <c r="P289" i="353"/>
  <c r="P290" i="353"/>
  <c r="P291" i="353"/>
  <c r="P292" i="353"/>
  <c r="P293" i="353"/>
  <c r="P294" i="353"/>
  <c r="P295" i="353"/>
  <c r="P296" i="353"/>
  <c r="P297" i="353"/>
  <c r="P298" i="353"/>
  <c r="P299" i="353"/>
  <c r="P300" i="353"/>
  <c r="P301" i="353"/>
  <c r="P302" i="353"/>
  <c r="P303" i="353"/>
  <c r="P304" i="353"/>
  <c r="P305" i="353"/>
  <c r="P306" i="353"/>
  <c r="P307" i="353"/>
  <c r="P308" i="353"/>
  <c r="P309" i="353"/>
  <c r="P310" i="353"/>
  <c r="P311" i="353"/>
  <c r="P312" i="353"/>
  <c r="P313" i="353"/>
  <c r="P314" i="353"/>
  <c r="P315" i="353"/>
  <c r="P316" i="353"/>
  <c r="P317" i="353"/>
  <c r="P318" i="353"/>
  <c r="P319" i="353"/>
  <c r="P320" i="353"/>
  <c r="P321" i="353"/>
  <c r="P322" i="353"/>
  <c r="P323" i="353"/>
  <c r="P324" i="353"/>
  <c r="P325" i="353"/>
  <c r="P326" i="353"/>
  <c r="P327" i="353"/>
  <c r="P328" i="353"/>
  <c r="P329" i="353"/>
  <c r="P330" i="353"/>
  <c r="P331" i="353"/>
  <c r="P332" i="353"/>
  <c r="P333" i="353"/>
  <c r="P334" i="353"/>
  <c r="P335" i="353"/>
  <c r="P336" i="353"/>
  <c r="P337" i="353"/>
  <c r="P338" i="353"/>
  <c r="P339" i="353"/>
  <c r="P340" i="353"/>
  <c r="P341" i="353"/>
  <c r="P342" i="353"/>
  <c r="P343" i="353"/>
  <c r="P344" i="353"/>
  <c r="P345" i="353"/>
  <c r="P346" i="353"/>
  <c r="P347" i="353"/>
  <c r="P348" i="353"/>
  <c r="P349" i="353"/>
  <c r="P350" i="353"/>
  <c r="P351" i="353"/>
  <c r="P352" i="353"/>
  <c r="P353" i="353"/>
  <c r="P354" i="353"/>
  <c r="P355" i="353"/>
  <c r="P356" i="353"/>
  <c r="P357" i="353"/>
  <c r="P358" i="353"/>
  <c r="P359" i="353"/>
  <c r="P360" i="353"/>
  <c r="P361" i="353"/>
  <c r="P362" i="353"/>
  <c r="P363" i="353"/>
  <c r="P364" i="353"/>
  <c r="P365" i="353"/>
  <c r="P366" i="353"/>
  <c r="P367" i="353"/>
  <c r="P368" i="353"/>
  <c r="P369" i="353"/>
  <c r="P370" i="353"/>
  <c r="P371" i="353"/>
  <c r="P372" i="353"/>
  <c r="P373" i="353"/>
  <c r="P374" i="353"/>
  <c r="P375" i="353"/>
  <c r="P376" i="353"/>
  <c r="P377" i="353"/>
  <c r="P378" i="353"/>
  <c r="P379" i="353"/>
  <c r="P380" i="353"/>
  <c r="P381" i="353"/>
  <c r="P382" i="353"/>
  <c r="P383" i="353"/>
  <c r="P384" i="353"/>
  <c r="P385" i="353"/>
  <c r="P386" i="353"/>
  <c r="P387" i="353"/>
  <c r="P388" i="353"/>
  <c r="P389" i="353"/>
  <c r="P390" i="353"/>
  <c r="P391" i="353"/>
  <c r="P392" i="353"/>
  <c r="P393" i="353"/>
  <c r="P394" i="353"/>
  <c r="P395" i="353"/>
  <c r="P396" i="353"/>
  <c r="P397" i="353"/>
  <c r="P398" i="353"/>
  <c r="P399" i="353"/>
  <c r="P400" i="353"/>
  <c r="P401" i="353"/>
  <c r="P402" i="353"/>
  <c r="P403" i="353"/>
  <c r="P404" i="353"/>
  <c r="P405" i="353"/>
  <c r="P406" i="353"/>
  <c r="P407" i="353"/>
  <c r="P408" i="353"/>
  <c r="P409" i="353"/>
  <c r="P410" i="353"/>
  <c r="P411" i="353"/>
  <c r="P412" i="353"/>
  <c r="P413" i="353"/>
  <c r="P414" i="353"/>
  <c r="P415" i="353"/>
  <c r="P416" i="353"/>
  <c r="P417" i="353"/>
  <c r="P418" i="353"/>
  <c r="P419" i="353"/>
  <c r="P420" i="353"/>
  <c r="P421" i="353"/>
  <c r="P422" i="353"/>
  <c r="P423" i="353"/>
  <c r="P424" i="353"/>
  <c r="P425" i="353"/>
  <c r="P426" i="353"/>
  <c r="P427" i="353"/>
  <c r="P428" i="353"/>
  <c r="P429" i="353"/>
  <c r="P430" i="353"/>
  <c r="P431" i="353"/>
  <c r="P432" i="353"/>
  <c r="P433" i="353"/>
  <c r="P434" i="353"/>
  <c r="P435" i="353"/>
  <c r="P436" i="353"/>
  <c r="P437" i="353"/>
  <c r="P438" i="353"/>
  <c r="P439" i="353"/>
  <c r="P440" i="353"/>
  <c r="P441" i="353"/>
  <c r="P442" i="353"/>
  <c r="P443" i="353"/>
  <c r="P444" i="353"/>
  <c r="P445" i="353"/>
  <c r="P446" i="353"/>
  <c r="P447" i="353"/>
  <c r="P448" i="353"/>
  <c r="P449" i="353"/>
  <c r="P450" i="353"/>
  <c r="P451" i="353"/>
  <c r="P452" i="353"/>
  <c r="P453" i="353"/>
  <c r="P454" i="353"/>
  <c r="P455" i="353"/>
  <c r="P456" i="353"/>
  <c r="P457" i="353"/>
  <c r="P458" i="353"/>
  <c r="P459" i="353"/>
  <c r="P460" i="353"/>
  <c r="P461" i="353"/>
  <c r="P462" i="353"/>
  <c r="P463" i="353"/>
  <c r="P464" i="353"/>
  <c r="P465" i="353"/>
  <c r="P466" i="353"/>
  <c r="P467" i="353"/>
  <c r="P468" i="353"/>
  <c r="P469" i="353"/>
  <c r="P470" i="353"/>
  <c r="P471" i="353"/>
  <c r="P472" i="353"/>
  <c r="P473" i="353"/>
  <c r="P474" i="353"/>
  <c r="P475" i="353"/>
  <c r="P476" i="353"/>
  <c r="P477" i="353"/>
  <c r="P478" i="353"/>
  <c r="P479" i="353"/>
  <c r="P480" i="353"/>
  <c r="P481" i="353"/>
  <c r="P482" i="353"/>
  <c r="P483" i="353"/>
  <c r="P484" i="353"/>
  <c r="P485" i="353"/>
  <c r="P486" i="353"/>
  <c r="P487" i="353"/>
  <c r="P488" i="353"/>
  <c r="P489" i="353"/>
  <c r="P490" i="353"/>
  <c r="P491" i="353"/>
  <c r="P492" i="353"/>
  <c r="P493" i="353"/>
  <c r="P494" i="353"/>
  <c r="P495" i="353"/>
  <c r="P496" i="353"/>
  <c r="P497" i="353"/>
  <c r="P498" i="353"/>
  <c r="P499" i="353"/>
  <c r="P500" i="353"/>
  <c r="P501" i="353"/>
  <c r="P502" i="353"/>
  <c r="P503" i="353"/>
  <c r="P504" i="353"/>
  <c r="P505" i="353"/>
  <c r="P506" i="353"/>
  <c r="P507" i="353"/>
  <c r="P508" i="353"/>
  <c r="P509" i="353"/>
  <c r="P510" i="353"/>
  <c r="P511" i="353"/>
  <c r="P512" i="353"/>
  <c r="P513" i="353"/>
  <c r="P514" i="353"/>
  <c r="P515" i="353"/>
  <c r="P516" i="353"/>
  <c r="P517" i="353"/>
  <c r="P518" i="353"/>
  <c r="P519" i="353"/>
  <c r="P520" i="353"/>
  <c r="P521" i="353"/>
  <c r="P522" i="353"/>
  <c r="P523" i="353"/>
  <c r="P524" i="353"/>
  <c r="P525" i="353"/>
  <c r="P526" i="353"/>
  <c r="P527" i="353"/>
  <c r="P528" i="353"/>
  <c r="P529" i="353"/>
  <c r="P530" i="353"/>
  <c r="P531" i="353"/>
  <c r="P532" i="353"/>
  <c r="P533" i="353"/>
  <c r="P534" i="353"/>
  <c r="P535" i="353"/>
  <c r="P536" i="353"/>
  <c r="P537" i="353"/>
  <c r="P538" i="353"/>
  <c r="P539" i="353"/>
  <c r="P540" i="353"/>
  <c r="P541" i="353"/>
  <c r="P542" i="353"/>
  <c r="P543" i="353"/>
  <c r="P544" i="353"/>
  <c r="P545" i="353"/>
  <c r="P546" i="353"/>
  <c r="P547" i="353"/>
  <c r="P548" i="353"/>
  <c r="P549" i="353"/>
  <c r="P550" i="353"/>
  <c r="P551" i="353"/>
  <c r="P552" i="353"/>
  <c r="P553" i="353"/>
  <c r="P554" i="353"/>
  <c r="P555" i="353"/>
  <c r="P556" i="353"/>
  <c r="P557" i="353"/>
  <c r="P558" i="353"/>
  <c r="P559" i="353"/>
  <c r="P560" i="353"/>
  <c r="P561" i="353"/>
  <c r="P562" i="353"/>
  <c r="P563" i="353"/>
  <c r="P564" i="353"/>
  <c r="P565" i="353"/>
  <c r="P566" i="353"/>
  <c r="P567" i="353"/>
  <c r="P568" i="353"/>
  <c r="P569" i="353"/>
  <c r="P570" i="353"/>
  <c r="P571" i="353"/>
  <c r="P572" i="353"/>
  <c r="P573" i="353"/>
  <c r="P574" i="353"/>
  <c r="P575" i="353"/>
  <c r="P576" i="353"/>
  <c r="P577" i="353"/>
  <c r="P578" i="353"/>
  <c r="P579" i="353"/>
  <c r="P580" i="353"/>
  <c r="P581" i="353"/>
  <c r="P582" i="353"/>
  <c r="P583" i="353"/>
  <c r="P584" i="353"/>
  <c r="P585" i="353"/>
  <c r="P586" i="353"/>
  <c r="P587" i="353"/>
  <c r="P588" i="353"/>
  <c r="P589" i="353"/>
  <c r="P590" i="353"/>
  <c r="P591" i="353"/>
  <c r="P592" i="353"/>
  <c r="P593" i="353"/>
  <c r="P594" i="353"/>
  <c r="P595" i="353"/>
  <c r="P596" i="353"/>
  <c r="P597" i="353"/>
  <c r="P598" i="353"/>
  <c r="P599" i="353"/>
  <c r="P600" i="353"/>
  <c r="P601" i="353"/>
  <c r="P602" i="353"/>
  <c r="P603" i="353"/>
  <c r="P604" i="353"/>
  <c r="P605" i="353"/>
  <c r="P606" i="353"/>
  <c r="P607" i="353"/>
  <c r="P608" i="353"/>
  <c r="P609" i="353"/>
  <c r="P610" i="353"/>
  <c r="P611" i="353"/>
  <c r="P612" i="353"/>
  <c r="P613" i="353"/>
  <c r="P614" i="353"/>
  <c r="P615" i="353"/>
  <c r="P616" i="353"/>
  <c r="P617" i="353"/>
  <c r="P618" i="353"/>
  <c r="P619" i="353"/>
  <c r="P620" i="353"/>
  <c r="P621" i="353"/>
  <c r="P622" i="353"/>
  <c r="P623" i="353"/>
  <c r="P624" i="353"/>
  <c r="P625" i="353"/>
  <c r="P626" i="353"/>
  <c r="P627" i="353"/>
  <c r="P628" i="353"/>
  <c r="P629" i="353"/>
  <c r="P630" i="353"/>
  <c r="P631" i="353"/>
  <c r="P632" i="353"/>
  <c r="P633" i="353"/>
  <c r="P634" i="353"/>
  <c r="P635" i="353"/>
  <c r="P636" i="353"/>
  <c r="P637" i="353"/>
  <c r="P638" i="353"/>
  <c r="P639" i="353"/>
  <c r="P640" i="353"/>
  <c r="P641" i="353"/>
  <c r="P642" i="353"/>
  <c r="P643" i="353"/>
  <c r="P644" i="353"/>
  <c r="P645" i="353"/>
  <c r="P646" i="353"/>
  <c r="P647" i="353"/>
  <c r="P648" i="353"/>
  <c r="P649" i="353"/>
  <c r="P650" i="353"/>
  <c r="P651" i="353"/>
  <c r="P652" i="353"/>
  <c r="P653" i="353"/>
  <c r="P654" i="353"/>
  <c r="P655" i="353"/>
  <c r="P656" i="353"/>
  <c r="P657" i="353"/>
  <c r="P658" i="353"/>
  <c r="P659" i="353"/>
  <c r="P660" i="353"/>
  <c r="P661" i="353"/>
  <c r="P662" i="353"/>
  <c r="P663" i="353"/>
  <c r="P664" i="353"/>
  <c r="P665" i="353"/>
  <c r="P666" i="353"/>
  <c r="P667" i="353"/>
  <c r="P668" i="353"/>
  <c r="P669" i="353"/>
  <c r="P670" i="353"/>
  <c r="P671" i="353"/>
  <c r="P672" i="353"/>
  <c r="P673" i="353"/>
  <c r="P674" i="353"/>
  <c r="P675" i="353"/>
  <c r="P676" i="353"/>
  <c r="P677" i="353"/>
  <c r="P678" i="353"/>
  <c r="P679" i="353"/>
  <c r="P680" i="353"/>
  <c r="P681" i="353"/>
  <c r="P682" i="353"/>
  <c r="P683" i="353"/>
  <c r="P684" i="353"/>
  <c r="P685" i="353"/>
  <c r="P686" i="353"/>
  <c r="P687" i="353"/>
  <c r="P688" i="353"/>
  <c r="P689" i="353"/>
  <c r="P690" i="353"/>
  <c r="P691" i="353"/>
  <c r="P692" i="353"/>
  <c r="P693" i="353"/>
  <c r="P694" i="353"/>
  <c r="P695" i="353"/>
  <c r="P696" i="353"/>
  <c r="P697" i="353"/>
  <c r="P698" i="353"/>
  <c r="P699" i="353"/>
  <c r="P700" i="353"/>
  <c r="P701" i="353"/>
  <c r="P702" i="353"/>
  <c r="P703" i="353"/>
  <c r="P704" i="353"/>
  <c r="P705" i="353"/>
  <c r="P706" i="353"/>
  <c r="P707" i="353"/>
  <c r="P708" i="353"/>
  <c r="P709" i="353"/>
  <c r="P710" i="353"/>
  <c r="P711" i="353"/>
  <c r="P712" i="353"/>
  <c r="P713" i="353"/>
  <c r="P714" i="353"/>
  <c r="P715" i="353"/>
  <c r="P716" i="353"/>
  <c r="P717" i="353"/>
  <c r="P718" i="353"/>
  <c r="P719" i="353"/>
  <c r="P720" i="353"/>
  <c r="P721" i="353"/>
  <c r="P722" i="353"/>
  <c r="P723" i="353"/>
  <c r="P724" i="353"/>
  <c r="P725" i="353"/>
  <c r="P726" i="353"/>
  <c r="P727" i="353"/>
  <c r="P728" i="353"/>
  <c r="P729" i="353"/>
  <c r="P730" i="353"/>
  <c r="P731" i="353"/>
  <c r="P732" i="353"/>
  <c r="P733" i="353"/>
  <c r="P734" i="353"/>
  <c r="P735" i="353"/>
  <c r="P736" i="353"/>
  <c r="P737" i="353"/>
  <c r="P738" i="353"/>
  <c r="P739" i="353"/>
  <c r="P740" i="353"/>
  <c r="P741" i="353"/>
  <c r="P742" i="353"/>
  <c r="P743" i="353"/>
  <c r="P744" i="353"/>
  <c r="P745" i="353"/>
  <c r="P746" i="353"/>
  <c r="P747" i="353"/>
  <c r="P748" i="353"/>
  <c r="P749" i="353"/>
  <c r="P750" i="353"/>
  <c r="P751" i="353"/>
  <c r="P752" i="353"/>
  <c r="P753" i="353"/>
  <c r="P754" i="353"/>
  <c r="P755" i="353"/>
  <c r="P756" i="353"/>
  <c r="P757" i="353"/>
  <c r="P758" i="353"/>
  <c r="P759" i="353"/>
  <c r="P760" i="353"/>
  <c r="P761" i="353"/>
  <c r="P762" i="353"/>
  <c r="P763" i="353"/>
  <c r="P764" i="353"/>
  <c r="P765" i="353"/>
  <c r="P766" i="353"/>
  <c r="P767" i="353"/>
  <c r="P768" i="353"/>
  <c r="P769" i="353"/>
  <c r="P770" i="353"/>
  <c r="P771" i="353"/>
  <c r="P772" i="353"/>
  <c r="P773" i="353"/>
  <c r="P774" i="353"/>
  <c r="P775" i="353"/>
  <c r="P776" i="353"/>
  <c r="P777" i="353"/>
  <c r="P778" i="353"/>
  <c r="P779" i="353"/>
  <c r="P780" i="353"/>
  <c r="P781" i="353"/>
  <c r="P782" i="353"/>
  <c r="P783" i="353"/>
  <c r="P784" i="353"/>
  <c r="P785" i="353"/>
  <c r="P786" i="353"/>
  <c r="P787" i="353"/>
  <c r="P788" i="353"/>
  <c r="P789" i="353"/>
  <c r="P790" i="353"/>
  <c r="P791" i="353"/>
  <c r="P792" i="353"/>
  <c r="P793" i="353"/>
  <c r="P794" i="353"/>
  <c r="P795" i="353"/>
  <c r="P796" i="353"/>
  <c r="P797" i="353"/>
  <c r="P798" i="353"/>
  <c r="P799" i="353"/>
  <c r="P800" i="353"/>
  <c r="P801" i="353"/>
  <c r="P802" i="353"/>
  <c r="P803" i="353"/>
  <c r="P804" i="353"/>
  <c r="P805" i="353"/>
  <c r="P806" i="353"/>
  <c r="P807" i="353"/>
  <c r="P808" i="353"/>
  <c r="P809" i="353"/>
  <c r="P810" i="353"/>
  <c r="P811" i="353"/>
  <c r="P812" i="353"/>
  <c r="P813" i="353"/>
  <c r="P814" i="353"/>
  <c r="P815" i="353"/>
  <c r="P816" i="353"/>
  <c r="P817" i="353"/>
  <c r="P818" i="353"/>
  <c r="P819" i="353"/>
  <c r="P820" i="353"/>
  <c r="P821" i="353"/>
  <c r="P822" i="353"/>
  <c r="P823" i="353"/>
  <c r="P824" i="353"/>
  <c r="P825" i="353"/>
  <c r="P826" i="353"/>
  <c r="P827" i="353"/>
  <c r="P828" i="353"/>
  <c r="P829" i="353"/>
  <c r="P830" i="353"/>
  <c r="P831" i="353"/>
  <c r="P832" i="353"/>
  <c r="P833" i="353"/>
  <c r="P834" i="353"/>
  <c r="P835" i="353"/>
  <c r="P836" i="353"/>
  <c r="P837" i="353"/>
  <c r="P838" i="353"/>
  <c r="P839" i="353"/>
  <c r="P840" i="353"/>
  <c r="P841" i="353"/>
  <c r="P842" i="353"/>
  <c r="P843" i="353"/>
  <c r="P844" i="353"/>
  <c r="P845" i="353"/>
  <c r="P846" i="353"/>
  <c r="P847" i="353"/>
  <c r="P848" i="353"/>
  <c r="P849" i="353"/>
  <c r="P850" i="353"/>
  <c r="P851" i="353"/>
  <c r="P852" i="353"/>
  <c r="P853" i="353"/>
  <c r="P854" i="353"/>
  <c r="P855" i="353"/>
  <c r="P856" i="353"/>
  <c r="P857" i="353"/>
  <c r="P858" i="353"/>
  <c r="P859" i="353"/>
  <c r="P860" i="353"/>
  <c r="P861" i="353"/>
  <c r="P862" i="353"/>
  <c r="P863" i="353"/>
  <c r="P864" i="353"/>
  <c r="P865" i="353"/>
  <c r="P866" i="353"/>
  <c r="P867" i="353"/>
  <c r="P868" i="353"/>
  <c r="P869" i="353"/>
  <c r="P870" i="353"/>
  <c r="P871" i="353"/>
  <c r="P872" i="353"/>
  <c r="P873" i="353"/>
  <c r="P874" i="353"/>
  <c r="P875" i="353"/>
  <c r="P876" i="353"/>
  <c r="P877" i="353"/>
  <c r="P878" i="353"/>
  <c r="P879" i="353"/>
  <c r="P880" i="353"/>
  <c r="P881" i="353"/>
  <c r="P882" i="353"/>
  <c r="P883" i="353"/>
  <c r="P884" i="353"/>
  <c r="P885" i="353"/>
  <c r="P886" i="353"/>
  <c r="P887" i="353"/>
  <c r="P888" i="353"/>
  <c r="P889" i="353"/>
  <c r="P890" i="353"/>
  <c r="P891" i="353"/>
  <c r="P892" i="353"/>
  <c r="P893" i="353"/>
  <c r="P894" i="353"/>
  <c r="P895" i="353"/>
  <c r="P896" i="353"/>
  <c r="P897" i="353"/>
  <c r="P898" i="353"/>
  <c r="P899" i="353"/>
  <c r="P900" i="353"/>
  <c r="P901" i="353"/>
  <c r="P902" i="353"/>
  <c r="P903" i="353"/>
  <c r="P904" i="353"/>
  <c r="P905" i="353"/>
  <c r="P906" i="353"/>
  <c r="P907" i="353"/>
  <c r="P908" i="353"/>
  <c r="P909" i="353"/>
  <c r="P910" i="353"/>
  <c r="P911" i="353"/>
  <c r="P912" i="353"/>
  <c r="P913" i="353"/>
  <c r="P914" i="353"/>
  <c r="P915" i="353"/>
  <c r="P916" i="353"/>
  <c r="P917" i="353"/>
  <c r="P918" i="353"/>
  <c r="P919" i="353"/>
  <c r="P920" i="353"/>
  <c r="P921" i="353"/>
  <c r="P922" i="353"/>
  <c r="P923" i="353"/>
  <c r="P924" i="353"/>
  <c r="P925" i="353"/>
  <c r="P926" i="353"/>
  <c r="P927" i="353"/>
  <c r="P928" i="353"/>
  <c r="P929" i="353"/>
  <c r="P930" i="353"/>
  <c r="P931" i="353"/>
  <c r="P932" i="353"/>
  <c r="P933" i="353"/>
  <c r="P934" i="353"/>
  <c r="P935" i="353"/>
  <c r="P936" i="353"/>
  <c r="P937" i="353"/>
  <c r="P938" i="353"/>
  <c r="P939" i="353"/>
  <c r="P940" i="353"/>
  <c r="P941" i="353"/>
  <c r="P942" i="353"/>
  <c r="P943" i="353"/>
  <c r="P944" i="353"/>
  <c r="P945" i="353"/>
  <c r="P946" i="353"/>
  <c r="P947" i="353"/>
  <c r="P948" i="353"/>
  <c r="P949" i="353"/>
  <c r="P950" i="353"/>
  <c r="P951" i="353"/>
  <c r="P952" i="353"/>
  <c r="P953" i="353"/>
  <c r="P954" i="353"/>
  <c r="P955" i="353"/>
  <c r="P956" i="353"/>
  <c r="P957" i="353"/>
  <c r="P958" i="353"/>
  <c r="P959" i="353"/>
  <c r="P960" i="353"/>
  <c r="P961" i="353"/>
  <c r="P962" i="353"/>
  <c r="P963" i="353"/>
  <c r="P964" i="353"/>
  <c r="P965" i="353"/>
  <c r="P966" i="353"/>
  <c r="P967" i="353"/>
  <c r="P968" i="353"/>
  <c r="P969" i="353"/>
  <c r="P970" i="353"/>
  <c r="P971" i="353"/>
  <c r="P972" i="353"/>
  <c r="P973" i="353"/>
  <c r="P974" i="353"/>
  <c r="P975" i="353"/>
  <c r="P976" i="353"/>
  <c r="P977" i="353"/>
  <c r="P978" i="353"/>
  <c r="P979" i="353"/>
  <c r="P980" i="353"/>
  <c r="P981" i="353"/>
  <c r="P982" i="353"/>
  <c r="P983" i="353"/>
  <c r="P984" i="353"/>
  <c r="P985" i="353"/>
  <c r="P986" i="353"/>
  <c r="P987" i="353"/>
  <c r="P988" i="353"/>
  <c r="P989" i="353"/>
  <c r="P990" i="353"/>
  <c r="P991" i="353"/>
  <c r="P992" i="353"/>
  <c r="P993" i="353"/>
  <c r="P994" i="353"/>
  <c r="P995" i="353"/>
  <c r="P996" i="353"/>
  <c r="P997" i="353"/>
  <c r="P998" i="353"/>
  <c r="P999" i="353"/>
  <c r="P1000" i="353"/>
  <c r="P1001" i="353"/>
  <c r="P1002" i="353"/>
  <c r="P1003" i="353"/>
  <c r="P1004" i="353"/>
  <c r="P1005" i="353"/>
  <c r="P1006" i="353"/>
  <c r="P1007" i="353"/>
  <c r="P1008" i="353"/>
  <c r="P1009" i="353"/>
  <c r="P1010" i="353"/>
  <c r="P1011" i="353"/>
  <c r="P1012" i="353"/>
  <c r="P1013" i="353"/>
  <c r="P1014" i="353"/>
  <c r="P1015" i="353"/>
  <c r="P1016" i="353"/>
  <c r="P1017" i="353"/>
  <c r="P1018" i="353"/>
  <c r="P1019" i="353"/>
  <c r="P1020" i="353"/>
  <c r="P1021" i="353"/>
  <c r="P1022" i="353"/>
  <c r="P1023" i="353"/>
  <c r="P1024" i="353"/>
  <c r="P1025" i="353"/>
  <c r="P1026" i="353"/>
  <c r="P1027" i="353"/>
  <c r="P1028" i="353"/>
  <c r="P1029" i="353"/>
  <c r="P1030" i="353"/>
  <c r="P1031" i="353"/>
  <c r="P1032" i="353"/>
  <c r="P1033" i="353"/>
  <c r="P1034" i="353"/>
  <c r="P1035" i="353"/>
  <c r="P1036" i="353"/>
  <c r="P1037" i="353"/>
  <c r="P1038" i="353"/>
  <c r="P1039" i="353"/>
  <c r="P1040" i="353"/>
  <c r="P1041" i="353"/>
  <c r="P1042" i="353"/>
  <c r="P1043" i="353"/>
  <c r="P1044" i="353"/>
  <c r="P1045" i="353"/>
  <c r="P1046" i="353"/>
  <c r="P1047" i="353"/>
  <c r="P1048" i="353"/>
  <c r="P1049" i="353"/>
  <c r="P1050" i="353"/>
  <c r="P1051" i="353"/>
  <c r="P1052" i="353"/>
  <c r="P1053" i="353"/>
  <c r="P1054" i="353"/>
  <c r="P1055" i="353"/>
  <c r="P1056" i="353"/>
  <c r="P1057" i="353"/>
  <c r="P1058" i="353"/>
  <c r="P1059" i="353"/>
  <c r="P1060" i="353"/>
  <c r="P1061" i="353"/>
  <c r="P1062" i="353"/>
  <c r="P1063" i="353"/>
  <c r="P1064" i="353"/>
  <c r="P1065" i="353"/>
  <c r="P1066" i="353"/>
  <c r="P1067" i="353"/>
  <c r="P1068" i="353"/>
  <c r="P1069" i="353"/>
  <c r="P1070" i="353"/>
  <c r="P1071" i="353"/>
  <c r="P1072" i="353"/>
  <c r="P1073" i="353"/>
  <c r="P1074" i="353"/>
  <c r="P1075" i="353"/>
  <c r="P1076" i="353"/>
  <c r="P1077" i="353"/>
  <c r="P1078" i="353"/>
  <c r="P1079" i="353"/>
  <c r="P1080" i="353"/>
  <c r="P1081" i="353"/>
  <c r="P1082" i="353"/>
  <c r="P1083" i="353"/>
  <c r="P1084" i="353"/>
  <c r="P1085" i="353"/>
  <c r="P1086" i="353"/>
  <c r="P1087" i="353"/>
  <c r="P1088" i="353"/>
  <c r="P1089" i="353"/>
  <c r="P1090" i="353"/>
  <c r="P1091" i="353"/>
  <c r="P1092" i="353"/>
  <c r="P1093" i="353"/>
  <c r="P1094" i="353"/>
  <c r="P1095" i="353"/>
  <c r="P1096" i="353"/>
  <c r="P1097" i="353"/>
  <c r="P1098" i="353"/>
  <c r="P1099" i="353"/>
  <c r="P1100" i="353"/>
  <c r="P1101" i="353"/>
  <c r="P1102" i="353"/>
  <c r="P1103" i="353"/>
  <c r="P1104" i="353"/>
  <c r="P1105" i="353"/>
  <c r="P1106" i="353"/>
  <c r="P1107" i="353"/>
  <c r="P1108" i="353"/>
  <c r="P1109" i="353"/>
  <c r="P1110" i="353"/>
  <c r="P1111" i="353"/>
  <c r="P1112" i="353"/>
  <c r="P1113" i="353"/>
  <c r="P1114" i="353"/>
  <c r="P1115" i="353"/>
  <c r="P1116" i="353"/>
  <c r="P1117" i="353"/>
  <c r="P1118" i="353"/>
  <c r="P1119" i="353"/>
  <c r="P1120" i="353"/>
  <c r="P1121" i="353"/>
  <c r="P1122" i="353"/>
  <c r="P1123" i="353"/>
  <c r="P1124" i="353"/>
  <c r="P1125" i="353"/>
  <c r="P1126" i="353"/>
  <c r="P1127" i="353"/>
  <c r="P1128" i="353"/>
  <c r="P1129" i="353"/>
  <c r="P1130" i="353"/>
  <c r="P1131" i="353"/>
  <c r="P1132" i="353"/>
  <c r="P1133" i="353"/>
  <c r="P1134" i="353"/>
  <c r="P1135" i="353"/>
  <c r="P1136" i="353"/>
  <c r="P1137" i="353"/>
  <c r="P1138" i="353"/>
  <c r="P1139" i="353"/>
  <c r="P1140" i="353"/>
  <c r="P1141" i="353"/>
  <c r="P1142" i="353"/>
  <c r="P1143" i="353"/>
  <c r="P1144" i="353"/>
  <c r="P1145" i="353"/>
  <c r="P1146" i="353"/>
  <c r="P1147" i="353"/>
  <c r="P1148" i="353"/>
  <c r="P1149" i="353"/>
  <c r="P1150" i="353"/>
  <c r="P1151" i="353"/>
  <c r="P1152" i="353"/>
  <c r="P1153" i="353"/>
  <c r="P1154" i="353"/>
  <c r="P1155" i="353"/>
  <c r="P1156" i="353"/>
  <c r="P1157" i="353"/>
  <c r="P1158" i="353"/>
  <c r="P1159" i="353"/>
  <c r="P1160" i="353"/>
  <c r="P1161" i="353"/>
  <c r="P1162" i="353"/>
  <c r="P1163" i="353"/>
  <c r="P1164" i="353"/>
  <c r="P1165" i="353"/>
  <c r="P1166" i="353"/>
  <c r="P1167" i="353"/>
  <c r="P1168" i="353"/>
  <c r="P1169" i="353"/>
  <c r="P1170" i="353"/>
  <c r="P1171" i="353"/>
  <c r="P1172" i="353"/>
  <c r="P1173" i="353"/>
  <c r="P1174" i="353"/>
  <c r="P1175" i="353"/>
  <c r="P1176" i="353"/>
  <c r="P1177" i="353"/>
  <c r="P1178" i="353"/>
  <c r="P1179" i="353"/>
  <c r="P1180" i="353"/>
  <c r="P1181" i="353"/>
  <c r="P1182" i="353"/>
  <c r="P1183" i="353"/>
  <c r="P1184" i="353"/>
  <c r="P1185" i="353"/>
  <c r="P1186" i="353"/>
  <c r="P1187" i="353"/>
  <c r="P1188" i="353"/>
  <c r="P1189" i="353"/>
  <c r="P1190" i="353"/>
  <c r="P1191" i="353"/>
  <c r="P1192" i="353"/>
  <c r="P1193" i="353"/>
  <c r="P1194" i="353"/>
  <c r="P1195" i="353"/>
  <c r="P1196" i="353"/>
  <c r="P1197" i="353"/>
  <c r="P1198" i="353"/>
  <c r="P1199" i="353"/>
  <c r="P1200" i="353"/>
  <c r="P1201" i="353"/>
  <c r="P1202" i="353"/>
  <c r="P1203" i="353"/>
  <c r="P1204" i="353"/>
  <c r="P1205" i="353"/>
  <c r="P1206" i="353"/>
  <c r="P1207" i="353"/>
  <c r="P1208" i="353"/>
  <c r="P1209" i="353"/>
  <c r="P1210" i="353"/>
  <c r="P1211" i="353"/>
  <c r="P1212" i="353"/>
  <c r="P1213" i="353"/>
  <c r="P1214" i="353"/>
  <c r="P1215" i="353"/>
  <c r="P1216" i="353"/>
  <c r="P1217" i="353"/>
  <c r="P1218" i="353"/>
  <c r="P1219" i="353"/>
  <c r="P1220" i="353"/>
  <c r="P1221" i="353"/>
  <c r="P1222" i="353"/>
  <c r="P1223" i="353"/>
  <c r="P1224" i="353"/>
  <c r="P1225" i="353"/>
  <c r="P1226" i="353"/>
  <c r="P1227" i="353"/>
  <c r="P1228" i="353"/>
  <c r="P1229" i="353"/>
  <c r="P1230" i="353"/>
  <c r="P1231" i="353"/>
  <c r="P1232" i="353"/>
  <c r="P1233" i="353"/>
  <c r="P1234" i="353"/>
  <c r="P1235" i="353"/>
  <c r="P1236" i="353"/>
  <c r="P1237" i="353"/>
  <c r="P1238" i="353"/>
  <c r="P1239" i="353"/>
  <c r="P1240" i="353"/>
  <c r="P1241" i="353"/>
  <c r="P1242" i="353"/>
  <c r="P1243" i="353"/>
  <c r="P1244" i="353"/>
  <c r="P1245" i="353"/>
  <c r="P1246" i="353"/>
  <c r="P1247" i="353"/>
  <c r="P1248" i="353"/>
  <c r="P1249" i="353"/>
  <c r="P1250" i="353"/>
  <c r="P1251" i="353"/>
  <c r="P1252" i="353"/>
  <c r="P1253" i="353"/>
  <c r="P1254" i="353"/>
  <c r="P1255" i="353"/>
  <c r="P1256" i="353"/>
  <c r="P1257" i="353"/>
  <c r="P1258" i="353"/>
  <c r="P1259" i="353"/>
  <c r="P1260" i="353"/>
  <c r="P1261" i="353"/>
  <c r="P1262" i="353"/>
  <c r="P1263" i="353"/>
  <c r="P1264" i="353"/>
  <c r="P1265" i="353"/>
  <c r="P1266" i="353"/>
  <c r="P1267" i="353"/>
  <c r="P1268" i="353"/>
  <c r="P1269" i="353"/>
  <c r="P1270" i="353"/>
  <c r="P1271" i="353"/>
  <c r="P1272" i="353"/>
  <c r="P1273" i="353"/>
  <c r="P1274" i="353"/>
  <c r="P1275" i="353"/>
  <c r="P1276" i="353"/>
  <c r="P1277" i="353"/>
  <c r="P1278" i="353"/>
  <c r="P1279" i="353"/>
  <c r="P1280" i="353"/>
  <c r="P1281" i="353"/>
  <c r="P1282" i="353"/>
  <c r="P1283" i="353"/>
  <c r="P1284" i="353"/>
  <c r="P1285" i="353"/>
  <c r="P1286" i="353"/>
  <c r="P1287" i="353"/>
  <c r="P1288" i="353"/>
  <c r="P1289" i="353"/>
  <c r="P1290" i="353"/>
  <c r="P1291" i="353"/>
  <c r="P1292" i="353"/>
  <c r="P1293" i="353"/>
  <c r="P1294" i="353"/>
  <c r="P1295" i="353"/>
  <c r="P1296" i="353"/>
  <c r="P1297" i="353"/>
  <c r="P1298" i="353"/>
  <c r="P1299" i="353"/>
  <c r="P1300" i="353"/>
  <c r="P1301" i="353"/>
  <c r="P1302" i="353"/>
  <c r="P1303" i="353"/>
  <c r="P1304" i="353"/>
  <c r="P1305" i="353"/>
  <c r="P1306" i="353"/>
  <c r="P1307" i="353"/>
  <c r="P1308" i="353"/>
  <c r="P1309" i="353"/>
  <c r="P1310" i="353"/>
  <c r="P1311" i="353"/>
  <c r="P1312" i="353"/>
  <c r="P1313" i="353"/>
  <c r="P1314" i="353"/>
  <c r="P1315" i="353"/>
  <c r="P1316" i="353"/>
  <c r="P1317" i="353"/>
  <c r="P1318" i="353"/>
  <c r="P1319" i="353"/>
  <c r="P1320" i="353"/>
  <c r="P1321" i="353"/>
  <c r="P1322" i="353"/>
  <c r="P1323" i="353"/>
  <c r="P1324" i="353"/>
  <c r="P1325" i="353"/>
  <c r="P1326" i="353"/>
  <c r="P1327" i="353"/>
  <c r="P1328" i="353"/>
  <c r="P1329" i="353"/>
  <c r="P1330" i="353"/>
  <c r="P1331" i="353"/>
  <c r="P1332" i="353"/>
  <c r="P1333" i="353"/>
  <c r="P1334" i="353"/>
  <c r="P1335" i="353"/>
  <c r="P1336" i="353"/>
  <c r="P1337" i="353"/>
  <c r="P4" i="353"/>
  <c r="J341" i="353"/>
  <c r="M341" i="353"/>
  <c r="N341" i="353"/>
  <c r="J5" i="353"/>
  <c r="J6" i="353"/>
  <c r="J7" i="353"/>
  <c r="J8" i="353"/>
  <c r="J9" i="353"/>
  <c r="J10" i="353"/>
  <c r="J11" i="353"/>
  <c r="J12" i="353"/>
  <c r="J13" i="353"/>
  <c r="J14" i="353"/>
  <c r="J15" i="353"/>
  <c r="J16" i="353"/>
  <c r="J17" i="353"/>
  <c r="J18" i="353"/>
  <c r="J19" i="353"/>
  <c r="J20" i="353"/>
  <c r="J21" i="353"/>
  <c r="J22" i="353"/>
  <c r="J23" i="353"/>
  <c r="J24" i="353"/>
  <c r="J25" i="353"/>
  <c r="J26" i="353"/>
  <c r="J27" i="353"/>
  <c r="J28" i="353"/>
  <c r="J29" i="353"/>
  <c r="J30" i="353"/>
  <c r="J31" i="353"/>
  <c r="J32" i="353"/>
  <c r="J33" i="353"/>
  <c r="J34" i="353"/>
  <c r="J35" i="353"/>
  <c r="J36" i="353"/>
  <c r="J37" i="353"/>
  <c r="J38" i="353"/>
  <c r="J39" i="353"/>
  <c r="J40" i="353"/>
  <c r="J41" i="353"/>
  <c r="J42" i="353"/>
  <c r="J43" i="353"/>
  <c r="J44" i="353"/>
  <c r="J45" i="353"/>
  <c r="J46" i="353"/>
  <c r="J47" i="353"/>
  <c r="J48" i="353"/>
  <c r="J49" i="353"/>
  <c r="J50" i="353"/>
  <c r="J51" i="353"/>
  <c r="J52" i="353"/>
  <c r="J53" i="353"/>
  <c r="J54" i="353"/>
  <c r="J55" i="353"/>
  <c r="J56" i="353"/>
  <c r="J57" i="353"/>
  <c r="J58" i="353"/>
  <c r="J59" i="353"/>
  <c r="J60" i="353"/>
  <c r="J61" i="353"/>
  <c r="J62" i="353"/>
  <c r="J63" i="353"/>
  <c r="J64" i="353"/>
  <c r="J65" i="353"/>
  <c r="J66" i="353"/>
  <c r="J67" i="353"/>
  <c r="J68" i="353"/>
  <c r="J69" i="353"/>
  <c r="J70" i="353"/>
  <c r="J71" i="353"/>
  <c r="J72" i="353"/>
  <c r="J73" i="353"/>
  <c r="J74" i="353"/>
  <c r="J75" i="353"/>
  <c r="J76" i="353"/>
  <c r="J77" i="353"/>
  <c r="J78" i="353"/>
  <c r="J79" i="353"/>
  <c r="J80" i="353"/>
  <c r="J81" i="353"/>
  <c r="J82" i="353"/>
  <c r="J83" i="353"/>
  <c r="J84" i="353"/>
  <c r="J85" i="353"/>
  <c r="J86" i="353"/>
  <c r="J87" i="353"/>
  <c r="J88" i="353"/>
  <c r="J89" i="353"/>
  <c r="J90" i="353"/>
  <c r="J91" i="353"/>
  <c r="J92" i="353"/>
  <c r="J93" i="353"/>
  <c r="J94" i="353"/>
  <c r="J95" i="353"/>
  <c r="J96" i="353"/>
  <c r="J97" i="353"/>
  <c r="J98" i="353"/>
  <c r="J99" i="353"/>
  <c r="J100" i="353"/>
  <c r="J101" i="353"/>
  <c r="J102" i="353"/>
  <c r="J103" i="353"/>
  <c r="J104" i="353"/>
  <c r="J105" i="353"/>
  <c r="J106" i="353"/>
  <c r="J107" i="353"/>
  <c r="J108" i="353"/>
  <c r="J109" i="353"/>
  <c r="J110" i="353"/>
  <c r="J111" i="353"/>
  <c r="J112" i="353"/>
  <c r="J113" i="353"/>
  <c r="J114" i="353"/>
  <c r="J115" i="353"/>
  <c r="J116" i="353"/>
  <c r="J117" i="353"/>
  <c r="J118" i="353"/>
  <c r="J119" i="353"/>
  <c r="J120" i="353"/>
  <c r="J121" i="353"/>
  <c r="J122" i="353"/>
  <c r="J123" i="353"/>
  <c r="J124" i="353"/>
  <c r="J125" i="353"/>
  <c r="J126" i="353"/>
  <c r="J127" i="353"/>
  <c r="J128" i="353"/>
  <c r="J129" i="353"/>
  <c r="J130" i="353"/>
  <c r="J131" i="353"/>
  <c r="J132" i="353"/>
  <c r="J133" i="353"/>
  <c r="J134" i="353"/>
  <c r="J135" i="353"/>
  <c r="J136" i="353"/>
  <c r="J137" i="353"/>
  <c r="J138" i="353"/>
  <c r="J139" i="353"/>
  <c r="J140" i="353"/>
  <c r="J141" i="353"/>
  <c r="J143" i="353"/>
  <c r="J144" i="353"/>
  <c r="J145" i="353"/>
  <c r="J146" i="353"/>
  <c r="J147" i="353"/>
  <c r="J148" i="353"/>
  <c r="J149" i="353"/>
  <c r="J150" i="353"/>
  <c r="J151" i="353"/>
  <c r="J152" i="353"/>
  <c r="J153" i="353"/>
  <c r="J154" i="353"/>
  <c r="J155" i="353"/>
  <c r="J156" i="353"/>
  <c r="J157" i="353"/>
  <c r="J158" i="353"/>
  <c r="J159" i="353"/>
  <c r="J160" i="353"/>
  <c r="J161" i="353"/>
  <c r="J162" i="353"/>
  <c r="J163" i="353"/>
  <c r="J164" i="353"/>
  <c r="J165" i="353"/>
  <c r="J166" i="353"/>
  <c r="J167" i="353"/>
  <c r="J168" i="353"/>
  <c r="J169" i="353"/>
  <c r="J170" i="353"/>
  <c r="J171" i="353"/>
  <c r="J172" i="353"/>
  <c r="J173" i="353"/>
  <c r="J174" i="353"/>
  <c r="J175" i="353"/>
  <c r="J176" i="353"/>
  <c r="J177" i="353"/>
  <c r="J178" i="353"/>
  <c r="J179" i="353"/>
  <c r="J180" i="353"/>
  <c r="J181" i="353"/>
  <c r="J182" i="353"/>
  <c r="J183" i="353"/>
  <c r="J184" i="353"/>
  <c r="J185" i="353"/>
  <c r="J186" i="353"/>
  <c r="J187" i="353"/>
  <c r="J188" i="353"/>
  <c r="J189" i="353"/>
  <c r="J190" i="353"/>
  <c r="J191" i="353"/>
  <c r="J192" i="353"/>
  <c r="J193" i="353"/>
  <c r="J194" i="353"/>
  <c r="J195" i="353"/>
  <c r="J196" i="353"/>
  <c r="J197" i="353"/>
  <c r="J198" i="353"/>
  <c r="J199" i="353"/>
  <c r="J200" i="353"/>
  <c r="J201" i="353"/>
  <c r="J202" i="353"/>
  <c r="J203" i="353"/>
  <c r="J204" i="353"/>
  <c r="J205" i="353"/>
  <c r="J206" i="353"/>
  <c r="J207" i="353"/>
  <c r="J208" i="353"/>
  <c r="J209" i="353"/>
  <c r="J210" i="353"/>
  <c r="J211" i="353"/>
  <c r="J212" i="353"/>
  <c r="J213" i="353"/>
  <c r="J214" i="353"/>
  <c r="J215" i="353"/>
  <c r="J216" i="353"/>
  <c r="J217" i="353"/>
  <c r="J218" i="353"/>
  <c r="J219" i="353"/>
  <c r="J220" i="353"/>
  <c r="J221" i="353"/>
  <c r="J222" i="353"/>
  <c r="J223" i="353"/>
  <c r="J224" i="353"/>
  <c r="J225" i="353"/>
  <c r="J226" i="353"/>
  <c r="J227" i="353"/>
  <c r="J228" i="353"/>
  <c r="J229" i="353"/>
  <c r="J230" i="353"/>
  <c r="J231" i="353"/>
  <c r="J232" i="353"/>
  <c r="J233" i="353"/>
  <c r="J234" i="353"/>
  <c r="J235" i="353"/>
  <c r="J236" i="353"/>
  <c r="J237" i="353"/>
  <c r="J238" i="353"/>
  <c r="J239" i="353"/>
  <c r="J240" i="353"/>
  <c r="J241" i="353"/>
  <c r="J242" i="353"/>
  <c r="J243" i="353"/>
  <c r="J244" i="353"/>
  <c r="J245" i="353"/>
  <c r="J246" i="353"/>
  <c r="J247" i="353"/>
  <c r="J248" i="353"/>
  <c r="J249" i="353"/>
  <c r="J250" i="353"/>
  <c r="J251" i="353"/>
  <c r="J252" i="353"/>
  <c r="J253" i="353"/>
  <c r="J254" i="353"/>
  <c r="J255" i="353"/>
  <c r="J256" i="353"/>
  <c r="J257" i="353"/>
  <c r="J258" i="353"/>
  <c r="J259" i="353"/>
  <c r="J260" i="353"/>
  <c r="J261" i="353"/>
  <c r="J262" i="353"/>
  <c r="J263" i="353"/>
  <c r="J264" i="353"/>
  <c r="J265" i="353"/>
  <c r="J266" i="353"/>
  <c r="J267" i="353"/>
  <c r="J268" i="353"/>
  <c r="J269" i="353"/>
  <c r="J270" i="353"/>
  <c r="J271" i="353"/>
  <c r="J272" i="353"/>
  <c r="J273" i="353"/>
  <c r="J274" i="353"/>
  <c r="J275" i="353"/>
  <c r="J276" i="353"/>
  <c r="J277" i="353"/>
  <c r="J278" i="353"/>
  <c r="J279" i="353"/>
  <c r="J280" i="353"/>
  <c r="J281" i="353"/>
  <c r="J282" i="353"/>
  <c r="J283" i="353"/>
  <c r="J284" i="353"/>
  <c r="J285" i="353"/>
  <c r="J286" i="353"/>
  <c r="J287" i="353"/>
  <c r="J288" i="353"/>
  <c r="J289" i="353"/>
  <c r="J290" i="353"/>
  <c r="J291" i="353"/>
  <c r="J292" i="353"/>
  <c r="J293" i="353"/>
  <c r="J294" i="353"/>
  <c r="J295" i="353"/>
  <c r="J296" i="353"/>
  <c r="J297" i="353"/>
  <c r="J298" i="353"/>
  <c r="J299" i="353"/>
  <c r="J300" i="353"/>
  <c r="J301" i="353"/>
  <c r="J302" i="353"/>
  <c r="J303" i="353"/>
  <c r="J304" i="353"/>
  <c r="J305" i="353"/>
  <c r="J306" i="353"/>
  <c r="J307" i="353"/>
  <c r="J308" i="353"/>
  <c r="J309" i="353"/>
  <c r="J310" i="353"/>
  <c r="J311" i="353"/>
  <c r="J312" i="353"/>
  <c r="J313" i="353"/>
  <c r="J314" i="353"/>
  <c r="J315" i="353"/>
  <c r="J316" i="353"/>
  <c r="J317" i="353"/>
  <c r="J318" i="353"/>
  <c r="J319" i="353"/>
  <c r="J320" i="353"/>
  <c r="J321" i="353"/>
  <c r="J322" i="353"/>
  <c r="J323" i="353"/>
  <c r="J324" i="353"/>
  <c r="J325" i="353"/>
  <c r="J326" i="353"/>
  <c r="J327" i="353"/>
  <c r="J328" i="353"/>
  <c r="J329" i="353"/>
  <c r="J330" i="353"/>
  <c r="J331" i="353"/>
  <c r="J332" i="353"/>
  <c r="J333" i="353"/>
  <c r="J334" i="353"/>
  <c r="J335" i="353"/>
  <c r="J336" i="353"/>
  <c r="J337" i="353"/>
  <c r="J338" i="353"/>
  <c r="J339" i="353"/>
  <c r="J340" i="353"/>
  <c r="J342" i="353"/>
  <c r="J343" i="353"/>
  <c r="J344" i="353"/>
  <c r="J345" i="353"/>
  <c r="J346" i="353"/>
  <c r="J347" i="353"/>
  <c r="J348" i="353"/>
  <c r="J349" i="353"/>
  <c r="J350" i="353"/>
  <c r="J351" i="353"/>
  <c r="J352" i="353"/>
  <c r="J353" i="353"/>
  <c r="J354" i="353"/>
  <c r="J355" i="353"/>
  <c r="J356" i="353"/>
  <c r="J357" i="353"/>
  <c r="J358" i="353"/>
  <c r="J359" i="353"/>
  <c r="J360" i="353"/>
  <c r="J361" i="353"/>
  <c r="J362" i="353"/>
  <c r="J363" i="353"/>
  <c r="J364" i="353"/>
  <c r="J365" i="353"/>
  <c r="J366" i="353"/>
  <c r="J367" i="353"/>
  <c r="J368" i="353"/>
  <c r="J369" i="353"/>
  <c r="J370" i="353"/>
  <c r="J371" i="353"/>
  <c r="J372" i="353"/>
  <c r="J373" i="353"/>
  <c r="J374" i="353"/>
  <c r="J375" i="353"/>
  <c r="J376" i="353"/>
  <c r="J377" i="353"/>
  <c r="J378" i="353"/>
  <c r="J379" i="353"/>
  <c r="J380" i="353"/>
  <c r="J381" i="353"/>
  <c r="J382" i="353"/>
  <c r="J383" i="353"/>
  <c r="J384" i="353"/>
  <c r="J385" i="353"/>
  <c r="J386" i="353"/>
  <c r="J387" i="353"/>
  <c r="J388" i="353"/>
  <c r="J389" i="353"/>
  <c r="J390" i="353"/>
  <c r="J391" i="353"/>
  <c r="J392" i="353"/>
  <c r="J393" i="353"/>
  <c r="J394" i="353"/>
  <c r="J395" i="353"/>
  <c r="J396" i="353"/>
  <c r="J397" i="353"/>
  <c r="J398" i="353"/>
  <c r="J399" i="353"/>
  <c r="J400" i="353"/>
  <c r="J401" i="353"/>
  <c r="J402" i="353"/>
  <c r="J403" i="353"/>
  <c r="J404" i="353"/>
  <c r="J405" i="353"/>
  <c r="J406" i="353"/>
  <c r="J407" i="353"/>
  <c r="J408" i="353"/>
  <c r="J409" i="353"/>
  <c r="J410" i="353"/>
  <c r="J411" i="353"/>
  <c r="J412" i="353"/>
  <c r="J413" i="353"/>
  <c r="J414" i="353"/>
  <c r="J415" i="353"/>
  <c r="J416" i="353"/>
  <c r="J417" i="353"/>
  <c r="J418" i="353"/>
  <c r="J419" i="353"/>
  <c r="J420" i="353"/>
  <c r="J421" i="353"/>
  <c r="J422" i="353"/>
  <c r="J423" i="353"/>
  <c r="J424" i="353"/>
  <c r="J425" i="353"/>
  <c r="J426" i="353"/>
  <c r="J427" i="353"/>
  <c r="J428" i="353"/>
  <c r="J429" i="353"/>
  <c r="J430" i="353"/>
  <c r="J431" i="353"/>
  <c r="J432" i="353"/>
  <c r="J433" i="353"/>
  <c r="J434" i="353"/>
  <c r="J435" i="353"/>
  <c r="J436" i="353"/>
  <c r="J437" i="353"/>
  <c r="J438" i="353"/>
  <c r="J439" i="353"/>
  <c r="J440" i="353"/>
  <c r="J441" i="353"/>
  <c r="J442" i="353"/>
  <c r="J443" i="353"/>
  <c r="J444" i="353"/>
  <c r="J445" i="353"/>
  <c r="J446" i="353"/>
  <c r="J447" i="353"/>
  <c r="J448" i="353"/>
  <c r="J449" i="353"/>
  <c r="J450" i="353"/>
  <c r="J451" i="353"/>
  <c r="J452" i="353"/>
  <c r="J453" i="353"/>
  <c r="J454" i="353"/>
  <c r="J455" i="353"/>
  <c r="J456" i="353"/>
  <c r="J457" i="353"/>
  <c r="J458" i="353"/>
  <c r="J459" i="353"/>
  <c r="J460" i="353"/>
  <c r="J461" i="353"/>
  <c r="J462" i="353"/>
  <c r="J463" i="353"/>
  <c r="J464" i="353"/>
  <c r="J465" i="353"/>
  <c r="J466" i="353"/>
  <c r="J467" i="353"/>
  <c r="J468" i="353"/>
  <c r="J469" i="353"/>
  <c r="J470" i="353"/>
  <c r="J471" i="353"/>
  <c r="J472" i="353"/>
  <c r="J473" i="353"/>
  <c r="J474" i="353"/>
  <c r="J475" i="353"/>
  <c r="J476" i="353"/>
  <c r="J477" i="353"/>
  <c r="J478" i="353"/>
  <c r="J479" i="353"/>
  <c r="J480" i="353"/>
  <c r="J481" i="353"/>
  <c r="J482" i="353"/>
  <c r="J483" i="353"/>
  <c r="J484" i="353"/>
  <c r="J485" i="353"/>
  <c r="J486" i="353"/>
  <c r="J487" i="353"/>
  <c r="J488" i="353"/>
  <c r="J489" i="353"/>
  <c r="J490" i="353"/>
  <c r="J491" i="353"/>
  <c r="J492" i="353"/>
  <c r="J493" i="353"/>
  <c r="J494" i="353"/>
  <c r="J495" i="353"/>
  <c r="J496" i="353"/>
  <c r="J497" i="353"/>
  <c r="J498" i="353"/>
  <c r="J499" i="353"/>
  <c r="J500" i="353"/>
  <c r="J501" i="353"/>
  <c r="J502" i="353"/>
  <c r="J503" i="353"/>
  <c r="J504" i="353"/>
  <c r="J505" i="353"/>
  <c r="J506" i="353"/>
  <c r="J507" i="353"/>
  <c r="J508" i="353"/>
  <c r="J509" i="353"/>
  <c r="J510" i="353"/>
  <c r="J511" i="353"/>
  <c r="J512" i="353"/>
  <c r="J513" i="353"/>
  <c r="J514" i="353"/>
  <c r="J515" i="353"/>
  <c r="J516" i="353"/>
  <c r="J517" i="353"/>
  <c r="J518" i="353"/>
  <c r="J519" i="353"/>
  <c r="J520" i="353"/>
  <c r="J521" i="353"/>
  <c r="J522" i="353"/>
  <c r="J523" i="353"/>
  <c r="J524" i="353"/>
  <c r="J525" i="353"/>
  <c r="J526" i="353"/>
  <c r="J527" i="353"/>
  <c r="J528" i="353"/>
  <c r="J529" i="353"/>
  <c r="J530" i="353"/>
  <c r="J531" i="353"/>
  <c r="J532" i="353"/>
  <c r="J533" i="353"/>
  <c r="J534" i="353"/>
  <c r="J535" i="353"/>
  <c r="J536" i="353"/>
  <c r="J537" i="353"/>
  <c r="J538" i="353"/>
  <c r="J539" i="353"/>
  <c r="J540" i="353"/>
  <c r="J542" i="353"/>
  <c r="J543" i="353"/>
  <c r="J544" i="353"/>
  <c r="J545" i="353"/>
  <c r="J546" i="353"/>
  <c r="J547" i="353"/>
  <c r="J548" i="353"/>
  <c r="J549" i="353"/>
  <c r="J550" i="353"/>
  <c r="J551" i="353"/>
  <c r="J552" i="353"/>
  <c r="J553" i="353"/>
  <c r="J554" i="353"/>
  <c r="J555" i="353"/>
  <c r="J556" i="353"/>
  <c r="J557" i="353"/>
  <c r="J558" i="353"/>
  <c r="J559" i="353"/>
  <c r="J560" i="353"/>
  <c r="J561" i="353"/>
  <c r="J562" i="353"/>
  <c r="J563" i="353"/>
  <c r="J564" i="353"/>
  <c r="J565" i="353"/>
  <c r="J566" i="353"/>
  <c r="J567" i="353"/>
  <c r="J568" i="353"/>
  <c r="J569" i="353"/>
  <c r="J570" i="353"/>
  <c r="J571" i="353"/>
  <c r="J572" i="353"/>
  <c r="J573" i="353"/>
  <c r="J574" i="353"/>
  <c r="J575" i="353"/>
  <c r="J576" i="353"/>
  <c r="J577" i="353"/>
  <c r="J578" i="353"/>
  <c r="J579" i="353"/>
  <c r="J580" i="353"/>
  <c r="J581" i="353"/>
  <c r="J582" i="353"/>
  <c r="J583" i="353"/>
  <c r="J584" i="353"/>
  <c r="J585" i="353"/>
  <c r="J586" i="353"/>
  <c r="J587" i="353"/>
  <c r="J588" i="353"/>
  <c r="J589" i="353"/>
  <c r="J590" i="353"/>
  <c r="J591" i="353"/>
  <c r="J592" i="353"/>
  <c r="J593" i="353"/>
  <c r="J594" i="353"/>
  <c r="J595" i="353"/>
  <c r="J596" i="353"/>
  <c r="J597" i="353"/>
  <c r="J598" i="353"/>
  <c r="J599" i="353"/>
  <c r="J600" i="353"/>
  <c r="J601" i="353"/>
  <c r="J602" i="353"/>
  <c r="J603" i="353"/>
  <c r="J604" i="353"/>
  <c r="J605" i="353"/>
  <c r="J606" i="353"/>
  <c r="J607" i="353"/>
  <c r="J608" i="353"/>
  <c r="J609" i="353"/>
  <c r="J610" i="353"/>
  <c r="J611" i="353"/>
  <c r="J612" i="353"/>
  <c r="J613" i="353"/>
  <c r="J614" i="353"/>
  <c r="J615" i="353"/>
  <c r="J616" i="353"/>
  <c r="J617" i="353"/>
  <c r="J618" i="353"/>
  <c r="J619" i="353"/>
  <c r="J620" i="353"/>
  <c r="J621" i="353"/>
  <c r="J622" i="353"/>
  <c r="J623" i="353"/>
  <c r="J624" i="353"/>
  <c r="J625" i="353"/>
  <c r="J626" i="353"/>
  <c r="J627" i="353"/>
  <c r="J628" i="353"/>
  <c r="J629" i="353"/>
  <c r="J630" i="353"/>
  <c r="J631" i="353"/>
  <c r="J632" i="353"/>
  <c r="J633" i="353"/>
  <c r="J634" i="353"/>
  <c r="J635" i="353"/>
  <c r="J636" i="353"/>
  <c r="J637" i="353"/>
  <c r="J638" i="353"/>
  <c r="J639" i="353"/>
  <c r="J640" i="353"/>
  <c r="J641" i="353"/>
  <c r="J642" i="353"/>
  <c r="J643" i="353"/>
  <c r="J644" i="353"/>
  <c r="J645" i="353"/>
  <c r="J646" i="353"/>
  <c r="J647" i="353"/>
  <c r="J648" i="353"/>
  <c r="J649" i="353"/>
  <c r="J650" i="353"/>
  <c r="J651" i="353"/>
  <c r="J652" i="353"/>
  <c r="J653" i="353"/>
  <c r="J654" i="353"/>
  <c r="J655" i="353"/>
  <c r="J656" i="353"/>
  <c r="J657" i="353"/>
  <c r="J658" i="353"/>
  <c r="J659" i="353"/>
  <c r="J660" i="353"/>
  <c r="J661" i="353"/>
  <c r="J662" i="353"/>
  <c r="J663" i="353"/>
  <c r="J664" i="353"/>
  <c r="J665" i="353"/>
  <c r="J666" i="353"/>
  <c r="J667" i="353"/>
  <c r="J668" i="353"/>
  <c r="J669" i="353"/>
  <c r="J670" i="353"/>
  <c r="J671" i="353"/>
  <c r="J672" i="353"/>
  <c r="J673" i="353"/>
  <c r="J674" i="353"/>
  <c r="J675" i="353"/>
  <c r="J676" i="353"/>
  <c r="J677" i="353"/>
  <c r="J678" i="353"/>
  <c r="J679" i="353"/>
  <c r="J680" i="353"/>
  <c r="J681" i="353"/>
  <c r="J682" i="353"/>
  <c r="J683" i="353"/>
  <c r="J684" i="353"/>
  <c r="J685" i="353"/>
  <c r="J686" i="353"/>
  <c r="J687" i="353"/>
  <c r="J688" i="353"/>
  <c r="J689" i="353"/>
  <c r="J690" i="353"/>
  <c r="J691" i="353"/>
  <c r="J692" i="353"/>
  <c r="J693" i="353"/>
  <c r="J694" i="353"/>
  <c r="J695" i="353"/>
  <c r="J696" i="353"/>
  <c r="J697" i="353"/>
  <c r="J698" i="353"/>
  <c r="J699" i="353"/>
  <c r="J700" i="353"/>
  <c r="J701" i="353"/>
  <c r="J702" i="353"/>
  <c r="J703" i="353"/>
  <c r="J704" i="353"/>
  <c r="J705" i="353"/>
  <c r="J706" i="353"/>
  <c r="J707" i="353"/>
  <c r="J708" i="353"/>
  <c r="J709" i="353"/>
  <c r="J710" i="353"/>
  <c r="J711" i="353"/>
  <c r="J712" i="353"/>
  <c r="J713" i="353"/>
  <c r="J714" i="353"/>
  <c r="J715" i="353"/>
  <c r="J716" i="353"/>
  <c r="J717" i="353"/>
  <c r="J718" i="353"/>
  <c r="J719" i="353"/>
  <c r="J720" i="353"/>
  <c r="J721" i="353"/>
  <c r="J722" i="353"/>
  <c r="J723" i="353"/>
  <c r="J724" i="353"/>
  <c r="J725" i="353"/>
  <c r="J726" i="353"/>
  <c r="J727" i="353"/>
  <c r="J728" i="353"/>
  <c r="J729" i="353"/>
  <c r="J730" i="353"/>
  <c r="J731" i="353"/>
  <c r="J732" i="353"/>
  <c r="J733" i="353"/>
  <c r="J734" i="353"/>
  <c r="J735" i="353"/>
  <c r="J736" i="353"/>
  <c r="J737" i="353"/>
  <c r="J738" i="353"/>
  <c r="J739" i="353"/>
  <c r="J740" i="353"/>
  <c r="J741" i="353"/>
  <c r="J742" i="353"/>
  <c r="J743" i="353"/>
  <c r="J744" i="353"/>
  <c r="J745" i="353"/>
  <c r="J746" i="353"/>
  <c r="J747" i="353"/>
  <c r="J748" i="353"/>
  <c r="J749" i="353"/>
  <c r="J750" i="353"/>
  <c r="J751" i="353"/>
  <c r="J752" i="353"/>
  <c r="J753" i="353"/>
  <c r="J754" i="353"/>
  <c r="J755" i="353"/>
  <c r="J756" i="353"/>
  <c r="J757" i="353"/>
  <c r="J758" i="353"/>
  <c r="J759" i="353"/>
  <c r="J760" i="353"/>
  <c r="J761" i="353"/>
  <c r="J762" i="353"/>
  <c r="J763" i="353"/>
  <c r="J764" i="353"/>
  <c r="J765" i="353"/>
  <c r="J766" i="353"/>
  <c r="J767" i="353"/>
  <c r="J768" i="353"/>
  <c r="J769" i="353"/>
  <c r="J770" i="353"/>
  <c r="J771" i="353"/>
  <c r="J772" i="353"/>
  <c r="J773" i="353"/>
  <c r="J774" i="353"/>
  <c r="J775" i="353"/>
  <c r="J776" i="353"/>
  <c r="J777" i="353"/>
  <c r="J778" i="353"/>
  <c r="J779" i="353"/>
  <c r="J780" i="353"/>
  <c r="J781" i="353"/>
  <c r="J782" i="353"/>
  <c r="J783" i="353"/>
  <c r="J784" i="353"/>
  <c r="J785" i="353"/>
  <c r="J786" i="353"/>
  <c r="J787" i="353"/>
  <c r="J788" i="353"/>
  <c r="J789" i="353"/>
  <c r="J790" i="353"/>
  <c r="J791" i="353"/>
  <c r="J792" i="353"/>
  <c r="J793" i="353"/>
  <c r="J794" i="353"/>
  <c r="J795" i="353"/>
  <c r="J796" i="353"/>
  <c r="J797" i="353"/>
  <c r="J798" i="353"/>
  <c r="J799" i="353"/>
  <c r="J800" i="353"/>
  <c r="J801" i="353"/>
  <c r="J802" i="353"/>
  <c r="J803" i="353"/>
  <c r="J804" i="353"/>
  <c r="J805" i="353"/>
  <c r="J806" i="353"/>
  <c r="J807" i="353"/>
  <c r="J808" i="353"/>
  <c r="J809" i="353"/>
  <c r="J810" i="353"/>
  <c r="J811" i="353"/>
  <c r="J812" i="353"/>
  <c r="J813" i="353"/>
  <c r="J814" i="353"/>
  <c r="J815" i="353"/>
  <c r="J816" i="353"/>
  <c r="J817" i="353"/>
  <c r="J818" i="353"/>
  <c r="J819" i="353"/>
  <c r="J820" i="353"/>
  <c r="J821" i="353"/>
  <c r="J822" i="353"/>
  <c r="J823" i="353"/>
  <c r="J824" i="353"/>
  <c r="J825" i="353"/>
  <c r="J826" i="353"/>
  <c r="J827" i="353"/>
  <c r="J828" i="353"/>
  <c r="J829" i="353"/>
  <c r="J830" i="353"/>
  <c r="J831" i="353"/>
  <c r="J832" i="353"/>
  <c r="J833" i="353"/>
  <c r="J834" i="353"/>
  <c r="J835" i="353"/>
  <c r="J836" i="353"/>
  <c r="J837" i="353"/>
  <c r="J838" i="353"/>
  <c r="J839" i="353"/>
  <c r="J840" i="353"/>
  <c r="J841" i="353"/>
  <c r="J842" i="353"/>
  <c r="J843" i="353"/>
  <c r="J844" i="353"/>
  <c r="J845" i="353"/>
  <c r="J846" i="353"/>
  <c r="J847" i="353"/>
  <c r="J848" i="353"/>
  <c r="J849" i="353"/>
  <c r="J850" i="353"/>
  <c r="J851" i="353"/>
  <c r="J852" i="353"/>
  <c r="J853" i="353"/>
  <c r="J854" i="353"/>
  <c r="J855" i="353"/>
  <c r="J856" i="353"/>
  <c r="J857" i="353"/>
  <c r="J858" i="353"/>
  <c r="J859" i="353"/>
  <c r="J860" i="353"/>
  <c r="J861" i="353"/>
  <c r="J862" i="353"/>
  <c r="J863" i="353"/>
  <c r="J864" i="353"/>
  <c r="J865" i="353"/>
  <c r="J866" i="353"/>
  <c r="J867" i="353"/>
  <c r="J868" i="353"/>
  <c r="J869" i="353"/>
  <c r="J870" i="353"/>
  <c r="J871" i="353"/>
  <c r="J872" i="353"/>
  <c r="J873" i="353"/>
  <c r="J874" i="353"/>
  <c r="J875" i="353"/>
  <c r="J876" i="353"/>
  <c r="J877" i="353"/>
  <c r="J878" i="353"/>
  <c r="J879" i="353"/>
  <c r="J880" i="353"/>
  <c r="J881" i="353"/>
  <c r="J882" i="353"/>
  <c r="J883" i="353"/>
  <c r="J884" i="353"/>
  <c r="J885" i="353"/>
  <c r="J886" i="353"/>
  <c r="J887" i="353"/>
  <c r="J888" i="353"/>
  <c r="J889" i="353"/>
  <c r="J890" i="353"/>
  <c r="J891" i="353"/>
  <c r="J892" i="353"/>
  <c r="J893" i="353"/>
  <c r="J894" i="353"/>
  <c r="J895" i="353"/>
  <c r="J896" i="353"/>
  <c r="J897" i="353"/>
  <c r="J898" i="353"/>
  <c r="J899" i="353"/>
  <c r="J900" i="353"/>
  <c r="J901" i="353"/>
  <c r="J902" i="353"/>
  <c r="J903" i="353"/>
  <c r="J904" i="353"/>
  <c r="J905" i="353"/>
  <c r="J906" i="353"/>
  <c r="J907" i="353"/>
  <c r="J908" i="353"/>
  <c r="J909" i="353"/>
  <c r="J910" i="353"/>
  <c r="J911" i="353"/>
  <c r="J912" i="353"/>
  <c r="J913" i="353"/>
  <c r="J914" i="353"/>
  <c r="J915" i="353"/>
  <c r="J916" i="353"/>
  <c r="J917" i="353"/>
  <c r="J918" i="353"/>
  <c r="J919" i="353"/>
  <c r="J920" i="353"/>
  <c r="J921" i="353"/>
  <c r="J922" i="353"/>
  <c r="J923" i="353"/>
  <c r="J924" i="353"/>
  <c r="J925" i="353"/>
  <c r="J926" i="353"/>
  <c r="J927" i="353"/>
  <c r="J928" i="353"/>
  <c r="J929" i="353"/>
  <c r="J930" i="353"/>
  <c r="J931" i="353"/>
  <c r="J932" i="353"/>
  <c r="J933" i="353"/>
  <c r="J934" i="353"/>
  <c r="J935" i="353"/>
  <c r="J936" i="353"/>
  <c r="J937" i="353"/>
  <c r="J938" i="353"/>
  <c r="J939" i="353"/>
  <c r="J940" i="353"/>
  <c r="J941" i="353"/>
  <c r="J942" i="353"/>
  <c r="J943" i="353"/>
  <c r="J944" i="353"/>
  <c r="J946" i="353"/>
  <c r="J947" i="353"/>
  <c r="J948" i="353"/>
  <c r="J949" i="353"/>
  <c r="J950" i="353"/>
  <c r="J951" i="353"/>
  <c r="J952" i="353"/>
  <c r="J953" i="353"/>
  <c r="J954" i="353"/>
  <c r="J955" i="353"/>
  <c r="J956" i="353"/>
  <c r="J957" i="353"/>
  <c r="J958" i="353"/>
  <c r="J959" i="353"/>
  <c r="J960" i="353"/>
  <c r="J961" i="353"/>
  <c r="J962" i="353"/>
  <c r="J963" i="353"/>
  <c r="J964" i="353"/>
  <c r="J965" i="353"/>
  <c r="J966" i="353"/>
  <c r="J967" i="353"/>
  <c r="J968" i="353"/>
  <c r="J969" i="353"/>
  <c r="J970" i="353"/>
  <c r="J971" i="353"/>
  <c r="J972" i="353"/>
  <c r="J973" i="353"/>
  <c r="J974" i="353"/>
  <c r="J975" i="353"/>
  <c r="J976" i="353"/>
  <c r="J977" i="353"/>
  <c r="J978" i="353"/>
  <c r="J979" i="353"/>
  <c r="J980" i="353"/>
  <c r="J981" i="353"/>
  <c r="J982" i="353"/>
  <c r="J983" i="353"/>
  <c r="J984" i="353"/>
  <c r="J985" i="353"/>
  <c r="J986" i="353"/>
  <c r="J987" i="353"/>
  <c r="J988" i="353"/>
  <c r="J989" i="353"/>
  <c r="J990" i="353"/>
  <c r="J991" i="353"/>
  <c r="J992" i="353"/>
  <c r="J993" i="353"/>
  <c r="J994" i="353"/>
  <c r="J995" i="353"/>
  <c r="J996" i="353"/>
  <c r="J997" i="353"/>
  <c r="J998" i="353"/>
  <c r="J999" i="353"/>
  <c r="J1000" i="353"/>
  <c r="J1001" i="353"/>
  <c r="J1002" i="353"/>
  <c r="J1003" i="353"/>
  <c r="J1004" i="353"/>
  <c r="J1005" i="353"/>
  <c r="J1006" i="353"/>
  <c r="J1007" i="353"/>
  <c r="J1008" i="353"/>
  <c r="J1009" i="353"/>
  <c r="J1010" i="353"/>
  <c r="J1011" i="353"/>
  <c r="J1012" i="353"/>
  <c r="J1013" i="353"/>
  <c r="J1014" i="353"/>
  <c r="J1015" i="353"/>
  <c r="J1016" i="353"/>
  <c r="J1017" i="353"/>
  <c r="J1018" i="353"/>
  <c r="J1019" i="353"/>
  <c r="J1020" i="353"/>
  <c r="J1021" i="353"/>
  <c r="J1022" i="353"/>
  <c r="J1023" i="353"/>
  <c r="J1024" i="353"/>
  <c r="J1025" i="353"/>
  <c r="J1026" i="353"/>
  <c r="J1027" i="353"/>
  <c r="J1028" i="353"/>
  <c r="J1029" i="353"/>
  <c r="J1030" i="353"/>
  <c r="J1031" i="353"/>
  <c r="J1032" i="353"/>
  <c r="J1033" i="353"/>
  <c r="J1034" i="353"/>
  <c r="J1035" i="353"/>
  <c r="J1036" i="353"/>
  <c r="J1037" i="353"/>
  <c r="J1038" i="353"/>
  <c r="J1039" i="353"/>
  <c r="J1040" i="353"/>
  <c r="J1041" i="353"/>
  <c r="J1042" i="353"/>
  <c r="J1043" i="353"/>
  <c r="J1044" i="353"/>
  <c r="J1045" i="353"/>
  <c r="J1046" i="353"/>
  <c r="J1047" i="353"/>
  <c r="J1048" i="353"/>
  <c r="J1049" i="353"/>
  <c r="J1050" i="353"/>
  <c r="J1051" i="353"/>
  <c r="J1052" i="353"/>
  <c r="J1053" i="353"/>
  <c r="J1054" i="353"/>
  <c r="J1055" i="353"/>
  <c r="J1056" i="353"/>
  <c r="J1057" i="353"/>
  <c r="J1058" i="353"/>
  <c r="J1059" i="353"/>
  <c r="J1060" i="353"/>
  <c r="J1061" i="353"/>
  <c r="J1062" i="353"/>
  <c r="J1063" i="353"/>
  <c r="J1064" i="353"/>
  <c r="J1065" i="353"/>
  <c r="J1066" i="353"/>
  <c r="J1067" i="353"/>
  <c r="J1068" i="353"/>
  <c r="J1069" i="353"/>
  <c r="J1070" i="353"/>
  <c r="J1071" i="353"/>
  <c r="J1072" i="353"/>
  <c r="J1073" i="353"/>
  <c r="J1074" i="353"/>
  <c r="J1075" i="353"/>
  <c r="J1076" i="353"/>
  <c r="J1077" i="353"/>
  <c r="J1078" i="353"/>
  <c r="J1079" i="353"/>
  <c r="J1080" i="353"/>
  <c r="J1081" i="353"/>
  <c r="J1082" i="353"/>
  <c r="J1083" i="353"/>
  <c r="J1084" i="353"/>
  <c r="J1085" i="353"/>
  <c r="J1086" i="353"/>
  <c r="J1087" i="353"/>
  <c r="J1088" i="353"/>
  <c r="J1089" i="353"/>
  <c r="J1090" i="353"/>
  <c r="J1091" i="353"/>
  <c r="J1092" i="353"/>
  <c r="J1093" i="353"/>
  <c r="J1094" i="353"/>
  <c r="J1095" i="353"/>
  <c r="J1096" i="353"/>
  <c r="J1097" i="353"/>
  <c r="J1098" i="353"/>
  <c r="J1099" i="353"/>
  <c r="J1100" i="353"/>
  <c r="J1101" i="353"/>
  <c r="J1102" i="353"/>
  <c r="J1103" i="353"/>
  <c r="J1104" i="353"/>
  <c r="J1105" i="353"/>
  <c r="J1106" i="353"/>
  <c r="J1107" i="353"/>
  <c r="J1108" i="353"/>
  <c r="J1109" i="353"/>
  <c r="J1110" i="353"/>
  <c r="J1111" i="353"/>
  <c r="J1112" i="353"/>
  <c r="J1113" i="353"/>
  <c r="J1114" i="353"/>
  <c r="J1115" i="353"/>
  <c r="J1116" i="353"/>
  <c r="J1117" i="353"/>
  <c r="J1118" i="353"/>
  <c r="J1119" i="353"/>
  <c r="J1120" i="353"/>
  <c r="J1121" i="353"/>
  <c r="J1122" i="353"/>
  <c r="J1123" i="353"/>
  <c r="J1124" i="353"/>
  <c r="J1125" i="353"/>
  <c r="J1126" i="353"/>
  <c r="J1127" i="353"/>
  <c r="J1128" i="353"/>
  <c r="J1129" i="353"/>
  <c r="J1130" i="353"/>
  <c r="J1131" i="353"/>
  <c r="J1132" i="353"/>
  <c r="J1133" i="353"/>
  <c r="J1134" i="353"/>
  <c r="J1135" i="353"/>
  <c r="J1136" i="353"/>
  <c r="J1137" i="353"/>
  <c r="J1138" i="353"/>
  <c r="J1139" i="353"/>
  <c r="J1140" i="353"/>
  <c r="J1141" i="353"/>
  <c r="J1142" i="353"/>
  <c r="J1143" i="353"/>
  <c r="J1144" i="353"/>
  <c r="J1145" i="353"/>
  <c r="J1146" i="353"/>
  <c r="J1147" i="353"/>
  <c r="J1148" i="353"/>
  <c r="J1149" i="353"/>
  <c r="J1150" i="353"/>
  <c r="J1151" i="353"/>
  <c r="J1152" i="353"/>
  <c r="J1153" i="353"/>
  <c r="J1154" i="353"/>
  <c r="J1155" i="353"/>
  <c r="J1156" i="353"/>
  <c r="J1157" i="353"/>
  <c r="J1158" i="353"/>
  <c r="J1159" i="353"/>
  <c r="J1160" i="353"/>
  <c r="J1161" i="353"/>
  <c r="J1162" i="353"/>
  <c r="J1163" i="353"/>
  <c r="J1164" i="353"/>
  <c r="J1165" i="353"/>
  <c r="J1166" i="353"/>
  <c r="J1167" i="353"/>
  <c r="J1168" i="353"/>
  <c r="J1169" i="353"/>
  <c r="J1170" i="353"/>
  <c r="J1171" i="353"/>
  <c r="J1172" i="353"/>
  <c r="J1173" i="353"/>
  <c r="J1174" i="353"/>
  <c r="J1175" i="353"/>
  <c r="J1176" i="353"/>
  <c r="J1177" i="353"/>
  <c r="J1178" i="353"/>
  <c r="J1179" i="353"/>
  <c r="J1180" i="353"/>
  <c r="J1181" i="353"/>
  <c r="J1182" i="353"/>
  <c r="J1183" i="353"/>
  <c r="J1184" i="353"/>
  <c r="J1185" i="353"/>
  <c r="J1186" i="353"/>
  <c r="J1187" i="353"/>
  <c r="J1188" i="353"/>
  <c r="J1189" i="353"/>
  <c r="J1190" i="353"/>
  <c r="J1191" i="353"/>
  <c r="J1192" i="353"/>
  <c r="J1193" i="353"/>
  <c r="J1194" i="353"/>
  <c r="J1195" i="353"/>
  <c r="J1196" i="353"/>
  <c r="J1197" i="353"/>
  <c r="J1198" i="353"/>
  <c r="J1199" i="353"/>
  <c r="J1200" i="353"/>
  <c r="J1201" i="353"/>
  <c r="J1202" i="353"/>
  <c r="J1203" i="353"/>
  <c r="J1204" i="353"/>
  <c r="J1205" i="353"/>
  <c r="J1206" i="353"/>
  <c r="J1207" i="353"/>
  <c r="J1208" i="353"/>
  <c r="J1209" i="353"/>
  <c r="J1210" i="353"/>
  <c r="J1211" i="353"/>
  <c r="J1212" i="353"/>
  <c r="J1213" i="353"/>
  <c r="J1214" i="353"/>
  <c r="J1215" i="353"/>
  <c r="J1216" i="353"/>
  <c r="J1217" i="353"/>
  <c r="J1218" i="353"/>
  <c r="J1219" i="353"/>
  <c r="J1220" i="353"/>
  <c r="J1221" i="353"/>
  <c r="J1222" i="353"/>
  <c r="J1223" i="353"/>
  <c r="J1224" i="353"/>
  <c r="J1225" i="353"/>
  <c r="J1226" i="353"/>
  <c r="J1227" i="353"/>
  <c r="J1228" i="353"/>
  <c r="J1229" i="353"/>
  <c r="J1230" i="353"/>
  <c r="J1231" i="353"/>
  <c r="J1232" i="353"/>
  <c r="J1233" i="353"/>
  <c r="J1234" i="353"/>
  <c r="J1235" i="353"/>
  <c r="J1236" i="353"/>
  <c r="J1237" i="353"/>
  <c r="J1238" i="353"/>
  <c r="J1239" i="353"/>
  <c r="J1240" i="353"/>
  <c r="J1241" i="353"/>
  <c r="J1242" i="353"/>
  <c r="J1243" i="353"/>
  <c r="J1244" i="353"/>
  <c r="J1245" i="353"/>
  <c r="J1246" i="353"/>
  <c r="J1247" i="353"/>
  <c r="J1248" i="353"/>
  <c r="J1249" i="353"/>
  <c r="J1250" i="353"/>
  <c r="J1251" i="353"/>
  <c r="J1252" i="353"/>
  <c r="J1253" i="353"/>
  <c r="J1254" i="353"/>
  <c r="J1255" i="353"/>
  <c r="J1256" i="353"/>
  <c r="J1257" i="353"/>
  <c r="J1258" i="353"/>
  <c r="J1259" i="353"/>
  <c r="J1260" i="353"/>
  <c r="J1261" i="353"/>
  <c r="J1262" i="353"/>
  <c r="J1263" i="353"/>
  <c r="J1264" i="353"/>
  <c r="J1265" i="353"/>
  <c r="J1266" i="353"/>
  <c r="J1267" i="353"/>
  <c r="J1268" i="353"/>
  <c r="J1269" i="353"/>
  <c r="J1270" i="353"/>
  <c r="J1271" i="353"/>
  <c r="J1272" i="353"/>
  <c r="J1273" i="353"/>
  <c r="J1274" i="353"/>
  <c r="J1275" i="353"/>
  <c r="J1276" i="353"/>
  <c r="J1277" i="353"/>
  <c r="J1278" i="353"/>
  <c r="J1279" i="353"/>
  <c r="J1280" i="353"/>
  <c r="J1281" i="353"/>
  <c r="J1282" i="353"/>
  <c r="J1283" i="353"/>
  <c r="J1284" i="353"/>
  <c r="J1285" i="353"/>
  <c r="J1286" i="353"/>
  <c r="J1287" i="353"/>
  <c r="J1288" i="353"/>
  <c r="J1289" i="353"/>
  <c r="J1290" i="353"/>
  <c r="J1291" i="353"/>
  <c r="J1292" i="353"/>
  <c r="J1293" i="353"/>
  <c r="J1294" i="353"/>
  <c r="J1295" i="353"/>
  <c r="J1296" i="353"/>
  <c r="J1297" i="353"/>
  <c r="J1298" i="353"/>
  <c r="J1299" i="353"/>
  <c r="J1300" i="353"/>
  <c r="J1301" i="353"/>
  <c r="J1302" i="353"/>
  <c r="J1303" i="353"/>
  <c r="J1304" i="353"/>
  <c r="J1305" i="353"/>
  <c r="J1306" i="353"/>
  <c r="J1307" i="353"/>
  <c r="J1308" i="353"/>
  <c r="J1309" i="353"/>
  <c r="J1310" i="353"/>
  <c r="J1311" i="353"/>
  <c r="J1312" i="353"/>
  <c r="J1313" i="353"/>
  <c r="J1314" i="353"/>
  <c r="J1315" i="353"/>
  <c r="J1316" i="353"/>
  <c r="J1317" i="353"/>
  <c r="J1318" i="353"/>
  <c r="J1319" i="353"/>
  <c r="J1320" i="353"/>
  <c r="J1321" i="353"/>
  <c r="J1322" i="353"/>
  <c r="J1323" i="353"/>
  <c r="J1324" i="353"/>
  <c r="J1325" i="353"/>
  <c r="J1326" i="353"/>
  <c r="J1327" i="353"/>
  <c r="J1328" i="353"/>
  <c r="J1329" i="353"/>
  <c r="J1330" i="353"/>
  <c r="J1331" i="353"/>
  <c r="J1332" i="353"/>
  <c r="J1333" i="353"/>
  <c r="J1334" i="353"/>
  <c r="J1335" i="353"/>
  <c r="J1336" i="353"/>
  <c r="J1337" i="353"/>
  <c r="O23" i="402" l="1"/>
  <c r="O25" i="402"/>
  <c r="O27" i="402"/>
  <c r="O31" i="402"/>
  <c r="R208" i="402"/>
  <c r="S208" i="402" s="1"/>
  <c r="R171" i="402"/>
  <c r="S171" i="402" s="1"/>
  <c r="R211" i="402"/>
  <c r="S211" i="402" s="1"/>
  <c r="O24" i="402"/>
  <c r="Q24" i="402" s="1"/>
  <c r="R24" i="402" s="1"/>
  <c r="S24" i="402" s="1"/>
  <c r="O26" i="402"/>
  <c r="Q26" i="402" s="1"/>
  <c r="O36" i="402"/>
  <c r="Q36" i="402" s="1"/>
  <c r="R36" i="402" s="1"/>
  <c r="S36" i="402" s="1"/>
  <c r="O42" i="402"/>
  <c r="Q42" i="402" s="1"/>
  <c r="R42" i="402" s="1"/>
  <c r="S42" i="402" s="1"/>
  <c r="O44" i="402"/>
  <c r="O58" i="402"/>
  <c r="Q58" i="402" s="1"/>
  <c r="R58" i="402" s="1"/>
  <c r="S58" i="402" s="1"/>
  <c r="O25" i="385"/>
  <c r="O27" i="385"/>
  <c r="O29" i="385"/>
  <c r="O31" i="385"/>
  <c r="Q31" i="385" s="1"/>
  <c r="R31" i="385" s="1"/>
  <c r="S31" i="385" s="1"/>
  <c r="O37" i="385"/>
  <c r="O39" i="385"/>
  <c r="Q39" i="385" s="1"/>
  <c r="R39" i="385" s="1"/>
  <c r="S39" i="385" s="1"/>
  <c r="O43" i="385"/>
  <c r="Q43" i="385" s="1"/>
  <c r="R43" i="385" s="1"/>
  <c r="S43" i="385" s="1"/>
  <c r="O45" i="385"/>
  <c r="Q45" i="385" s="1"/>
  <c r="R45" i="385" s="1"/>
  <c r="S45" i="385" s="1"/>
  <c r="O47" i="385"/>
  <c r="O51" i="385"/>
  <c r="Q51" i="385" s="1"/>
  <c r="R51" i="385" s="1"/>
  <c r="S51" i="385" s="1"/>
  <c r="O59" i="385"/>
  <c r="O143" i="385"/>
  <c r="Q143" i="385" s="1"/>
  <c r="O65" i="385"/>
  <c r="Q65" i="385" s="1"/>
  <c r="R65" i="385" s="1"/>
  <c r="S65" i="385" s="1"/>
  <c r="O21" i="400"/>
  <c r="Q21" i="400" s="1"/>
  <c r="R21" i="400" s="1"/>
  <c r="S21" i="400" s="1"/>
  <c r="O23" i="400"/>
  <c r="Q23" i="400" s="1"/>
  <c r="R23" i="400" s="1"/>
  <c r="S23" i="400" s="1"/>
  <c r="O12" i="400"/>
  <c r="O14" i="400"/>
  <c r="Q14" i="400" s="1"/>
  <c r="O16" i="400"/>
  <c r="Q16" i="400" s="1"/>
  <c r="O18" i="400"/>
  <c r="Q18" i="400" s="1"/>
  <c r="R14" i="400"/>
  <c r="S14" i="400" s="1"/>
  <c r="R16" i="400"/>
  <c r="S16" i="400" s="1"/>
  <c r="R18" i="400"/>
  <c r="S18" i="400" s="1"/>
  <c r="O22" i="402"/>
  <c r="Q22" i="402" s="1"/>
  <c r="R22" i="402" s="1"/>
  <c r="S22" i="402" s="1"/>
  <c r="O106" i="402"/>
  <c r="Q106" i="402" s="1"/>
  <c r="R106" i="402" s="1"/>
  <c r="S106" i="402" s="1"/>
  <c r="O108" i="402"/>
  <c r="O132" i="402"/>
  <c r="Q132" i="402" s="1"/>
  <c r="O134" i="402"/>
  <c r="Q134" i="402" s="1"/>
  <c r="R134" i="402" s="1"/>
  <c r="S134" i="402" s="1"/>
  <c r="O138" i="402"/>
  <c r="Q138" i="402" s="1"/>
  <c r="R138" i="402" s="1"/>
  <c r="S138" i="402" s="1"/>
  <c r="O62" i="402"/>
  <c r="O64" i="402"/>
  <c r="Q64" i="402" s="1"/>
  <c r="R64" i="402" s="1"/>
  <c r="S64" i="402" s="1"/>
  <c r="O66" i="402"/>
  <c r="Q66" i="402" s="1"/>
  <c r="R66" i="402" s="1"/>
  <c r="S66" i="402" s="1"/>
  <c r="O68" i="402"/>
  <c r="Q68" i="402" s="1"/>
  <c r="R68" i="402" s="1"/>
  <c r="S68" i="402" s="1"/>
  <c r="O70" i="402"/>
  <c r="O72" i="402"/>
  <c r="Q72" i="402" s="1"/>
  <c r="R72" i="402" s="1"/>
  <c r="S72" i="402" s="1"/>
  <c r="O74" i="402"/>
  <c r="Q74" i="402" s="1"/>
  <c r="R74" i="402" s="1"/>
  <c r="S74" i="402" s="1"/>
  <c r="O76" i="402"/>
  <c r="O105" i="402"/>
  <c r="Q105" i="402" s="1"/>
  <c r="O107" i="402"/>
  <c r="Q107" i="402" s="1"/>
  <c r="R107" i="402" s="1"/>
  <c r="S107" i="402" s="1"/>
  <c r="O109" i="402"/>
  <c r="Q109" i="402" s="1"/>
  <c r="R109" i="402" s="1"/>
  <c r="S109" i="402" s="1"/>
  <c r="O111" i="402"/>
  <c r="Q111" i="402" s="1"/>
  <c r="R111" i="402" s="1"/>
  <c r="S111" i="402" s="1"/>
  <c r="O123" i="402"/>
  <c r="O127" i="402"/>
  <c r="Q127" i="402" s="1"/>
  <c r="R127" i="402" s="1"/>
  <c r="S127" i="402" s="1"/>
  <c r="O203" i="402"/>
  <c r="Q203" i="402" s="1"/>
  <c r="R203" i="402" s="1"/>
  <c r="S203" i="402" s="1"/>
  <c r="O66" i="405"/>
  <c r="O96" i="405"/>
  <c r="O120" i="405"/>
  <c r="Q120" i="405" s="1"/>
  <c r="R120" i="405" s="1"/>
  <c r="S120" i="405" s="1"/>
  <c r="O122" i="405"/>
  <c r="O124" i="405"/>
  <c r="O126" i="405"/>
  <c r="O128" i="405"/>
  <c r="O130" i="405"/>
  <c r="Q130" i="405" s="1"/>
  <c r="R130" i="405" s="1"/>
  <c r="S130" i="405" s="1"/>
  <c r="O132" i="405"/>
  <c r="O134" i="405"/>
  <c r="Q134" i="405" s="1"/>
  <c r="R134" i="405" s="1"/>
  <c r="S134" i="405" s="1"/>
  <c r="O136" i="405"/>
  <c r="O138" i="405"/>
  <c r="Q61" i="405"/>
  <c r="Q63" i="405"/>
  <c r="Q65" i="405"/>
  <c r="Q67" i="405"/>
  <c r="R67" i="405" s="1"/>
  <c r="S67" i="405" s="1"/>
  <c r="Q97" i="405"/>
  <c r="O52" i="405"/>
  <c r="Q52" i="405" s="1"/>
  <c r="R52" i="405" s="1"/>
  <c r="S52" i="405" s="1"/>
  <c r="Q43" i="405"/>
  <c r="R43" i="405" s="1"/>
  <c r="S43" i="405" s="1"/>
  <c r="Q66" i="405"/>
  <c r="R66" i="405" s="1"/>
  <c r="S66" i="405" s="1"/>
  <c r="Q122" i="405"/>
  <c r="R122" i="405" s="1"/>
  <c r="S122" i="405" s="1"/>
  <c r="Q124" i="405"/>
  <c r="R124" i="405" s="1"/>
  <c r="S124" i="405" s="1"/>
  <c r="Q126" i="405"/>
  <c r="R126" i="405" s="1"/>
  <c r="S126" i="405" s="1"/>
  <c r="Q128" i="405"/>
  <c r="R128" i="405" s="1"/>
  <c r="S128" i="405" s="1"/>
  <c r="Q132" i="405"/>
  <c r="R132" i="405" s="1"/>
  <c r="S132" i="405" s="1"/>
  <c r="O56" i="405"/>
  <c r="Q56" i="405" s="1"/>
  <c r="R56" i="405" s="1"/>
  <c r="S56" i="405" s="1"/>
  <c r="O5" i="405"/>
  <c r="Q5" i="405" s="1"/>
  <c r="R5" i="405" s="1"/>
  <c r="S5" i="405" s="1"/>
  <c r="O45" i="405"/>
  <c r="Q45" i="405" s="1"/>
  <c r="R45" i="405" s="1"/>
  <c r="S45" i="405" s="1"/>
  <c r="O47" i="405"/>
  <c r="Q47" i="405" s="1"/>
  <c r="R47" i="405" s="1"/>
  <c r="S47" i="405" s="1"/>
  <c r="O49" i="405"/>
  <c r="Q49" i="405" s="1"/>
  <c r="R49" i="405" s="1"/>
  <c r="S49" i="405" s="1"/>
  <c r="O51" i="405"/>
  <c r="Q51" i="405" s="1"/>
  <c r="R51" i="405" s="1"/>
  <c r="S51" i="405" s="1"/>
  <c r="O60" i="405"/>
  <c r="O68" i="405"/>
  <c r="Q68" i="405" s="1"/>
  <c r="R68" i="405" s="1"/>
  <c r="S68" i="405" s="1"/>
  <c r="O72" i="405"/>
  <c r="O82" i="405"/>
  <c r="Q82" i="405" s="1"/>
  <c r="R82" i="405" s="1"/>
  <c r="S82" i="405" s="1"/>
  <c r="O84" i="405"/>
  <c r="Q84" i="405" s="1"/>
  <c r="R84" i="405" s="1"/>
  <c r="S84" i="405" s="1"/>
  <c r="O86" i="405"/>
  <c r="Q86" i="405" s="1"/>
  <c r="R86" i="405" s="1"/>
  <c r="S86" i="405" s="1"/>
  <c r="O88" i="405"/>
  <c r="Q88" i="405" s="1"/>
  <c r="R88" i="405" s="1"/>
  <c r="S88" i="405" s="1"/>
  <c r="O7" i="405"/>
  <c r="Q7" i="405" s="1"/>
  <c r="R7" i="405" s="1"/>
  <c r="S7" i="405" s="1"/>
  <c r="O9" i="405"/>
  <c r="Q9" i="405" s="1"/>
  <c r="R9" i="405" s="1"/>
  <c r="S9" i="405" s="1"/>
  <c r="O11" i="405"/>
  <c r="Q11" i="405" s="1"/>
  <c r="R11" i="405" s="1"/>
  <c r="S11" i="405" s="1"/>
  <c r="O13" i="405"/>
  <c r="Q13" i="405" s="1"/>
  <c r="R13" i="405" s="1"/>
  <c r="S13" i="405" s="1"/>
  <c r="O15" i="405"/>
  <c r="Q15" i="405" s="1"/>
  <c r="R15" i="405" s="1"/>
  <c r="S15" i="405" s="1"/>
  <c r="O17" i="405"/>
  <c r="Q17" i="405" s="1"/>
  <c r="R17" i="405" s="1"/>
  <c r="S17" i="405" s="1"/>
  <c r="O19" i="405"/>
  <c r="Q19" i="405" s="1"/>
  <c r="R19" i="405" s="1"/>
  <c r="S19" i="405" s="1"/>
  <c r="O21" i="405"/>
  <c r="Q21" i="405" s="1"/>
  <c r="R21" i="405" s="1"/>
  <c r="S21" i="405" s="1"/>
  <c r="O23" i="405"/>
  <c r="Q23" i="405" s="1"/>
  <c r="R23" i="405" s="1"/>
  <c r="S23" i="405" s="1"/>
  <c r="O25" i="405"/>
  <c r="Q25" i="405" s="1"/>
  <c r="R25" i="405" s="1"/>
  <c r="S25" i="405" s="1"/>
  <c r="O27" i="405"/>
  <c r="Q27" i="405" s="1"/>
  <c r="R27" i="405" s="1"/>
  <c r="S27" i="405" s="1"/>
  <c r="O29" i="405"/>
  <c r="Q29" i="405" s="1"/>
  <c r="R29" i="405" s="1"/>
  <c r="S29" i="405" s="1"/>
  <c r="O31" i="405"/>
  <c r="Q31" i="405" s="1"/>
  <c r="R31" i="405" s="1"/>
  <c r="S31" i="405" s="1"/>
  <c r="O33" i="405"/>
  <c r="Q33" i="405" s="1"/>
  <c r="R33" i="405" s="1"/>
  <c r="S33" i="405" s="1"/>
  <c r="O35" i="405"/>
  <c r="Q35" i="405" s="1"/>
  <c r="R35" i="405" s="1"/>
  <c r="S35" i="405" s="1"/>
  <c r="O37" i="405"/>
  <c r="Q37" i="405" s="1"/>
  <c r="R37" i="405" s="1"/>
  <c r="S37" i="405" s="1"/>
  <c r="O39" i="405"/>
  <c r="Q39" i="405" s="1"/>
  <c r="R39" i="405" s="1"/>
  <c r="S39" i="405" s="1"/>
  <c r="O41" i="405"/>
  <c r="Q41" i="405" s="1"/>
  <c r="R41" i="405" s="1"/>
  <c r="S41" i="405" s="1"/>
  <c r="Q55" i="405"/>
  <c r="R55" i="405" s="1"/>
  <c r="S55" i="405" s="1"/>
  <c r="R61" i="405"/>
  <c r="S61" i="405" s="1"/>
  <c r="R63" i="405"/>
  <c r="S63" i="405" s="1"/>
  <c r="O4" i="405"/>
  <c r="Q4" i="405" s="1"/>
  <c r="R4" i="405" s="1"/>
  <c r="S4" i="405" s="1"/>
  <c r="O44" i="405"/>
  <c r="Q44" i="405" s="1"/>
  <c r="R44" i="405" s="1"/>
  <c r="S44" i="405" s="1"/>
  <c r="O46" i="405"/>
  <c r="Q46" i="405" s="1"/>
  <c r="R46" i="405" s="1"/>
  <c r="S46" i="405" s="1"/>
  <c r="O50" i="405"/>
  <c r="Q50" i="405" s="1"/>
  <c r="O71" i="405"/>
  <c r="Q71" i="405" s="1"/>
  <c r="R71" i="405" s="1"/>
  <c r="S71" i="405" s="1"/>
  <c r="O75" i="405"/>
  <c r="Q75" i="405" s="1"/>
  <c r="R75" i="405" s="1"/>
  <c r="S75" i="405" s="1"/>
  <c r="O222" i="402"/>
  <c r="Q222" i="402" s="1"/>
  <c r="R222" i="402" s="1"/>
  <c r="S222" i="402" s="1"/>
  <c r="O186" i="402"/>
  <c r="Q186" i="402" s="1"/>
  <c r="R186" i="402" s="1"/>
  <c r="S186" i="402" s="1"/>
  <c r="O188" i="402"/>
  <c r="Q188" i="402" s="1"/>
  <c r="R188" i="402" s="1"/>
  <c r="S188" i="402" s="1"/>
  <c r="O190" i="402"/>
  <c r="Q190" i="402" s="1"/>
  <c r="R190" i="402" s="1"/>
  <c r="S190" i="402" s="1"/>
  <c r="O194" i="402"/>
  <c r="O202" i="402"/>
  <c r="Q202" i="402" s="1"/>
  <c r="R202" i="402" s="1"/>
  <c r="S202" i="402" s="1"/>
  <c r="R213" i="402"/>
  <c r="O43" i="402"/>
  <c r="Q43" i="402" s="1"/>
  <c r="R43" i="402" s="1"/>
  <c r="S43" i="402" s="1"/>
  <c r="O51" i="402"/>
  <c r="Q51" i="402" s="1"/>
  <c r="R51" i="402" s="1"/>
  <c r="S51" i="402" s="1"/>
  <c r="O77" i="402"/>
  <c r="Q77" i="402" s="1"/>
  <c r="R77" i="402" s="1"/>
  <c r="S77" i="402" s="1"/>
  <c r="O79" i="402"/>
  <c r="Q79" i="402" s="1"/>
  <c r="R79" i="402" s="1"/>
  <c r="S79" i="402" s="1"/>
  <c r="O97" i="402"/>
  <c r="Q97" i="402" s="1"/>
  <c r="R97" i="402" s="1"/>
  <c r="S97" i="402" s="1"/>
  <c r="O99" i="402"/>
  <c r="Q99" i="402" s="1"/>
  <c r="O101" i="402"/>
  <c r="Q101" i="402" s="1"/>
  <c r="R101" i="402" s="1"/>
  <c r="S101" i="402" s="1"/>
  <c r="O103" i="402"/>
  <c r="Q103" i="402" s="1"/>
  <c r="R103" i="402" s="1"/>
  <c r="S103" i="402" s="1"/>
  <c r="Q147" i="402"/>
  <c r="R147" i="402" s="1"/>
  <c r="S147" i="402" s="1"/>
  <c r="Q151" i="402"/>
  <c r="R151" i="402" s="1"/>
  <c r="S151" i="402" s="1"/>
  <c r="Q153" i="402"/>
  <c r="R153" i="402" s="1"/>
  <c r="Q157" i="402"/>
  <c r="Q159" i="402"/>
  <c r="R159" i="402" s="1"/>
  <c r="S159" i="402" s="1"/>
  <c r="O219" i="402"/>
  <c r="Q219" i="402" s="1"/>
  <c r="R219" i="402" s="1"/>
  <c r="S219" i="402" s="1"/>
  <c r="O131" i="402"/>
  <c r="Q131" i="402" s="1"/>
  <c r="R131" i="402" s="1"/>
  <c r="S131" i="402" s="1"/>
  <c r="O135" i="402"/>
  <c r="Q135" i="402" s="1"/>
  <c r="R135" i="402" s="1"/>
  <c r="S135" i="402" s="1"/>
  <c r="O30" i="402"/>
  <c r="Q30" i="402" s="1"/>
  <c r="R30" i="402" s="1"/>
  <c r="S30" i="402" s="1"/>
  <c r="O199" i="402"/>
  <c r="Q199" i="402" s="1"/>
  <c r="R199" i="402" s="1"/>
  <c r="S199" i="402" s="1"/>
  <c r="O201" i="402"/>
  <c r="Q201" i="402" s="1"/>
  <c r="R201" i="402" s="1"/>
  <c r="S201" i="402" s="1"/>
  <c r="O52" i="402"/>
  <c r="Q52" i="402" s="1"/>
  <c r="R52" i="402" s="1"/>
  <c r="S52" i="402" s="1"/>
  <c r="O54" i="402"/>
  <c r="Q54" i="402" s="1"/>
  <c r="R54" i="402" s="1"/>
  <c r="S54" i="402" s="1"/>
  <c r="O56" i="402"/>
  <c r="Q56" i="402" s="1"/>
  <c r="R56" i="402" s="1"/>
  <c r="S56" i="402" s="1"/>
  <c r="O78" i="402"/>
  <c r="Q78" i="402" s="1"/>
  <c r="R78" i="402" s="1"/>
  <c r="S78" i="402" s="1"/>
  <c r="O98" i="402"/>
  <c r="Q98" i="402" s="1"/>
  <c r="R98" i="402" s="1"/>
  <c r="S98" i="402" s="1"/>
  <c r="O100" i="402"/>
  <c r="Q100" i="402" s="1"/>
  <c r="R100" i="402" s="1"/>
  <c r="S100" i="402" s="1"/>
  <c r="O102" i="402"/>
  <c r="Q102" i="402" s="1"/>
  <c r="R102" i="402" s="1"/>
  <c r="S102" i="402" s="1"/>
  <c r="O144" i="402"/>
  <c r="Q144" i="402" s="1"/>
  <c r="R144" i="402" s="1"/>
  <c r="S144" i="402" s="1"/>
  <c r="O148" i="402"/>
  <c r="Q148" i="402" s="1"/>
  <c r="R148" i="402" s="1"/>
  <c r="S148" i="402" s="1"/>
  <c r="O150" i="402"/>
  <c r="Q150" i="402" s="1"/>
  <c r="R150" i="402" s="1"/>
  <c r="S150" i="402" s="1"/>
  <c r="O156" i="402"/>
  <c r="Q156" i="402" s="1"/>
  <c r="R156" i="402" s="1"/>
  <c r="S156" i="402" s="1"/>
  <c r="O158" i="402"/>
  <c r="Q158" i="402" s="1"/>
  <c r="R158" i="402" s="1"/>
  <c r="S158" i="402" s="1"/>
  <c r="O162" i="402"/>
  <c r="Q162" i="402" s="1"/>
  <c r="R162" i="402" s="1"/>
  <c r="S162" i="402" s="1"/>
  <c r="Q25" i="402"/>
  <c r="Q27" i="402"/>
  <c r="R27" i="402" s="1"/>
  <c r="S27" i="402" s="1"/>
  <c r="O110" i="402"/>
  <c r="Q110" i="402" s="1"/>
  <c r="R110" i="402" s="1"/>
  <c r="S110" i="402" s="1"/>
  <c r="O124" i="402"/>
  <c r="Q124" i="402" s="1"/>
  <c r="R124" i="402" s="1"/>
  <c r="S124" i="402" s="1"/>
  <c r="O126" i="402"/>
  <c r="Q126" i="402" s="1"/>
  <c r="R126" i="402" s="1"/>
  <c r="S126" i="402" s="1"/>
  <c r="O130" i="402"/>
  <c r="Q130" i="402" s="1"/>
  <c r="R130" i="402" s="1"/>
  <c r="S130" i="402" s="1"/>
  <c r="O170" i="402"/>
  <c r="Q170" i="402" s="1"/>
  <c r="R170" i="402" s="1"/>
  <c r="S170" i="402" s="1"/>
  <c r="O172" i="402"/>
  <c r="Q172" i="402" s="1"/>
  <c r="R172" i="402" s="1"/>
  <c r="S172" i="402" s="1"/>
  <c r="O174" i="402"/>
  <c r="Q174" i="402" s="1"/>
  <c r="O178" i="402"/>
  <c r="Q178" i="402" s="1"/>
  <c r="R178" i="402" s="1"/>
  <c r="S178" i="402" s="1"/>
  <c r="O207" i="402"/>
  <c r="Q207" i="402" s="1"/>
  <c r="R207" i="402" s="1"/>
  <c r="S207" i="402" s="1"/>
  <c r="O209" i="402"/>
  <c r="Q209" i="402" s="1"/>
  <c r="R209" i="402" s="1"/>
  <c r="S209" i="402" s="1"/>
  <c r="O218" i="402"/>
  <c r="Q218" i="402" s="1"/>
  <c r="R218" i="402" s="1"/>
  <c r="S218" i="402" s="1"/>
  <c r="R50" i="405"/>
  <c r="S50" i="405" s="1"/>
  <c r="Q59" i="405"/>
  <c r="R59" i="405" s="1"/>
  <c r="S59" i="405" s="1"/>
  <c r="R65" i="405"/>
  <c r="S65" i="405" s="1"/>
  <c r="Q72" i="405"/>
  <c r="R72" i="405" s="1"/>
  <c r="S72" i="405" s="1"/>
  <c r="O54" i="405"/>
  <c r="Q54" i="405" s="1"/>
  <c r="R54" i="405" s="1"/>
  <c r="S54" i="405" s="1"/>
  <c r="O69" i="405"/>
  <c r="Q69" i="405" s="1"/>
  <c r="R69" i="405" s="1"/>
  <c r="S69" i="405" s="1"/>
  <c r="O90" i="405"/>
  <c r="Q90" i="405" s="1"/>
  <c r="R90" i="405" s="1"/>
  <c r="S90" i="405" s="1"/>
  <c r="O92" i="405"/>
  <c r="Q92" i="405" s="1"/>
  <c r="R92" i="405" s="1"/>
  <c r="S92" i="405" s="1"/>
  <c r="O157" i="405"/>
  <c r="Q157" i="405" s="1"/>
  <c r="R157" i="405" s="1"/>
  <c r="S157" i="405" s="1"/>
  <c r="O165" i="405"/>
  <c r="Q165" i="405" s="1"/>
  <c r="R165" i="405" s="1"/>
  <c r="S165" i="405" s="1"/>
  <c r="O167" i="405"/>
  <c r="Q167" i="405" s="1"/>
  <c r="R167" i="405" s="1"/>
  <c r="S167" i="405" s="1"/>
  <c r="O173" i="405"/>
  <c r="Q173" i="405" s="1"/>
  <c r="R173" i="405" s="1"/>
  <c r="S173" i="405" s="1"/>
  <c r="O175" i="405"/>
  <c r="Q175" i="405" s="1"/>
  <c r="R175" i="405" s="1"/>
  <c r="S175" i="405" s="1"/>
  <c r="O197" i="405"/>
  <c r="Q197" i="405" s="1"/>
  <c r="R197" i="405" s="1"/>
  <c r="S197" i="405" s="1"/>
  <c r="O48" i="405"/>
  <c r="Q48" i="405" s="1"/>
  <c r="R48" i="405" s="1"/>
  <c r="S48" i="405" s="1"/>
  <c r="O58" i="405"/>
  <c r="Q58" i="405" s="1"/>
  <c r="R58" i="405" s="1"/>
  <c r="S58" i="405" s="1"/>
  <c r="O73" i="405"/>
  <c r="Q73" i="405" s="1"/>
  <c r="R73" i="405" s="1"/>
  <c r="S73" i="405" s="1"/>
  <c r="O62" i="405"/>
  <c r="Q62" i="405" s="1"/>
  <c r="R62" i="405" s="1"/>
  <c r="S62" i="405" s="1"/>
  <c r="O85" i="405"/>
  <c r="Q85" i="405" s="1"/>
  <c r="R85" i="405" s="1"/>
  <c r="S85" i="405" s="1"/>
  <c r="O87" i="405"/>
  <c r="Q87" i="405" s="1"/>
  <c r="R87" i="405" s="1"/>
  <c r="S87" i="405" s="1"/>
  <c r="O53" i="405"/>
  <c r="Q53" i="405" s="1"/>
  <c r="R53" i="405" s="1"/>
  <c r="S53" i="405" s="1"/>
  <c r="Q60" i="405"/>
  <c r="R60" i="405" s="1"/>
  <c r="S60" i="405" s="1"/>
  <c r="O70" i="405"/>
  <c r="Q70" i="405" s="1"/>
  <c r="R70" i="405" s="1"/>
  <c r="S70" i="405" s="1"/>
  <c r="O172" i="405"/>
  <c r="Q172" i="405" s="1"/>
  <c r="O57" i="405"/>
  <c r="Q57" i="405" s="1"/>
  <c r="R57" i="405" s="1"/>
  <c r="S57" i="405" s="1"/>
  <c r="O64" i="405"/>
  <c r="Q64" i="405" s="1"/>
  <c r="R64" i="405" s="1"/>
  <c r="S64" i="405" s="1"/>
  <c r="O74" i="405"/>
  <c r="Q74" i="405" s="1"/>
  <c r="R74" i="405" s="1"/>
  <c r="O220" i="405"/>
  <c r="Q220" i="405" s="1"/>
  <c r="R220" i="405" s="1"/>
  <c r="S220" i="405" s="1"/>
  <c r="R143" i="385"/>
  <c r="S143" i="385" s="1"/>
  <c r="Q25" i="385"/>
  <c r="R25" i="385" s="1"/>
  <c r="S25" i="385" s="1"/>
  <c r="Q27" i="385"/>
  <c r="R27" i="385" s="1"/>
  <c r="S27" i="385" s="1"/>
  <c r="Q59" i="385"/>
  <c r="R59" i="385" s="1"/>
  <c r="S59" i="385" s="1"/>
  <c r="O243" i="382"/>
  <c r="Q243" i="382" s="1"/>
  <c r="O253" i="382"/>
  <c r="O175" i="382"/>
  <c r="Q175" i="382" s="1"/>
  <c r="R175" i="382" s="1"/>
  <c r="S175" i="382" s="1"/>
  <c r="O255" i="382"/>
  <c r="Q255" i="382" s="1"/>
  <c r="O193" i="382"/>
  <c r="R243" i="382"/>
  <c r="S243" i="382" s="1"/>
  <c r="O98" i="384"/>
  <c r="Q98" i="384" s="1"/>
  <c r="R98" i="384" s="1"/>
  <c r="S98" i="384" s="1"/>
  <c r="Q93" i="384"/>
  <c r="Q95" i="384"/>
  <c r="R6" i="384"/>
  <c r="S6" i="384" s="1"/>
  <c r="O32" i="384"/>
  <c r="Q32" i="384" s="1"/>
  <c r="O34" i="384"/>
  <c r="O142" i="385"/>
  <c r="Q142" i="385" s="1"/>
  <c r="R142" i="385" s="1"/>
  <c r="S142" i="385" s="1"/>
  <c r="O69" i="382"/>
  <c r="Q69" i="382" s="1"/>
  <c r="R69" i="382" s="1"/>
  <c r="S69" i="382" s="1"/>
  <c r="O81" i="382"/>
  <c r="Q81" i="382" s="1"/>
  <c r="O83" i="382"/>
  <c r="Q83" i="382" s="1"/>
  <c r="R83" i="382" s="1"/>
  <c r="S83" i="382" s="1"/>
  <c r="O85" i="382"/>
  <c r="Q85" i="382" s="1"/>
  <c r="O87" i="382"/>
  <c r="Q87" i="382" s="1"/>
  <c r="R87" i="382" s="1"/>
  <c r="S87" i="382" s="1"/>
  <c r="O89" i="382"/>
  <c r="Q89" i="382" s="1"/>
  <c r="O91" i="382"/>
  <c r="Q91" i="382" s="1"/>
  <c r="R91" i="382" s="1"/>
  <c r="S91" i="382" s="1"/>
  <c r="O93" i="382"/>
  <c r="Q93" i="382" s="1"/>
  <c r="R93" i="382" s="1"/>
  <c r="S93" i="382" s="1"/>
  <c r="O95" i="382"/>
  <c r="Q95" i="382" s="1"/>
  <c r="R95" i="382" s="1"/>
  <c r="S95" i="382" s="1"/>
  <c r="Q72" i="385"/>
  <c r="R72" i="385" s="1"/>
  <c r="S72" i="385" s="1"/>
  <c r="Q74" i="385"/>
  <c r="R74" i="385" s="1"/>
  <c r="S74" i="385" s="1"/>
  <c r="Q82" i="385"/>
  <c r="R82" i="385" s="1"/>
  <c r="S82" i="385" s="1"/>
  <c r="Q84" i="385"/>
  <c r="R84" i="385" s="1"/>
  <c r="S84" i="385" s="1"/>
  <c r="Q88" i="385"/>
  <c r="R88" i="385" s="1"/>
  <c r="S88" i="385" s="1"/>
  <c r="O118" i="385"/>
  <c r="Q118" i="385" s="1"/>
  <c r="R118" i="385" s="1"/>
  <c r="S118" i="385" s="1"/>
  <c r="O120" i="385"/>
  <c r="Q120" i="385" s="1"/>
  <c r="R120" i="385" s="1"/>
  <c r="S120" i="385" s="1"/>
  <c r="O122" i="385"/>
  <c r="Q122" i="385" s="1"/>
  <c r="R122" i="385" s="1"/>
  <c r="S122" i="385" s="1"/>
  <c r="O124" i="385"/>
  <c r="Q124" i="385" s="1"/>
  <c r="R124" i="385" s="1"/>
  <c r="S124" i="385" s="1"/>
  <c r="O126" i="385"/>
  <c r="Q126" i="385" s="1"/>
  <c r="R126" i="385" s="1"/>
  <c r="S126" i="385" s="1"/>
  <c r="O128" i="385"/>
  <c r="Q128" i="385" s="1"/>
  <c r="R128" i="385" s="1"/>
  <c r="S128" i="385" s="1"/>
  <c r="O130" i="385"/>
  <c r="O132" i="385"/>
  <c r="Q132" i="385" s="1"/>
  <c r="R132" i="385" s="1"/>
  <c r="S132" i="385" s="1"/>
  <c r="O134" i="385"/>
  <c r="Q134" i="385" s="1"/>
  <c r="R134" i="385" s="1"/>
  <c r="S134" i="385" s="1"/>
  <c r="O136" i="385"/>
  <c r="Q136" i="385" s="1"/>
  <c r="R136" i="385" s="1"/>
  <c r="S136" i="385" s="1"/>
  <c r="O138" i="385"/>
  <c r="Q138" i="385" s="1"/>
  <c r="R138" i="385" s="1"/>
  <c r="S138" i="385" s="1"/>
  <c r="O140" i="385"/>
  <c r="Q140" i="385" s="1"/>
  <c r="R140" i="385" s="1"/>
  <c r="S140" i="385" s="1"/>
  <c r="O4" i="385"/>
  <c r="Q4" i="385" s="1"/>
  <c r="R4" i="385" s="1"/>
  <c r="S4" i="385" s="1"/>
  <c r="O8" i="385"/>
  <c r="Q8" i="385" s="1"/>
  <c r="R8" i="385" s="1"/>
  <c r="S8" i="385" s="1"/>
  <c r="O12" i="385"/>
  <c r="O16" i="385"/>
  <c r="Q16" i="385" s="1"/>
  <c r="R16" i="385" s="1"/>
  <c r="S16" i="385" s="1"/>
  <c r="O18" i="385"/>
  <c r="Q18" i="385" s="1"/>
  <c r="R18" i="385" s="1"/>
  <c r="S18" i="385" s="1"/>
  <c r="O20" i="385"/>
  <c r="Q20" i="385" s="1"/>
  <c r="R20" i="385" s="1"/>
  <c r="S20" i="385" s="1"/>
  <c r="O22" i="385"/>
  <c r="Q22" i="385" s="1"/>
  <c r="R22" i="385" s="1"/>
  <c r="S22" i="385" s="1"/>
  <c r="O24" i="385"/>
  <c r="Q24" i="385" s="1"/>
  <c r="R24" i="385" s="1"/>
  <c r="Q193" i="382"/>
  <c r="R193" i="382" s="1"/>
  <c r="S193" i="382" s="1"/>
  <c r="O250" i="382"/>
  <c r="Q250" i="382" s="1"/>
  <c r="R250" i="382" s="1"/>
  <c r="S250" i="382" s="1"/>
  <c r="O259" i="382"/>
  <c r="Q259" i="382" s="1"/>
  <c r="R259" i="382" s="1"/>
  <c r="S259" i="382" s="1"/>
  <c r="O176" i="382"/>
  <c r="Q176" i="382" s="1"/>
  <c r="R176" i="382" s="1"/>
  <c r="S176" i="382" s="1"/>
  <c r="O178" i="382"/>
  <c r="Q178" i="382" s="1"/>
  <c r="R178" i="382" s="1"/>
  <c r="S178" i="382" s="1"/>
  <c r="O180" i="382"/>
  <c r="Q180" i="382" s="1"/>
  <c r="R180" i="382" s="1"/>
  <c r="O182" i="382"/>
  <c r="Q182" i="382" s="1"/>
  <c r="R182" i="382" s="1"/>
  <c r="S182" i="382" s="1"/>
  <c r="O68" i="382"/>
  <c r="Q68" i="382" s="1"/>
  <c r="O80" i="382"/>
  <c r="Q80" i="382" s="1"/>
  <c r="R80" i="382" s="1"/>
  <c r="S80" i="382" s="1"/>
  <c r="O82" i="382"/>
  <c r="Q82" i="382" s="1"/>
  <c r="R82" i="382" s="1"/>
  <c r="S82" i="382" s="1"/>
  <c r="O84" i="382"/>
  <c r="Q84" i="382" s="1"/>
  <c r="O86" i="382"/>
  <c r="Q86" i="382" s="1"/>
  <c r="O88" i="382"/>
  <c r="Q88" i="382" s="1"/>
  <c r="R88" i="382" s="1"/>
  <c r="S88" i="382" s="1"/>
  <c r="O90" i="382"/>
  <c r="Q90" i="382" s="1"/>
  <c r="R90" i="382" s="1"/>
  <c r="S90" i="382" s="1"/>
  <c r="O92" i="382"/>
  <c r="Q92" i="382" s="1"/>
  <c r="R92" i="382" s="1"/>
  <c r="S92" i="382" s="1"/>
  <c r="O94" i="382"/>
  <c r="Q94" i="382" s="1"/>
  <c r="O96" i="382"/>
  <c r="Q96" i="382" s="1"/>
  <c r="O145" i="382"/>
  <c r="Q145" i="382" s="1"/>
  <c r="R145" i="382" s="1"/>
  <c r="S145" i="382" s="1"/>
  <c r="O171" i="382"/>
  <c r="Q171" i="382" s="1"/>
  <c r="R171" i="382" s="1"/>
  <c r="S171" i="382" s="1"/>
  <c r="O195" i="382"/>
  <c r="Q195" i="382" s="1"/>
  <c r="R195" i="382" s="1"/>
  <c r="S195" i="382" s="1"/>
  <c r="O199" i="382"/>
  <c r="Q199" i="382" s="1"/>
  <c r="R199" i="382" s="1"/>
  <c r="S199" i="382" s="1"/>
  <c r="O203" i="382"/>
  <c r="Q203" i="382" s="1"/>
  <c r="R203" i="382" s="1"/>
  <c r="S203" i="382" s="1"/>
  <c r="O218" i="382"/>
  <c r="Q218" i="382" s="1"/>
  <c r="R218" i="382" s="1"/>
  <c r="S218" i="382" s="1"/>
  <c r="O238" i="382"/>
  <c r="O123" i="382"/>
  <c r="Q123" i="382" s="1"/>
  <c r="R123" i="382" s="1"/>
  <c r="S123" i="382" s="1"/>
  <c r="O125" i="382"/>
  <c r="Q125" i="382" s="1"/>
  <c r="R125" i="382" s="1"/>
  <c r="S125" i="382" s="1"/>
  <c r="O127" i="382"/>
  <c r="Q127" i="382" s="1"/>
  <c r="R127" i="382" s="1"/>
  <c r="S127" i="382" s="1"/>
  <c r="O129" i="382"/>
  <c r="Q129" i="382" s="1"/>
  <c r="R129" i="382" s="1"/>
  <c r="S129" i="382" s="1"/>
  <c r="O131" i="382"/>
  <c r="Q131" i="382" s="1"/>
  <c r="R131" i="382" s="1"/>
  <c r="S131" i="382" s="1"/>
  <c r="O133" i="382"/>
  <c r="Q133" i="382" s="1"/>
  <c r="R133" i="382" s="1"/>
  <c r="S133" i="382" s="1"/>
  <c r="O135" i="382"/>
  <c r="O137" i="382"/>
  <c r="O139" i="382"/>
  <c r="O179" i="382"/>
  <c r="Q179" i="382" s="1"/>
  <c r="R179" i="382" s="1"/>
  <c r="S179" i="382" s="1"/>
  <c r="O191" i="382"/>
  <c r="Q191" i="382" s="1"/>
  <c r="R191" i="382" s="1"/>
  <c r="S191" i="382" s="1"/>
  <c r="O261" i="382"/>
  <c r="Q261" i="382" s="1"/>
  <c r="R261" i="382" s="1"/>
  <c r="S261" i="382" s="1"/>
  <c r="O194" i="382"/>
  <c r="Q194" i="382" s="1"/>
  <c r="R194" i="382" s="1"/>
  <c r="S194" i="382" s="1"/>
  <c r="O204" i="382"/>
  <c r="Q204" i="382" s="1"/>
  <c r="R204" i="382" s="1"/>
  <c r="S204" i="382" s="1"/>
  <c r="O215" i="382"/>
  <c r="Q215" i="382" s="1"/>
  <c r="R215" i="382" s="1"/>
  <c r="S215" i="382" s="1"/>
  <c r="O219" i="382"/>
  <c r="Q219" i="382" s="1"/>
  <c r="R219" i="382" s="1"/>
  <c r="S219" i="382" s="1"/>
  <c r="O98" i="382"/>
  <c r="Q98" i="382" s="1"/>
  <c r="R98" i="382" s="1"/>
  <c r="O100" i="382"/>
  <c r="Q100" i="382" s="1"/>
  <c r="R100" i="382" s="1"/>
  <c r="S100" i="382" s="1"/>
  <c r="O207" i="382"/>
  <c r="Q207" i="382" s="1"/>
  <c r="R207" i="382" s="1"/>
  <c r="S207" i="382" s="1"/>
  <c r="O242" i="382"/>
  <c r="O246" i="382"/>
  <c r="Q246" i="382" s="1"/>
  <c r="R246" i="382" s="1"/>
  <c r="S246" i="382" s="1"/>
  <c r="O265" i="382"/>
  <c r="Q265" i="382" s="1"/>
  <c r="R265" i="382" s="1"/>
  <c r="S265" i="382" s="1"/>
  <c r="O269" i="382"/>
  <c r="Q269" i="382" s="1"/>
  <c r="R269" i="382" s="1"/>
  <c r="S269" i="382" s="1"/>
  <c r="O273" i="382"/>
  <c r="Q273" i="382" s="1"/>
  <c r="R273" i="382" s="1"/>
  <c r="S273" i="382" s="1"/>
  <c r="O222" i="382"/>
  <c r="Q222" i="382" s="1"/>
  <c r="R222" i="382" s="1"/>
  <c r="S222" i="382" s="1"/>
  <c r="O236" i="382"/>
  <c r="Q236" i="382" s="1"/>
  <c r="R236" i="382" s="1"/>
  <c r="S236" i="382" s="1"/>
  <c r="O186" i="382"/>
  <c r="Q186" i="382" s="1"/>
  <c r="R186" i="382" s="1"/>
  <c r="S186" i="382" s="1"/>
  <c r="O188" i="382"/>
  <c r="Q188" i="382" s="1"/>
  <c r="R188" i="382" s="1"/>
  <c r="S188" i="382" s="1"/>
  <c r="O200" i="382"/>
  <c r="Q200" i="382" s="1"/>
  <c r="R200" i="382" s="1"/>
  <c r="S200" i="382" s="1"/>
  <c r="O239" i="382"/>
  <c r="Q239" i="382" s="1"/>
  <c r="R239" i="382" s="1"/>
  <c r="S239" i="382" s="1"/>
  <c r="O247" i="382"/>
  <c r="Q247" i="382" s="1"/>
  <c r="R247" i="382" s="1"/>
  <c r="S247" i="382" s="1"/>
  <c r="O262" i="382"/>
  <c r="Q262" i="382" s="1"/>
  <c r="R262" i="382" s="1"/>
  <c r="S262" i="382" s="1"/>
  <c r="O270" i="382"/>
  <c r="Q270" i="382" s="1"/>
  <c r="R270" i="382" s="1"/>
  <c r="S270" i="382" s="1"/>
  <c r="O274" i="382"/>
  <c r="Q274" i="382" s="1"/>
  <c r="R274" i="382" s="1"/>
  <c r="S274" i="382" s="1"/>
  <c r="O181" i="382"/>
  <c r="Q181" i="382" s="1"/>
  <c r="R181" i="382" s="1"/>
  <c r="S181" i="382" s="1"/>
  <c r="O183" i="382"/>
  <c r="Q183" i="382" s="1"/>
  <c r="R183" i="382" s="1"/>
  <c r="O185" i="382"/>
  <c r="Q185" i="382" s="1"/>
  <c r="R185" i="382" s="1"/>
  <c r="S185" i="382" s="1"/>
  <c r="O229" i="382"/>
  <c r="Q229" i="382" s="1"/>
  <c r="R229" i="382" s="1"/>
  <c r="S229" i="382" s="1"/>
  <c r="O231" i="382"/>
  <c r="Q231" i="382" s="1"/>
  <c r="R231" i="382" s="1"/>
  <c r="S231" i="382" s="1"/>
  <c r="R255" i="382"/>
  <c r="S255" i="382" s="1"/>
  <c r="O34" i="386"/>
  <c r="Q34" i="386" s="1"/>
  <c r="R34" i="386" s="1"/>
  <c r="S34" i="386" s="1"/>
  <c r="O66" i="386"/>
  <c r="Q66" i="386" s="1"/>
  <c r="O74" i="386"/>
  <c r="O76" i="386"/>
  <c r="O78" i="386"/>
  <c r="Q78" i="386" s="1"/>
  <c r="O80" i="386"/>
  <c r="Q80" i="386" s="1"/>
  <c r="O82" i="386"/>
  <c r="Q82" i="386" s="1"/>
  <c r="O84" i="386"/>
  <c r="Q84" i="386" s="1"/>
  <c r="R84" i="386" s="1"/>
  <c r="S84" i="386" s="1"/>
  <c r="O104" i="386"/>
  <c r="Q104" i="386" s="1"/>
  <c r="O106" i="386"/>
  <c r="Q106" i="386" s="1"/>
  <c r="O108" i="386"/>
  <c r="O110" i="386"/>
  <c r="Q110" i="386" s="1"/>
  <c r="O112" i="386"/>
  <c r="Q112" i="386" s="1"/>
  <c r="O114" i="386"/>
  <c r="Q114" i="386" s="1"/>
  <c r="O120" i="386"/>
  <c r="Q120" i="386" s="1"/>
  <c r="O122" i="386"/>
  <c r="Q122" i="386" s="1"/>
  <c r="R122" i="386" s="1"/>
  <c r="O124" i="386"/>
  <c r="Q124" i="386" s="1"/>
  <c r="O14" i="386"/>
  <c r="Q14" i="386" s="1"/>
  <c r="R14" i="386" s="1"/>
  <c r="S14" i="386" s="1"/>
  <c r="Q9" i="386"/>
  <c r="R9" i="386" s="1"/>
  <c r="S9" i="386" s="1"/>
  <c r="O42" i="386"/>
  <c r="Q31" i="386"/>
  <c r="Q33" i="386"/>
  <c r="O87" i="386"/>
  <c r="O113" i="386"/>
  <c r="Q113" i="386" s="1"/>
  <c r="R113" i="386" s="1"/>
  <c r="S113" i="386" s="1"/>
  <c r="Q19" i="384"/>
  <c r="R19" i="384" s="1"/>
  <c r="S19" i="384" s="1"/>
  <c r="Q23" i="384"/>
  <c r="R23" i="384" s="1"/>
  <c r="S23" i="384" s="1"/>
  <c r="Q27" i="384"/>
  <c r="Q29" i="384"/>
  <c r="R29" i="384" s="1"/>
  <c r="S29" i="384" s="1"/>
  <c r="Q31" i="384"/>
  <c r="O62" i="384"/>
  <c r="O80" i="384"/>
  <c r="Q80" i="384" s="1"/>
  <c r="R80" i="384" s="1"/>
  <c r="S80" i="384" s="1"/>
  <c r="O15" i="384"/>
  <c r="Q15" i="384" s="1"/>
  <c r="R15" i="384" s="1"/>
  <c r="S15" i="384" s="1"/>
  <c r="R95" i="384"/>
  <c r="S95" i="384" s="1"/>
  <c r="O71" i="384"/>
  <c r="Q71" i="384" s="1"/>
  <c r="R71" i="384" s="1"/>
  <c r="S71" i="384" s="1"/>
  <c r="O40" i="384"/>
  <c r="O42" i="384"/>
  <c r="Q46" i="384"/>
  <c r="Q48" i="384"/>
  <c r="Q52" i="384"/>
  <c r="Q56" i="384"/>
  <c r="R56" i="384" s="1"/>
  <c r="S56" i="384" s="1"/>
  <c r="Q64" i="384"/>
  <c r="O66" i="384"/>
  <c r="Q66" i="384" s="1"/>
  <c r="R66" i="384" s="1"/>
  <c r="S66" i="384" s="1"/>
  <c r="O68" i="384"/>
  <c r="Q68" i="384" s="1"/>
  <c r="O70" i="384"/>
  <c r="Q70" i="384" s="1"/>
  <c r="R70" i="384" s="1"/>
  <c r="S70" i="384" s="1"/>
  <c r="O74" i="384"/>
  <c r="O16" i="384"/>
  <c r="Q16" i="384" s="1"/>
  <c r="R16" i="384" s="1"/>
  <c r="S16" i="384" s="1"/>
  <c r="O18" i="384"/>
  <c r="Q18" i="384" s="1"/>
  <c r="O20" i="384"/>
  <c r="Q20" i="384" s="1"/>
  <c r="R20" i="384" s="1"/>
  <c r="S20" i="384" s="1"/>
  <c r="O22" i="384"/>
  <c r="Q22" i="384" s="1"/>
  <c r="O28" i="384"/>
  <c r="Q28" i="384" s="1"/>
  <c r="R28" i="384" s="1"/>
  <c r="S28" i="384" s="1"/>
  <c r="O30" i="384"/>
  <c r="Q30" i="384" s="1"/>
  <c r="O49" i="384"/>
  <c r="Q49" i="384" s="1"/>
  <c r="R49" i="384" s="1"/>
  <c r="S49" i="384" s="1"/>
  <c r="O75" i="384"/>
  <c r="Q75" i="384" s="1"/>
  <c r="R75" i="384" s="1"/>
  <c r="S75" i="384" s="1"/>
  <c r="O77" i="384"/>
  <c r="Q77" i="384" s="1"/>
  <c r="R77" i="384" s="1"/>
  <c r="S77" i="384" s="1"/>
  <c r="O79" i="384"/>
  <c r="Q79" i="384" s="1"/>
  <c r="R79" i="384" s="1"/>
  <c r="S79" i="384" s="1"/>
  <c r="Q42" i="384"/>
  <c r="R42" i="384" s="1"/>
  <c r="S42" i="384" s="1"/>
  <c r="O67" i="384"/>
  <c r="Q83" i="384"/>
  <c r="R83" i="384" s="1"/>
  <c r="S83" i="384" s="1"/>
  <c r="Q85" i="384"/>
  <c r="R85" i="384" s="1"/>
  <c r="S85" i="384" s="1"/>
  <c r="O87" i="384"/>
  <c r="Q87" i="384" s="1"/>
  <c r="R87" i="384" s="1"/>
  <c r="S87" i="384" s="1"/>
  <c r="O38" i="384"/>
  <c r="Q38" i="384" s="1"/>
  <c r="R38" i="384" s="1"/>
  <c r="S38" i="384" s="1"/>
  <c r="R64" i="384"/>
  <c r="S64" i="384" s="1"/>
  <c r="O58" i="384"/>
  <c r="Q58" i="384" s="1"/>
  <c r="R58" i="384" s="1"/>
  <c r="S58" i="384" s="1"/>
  <c r="O76" i="384"/>
  <c r="O35" i="384"/>
  <c r="O39" i="384"/>
  <c r="Q39" i="384" s="1"/>
  <c r="R39" i="384" s="1"/>
  <c r="S39" i="384" s="1"/>
  <c r="O43" i="384"/>
  <c r="O82" i="384"/>
  <c r="Q82" i="384" s="1"/>
  <c r="R82" i="384" s="1"/>
  <c r="S82" i="384" s="1"/>
  <c r="O84" i="384"/>
  <c r="Q84" i="384" s="1"/>
  <c r="R84" i="384" s="1"/>
  <c r="S84" i="384" s="1"/>
  <c r="O90" i="384"/>
  <c r="Q55" i="384"/>
  <c r="R55" i="384" s="1"/>
  <c r="S55" i="384" s="1"/>
  <c r="Q61" i="384"/>
  <c r="R61" i="384" s="1"/>
  <c r="S61" i="384" s="1"/>
  <c r="Q96" i="384"/>
  <c r="O8" i="404"/>
  <c r="O12" i="404"/>
  <c r="O20" i="404"/>
  <c r="O22" i="404"/>
  <c r="O277" i="382"/>
  <c r="Q277" i="382" s="1"/>
  <c r="R277" i="382" s="1"/>
  <c r="S277" i="382" s="1"/>
  <c r="R96" i="382"/>
  <c r="S96" i="382" s="1"/>
  <c r="O142" i="382"/>
  <c r="Q142" i="382" s="1"/>
  <c r="R142" i="382" s="1"/>
  <c r="S142" i="382" s="1"/>
  <c r="O144" i="382"/>
  <c r="Q144" i="382" s="1"/>
  <c r="R144" i="382" s="1"/>
  <c r="S144" i="382" s="1"/>
  <c r="O196" i="382"/>
  <c r="Q196" i="382" s="1"/>
  <c r="O220" i="382"/>
  <c r="Q220" i="382" s="1"/>
  <c r="R220" i="382" s="1"/>
  <c r="S220" i="382" s="1"/>
  <c r="O226" i="382"/>
  <c r="Q226" i="382" s="1"/>
  <c r="R226" i="382" s="1"/>
  <c r="S226" i="382" s="1"/>
  <c r="O230" i="382"/>
  <c r="Q230" i="382" s="1"/>
  <c r="R230" i="382" s="1"/>
  <c r="S230" i="382" s="1"/>
  <c r="O241" i="382"/>
  <c r="Q241" i="382" s="1"/>
  <c r="R241" i="382" s="1"/>
  <c r="S241" i="382" s="1"/>
  <c r="O251" i="382"/>
  <c r="Q251" i="382" s="1"/>
  <c r="R251" i="382" s="1"/>
  <c r="S251" i="382" s="1"/>
  <c r="O146" i="382"/>
  <c r="Q146" i="382" s="1"/>
  <c r="R146" i="382" s="1"/>
  <c r="S146" i="382" s="1"/>
  <c r="O148" i="382"/>
  <c r="Q148" i="382" s="1"/>
  <c r="R148" i="382" s="1"/>
  <c r="S148" i="382" s="1"/>
  <c r="O150" i="382"/>
  <c r="Q150" i="382" s="1"/>
  <c r="O152" i="382"/>
  <c r="Q152" i="382" s="1"/>
  <c r="R152" i="382" s="1"/>
  <c r="S152" i="382" s="1"/>
  <c r="O154" i="382"/>
  <c r="Q154" i="382" s="1"/>
  <c r="R154" i="382" s="1"/>
  <c r="S154" i="382" s="1"/>
  <c r="O164" i="382"/>
  <c r="Q164" i="382" s="1"/>
  <c r="R164" i="382" s="1"/>
  <c r="S164" i="382" s="1"/>
  <c r="O166" i="382"/>
  <c r="Q166" i="382" s="1"/>
  <c r="R166" i="382" s="1"/>
  <c r="S166" i="382" s="1"/>
  <c r="O168" i="382"/>
  <c r="Q168" i="382" s="1"/>
  <c r="R168" i="382" s="1"/>
  <c r="S168" i="382" s="1"/>
  <c r="O170" i="382"/>
  <c r="Q170" i="382" s="1"/>
  <c r="R170" i="382" s="1"/>
  <c r="S170" i="382" s="1"/>
  <c r="O172" i="382"/>
  <c r="Q172" i="382" s="1"/>
  <c r="R172" i="382" s="1"/>
  <c r="S172" i="382" s="1"/>
  <c r="O174" i="382"/>
  <c r="Q174" i="382" s="1"/>
  <c r="O189" i="382"/>
  <c r="Q189" i="382" s="1"/>
  <c r="R189" i="382" s="1"/>
  <c r="S189" i="382" s="1"/>
  <c r="O211" i="382"/>
  <c r="Q211" i="382" s="1"/>
  <c r="R211" i="382" s="1"/>
  <c r="S211" i="382" s="1"/>
  <c r="O234" i="382"/>
  <c r="Q234" i="382" s="1"/>
  <c r="R234" i="382" s="1"/>
  <c r="S234" i="382" s="1"/>
  <c r="O258" i="382"/>
  <c r="Q258" i="382" s="1"/>
  <c r="R258" i="382" s="1"/>
  <c r="S258" i="382" s="1"/>
  <c r="O271" i="382"/>
  <c r="Q271" i="382" s="1"/>
  <c r="R271" i="382" s="1"/>
  <c r="S271" i="382" s="1"/>
  <c r="O275" i="382"/>
  <c r="Q275" i="382" s="1"/>
  <c r="R275" i="382" s="1"/>
  <c r="S275" i="382" s="1"/>
  <c r="O4" i="382"/>
  <c r="Q4" i="382" s="1"/>
  <c r="R4" i="382" s="1"/>
  <c r="S4" i="382" s="1"/>
  <c r="O6" i="382"/>
  <c r="Q6" i="382" s="1"/>
  <c r="O8" i="382"/>
  <c r="Q8" i="382" s="1"/>
  <c r="O10" i="382"/>
  <c r="Q10" i="382" s="1"/>
  <c r="O12" i="382"/>
  <c r="Q12" i="382" s="1"/>
  <c r="R12" i="382" s="1"/>
  <c r="S12" i="382" s="1"/>
  <c r="O14" i="382"/>
  <c r="Q14" i="382" s="1"/>
  <c r="R14" i="382" s="1"/>
  <c r="O16" i="382"/>
  <c r="Q16" i="382" s="1"/>
  <c r="R16" i="382" s="1"/>
  <c r="S16" i="382" s="1"/>
  <c r="O18" i="382"/>
  <c r="Q18" i="382" s="1"/>
  <c r="O20" i="382"/>
  <c r="Q20" i="382" s="1"/>
  <c r="R20" i="382" s="1"/>
  <c r="S20" i="382" s="1"/>
  <c r="O22" i="382"/>
  <c r="Q22" i="382" s="1"/>
  <c r="R22" i="382" s="1"/>
  <c r="S22" i="382" s="1"/>
  <c r="O24" i="382"/>
  <c r="Q24" i="382" s="1"/>
  <c r="R24" i="382" s="1"/>
  <c r="S24" i="382" s="1"/>
  <c r="O26" i="382"/>
  <c r="Q26" i="382" s="1"/>
  <c r="O28" i="382"/>
  <c r="Q28" i="382" s="1"/>
  <c r="R28" i="382" s="1"/>
  <c r="S28" i="382" s="1"/>
  <c r="O30" i="382"/>
  <c r="Q30" i="382" s="1"/>
  <c r="R30" i="382" s="1"/>
  <c r="S30" i="382" s="1"/>
  <c r="O32" i="382"/>
  <c r="Q32" i="382" s="1"/>
  <c r="R32" i="382" s="1"/>
  <c r="S32" i="382" s="1"/>
  <c r="O34" i="382"/>
  <c r="Q34" i="382" s="1"/>
  <c r="O36" i="382"/>
  <c r="Q36" i="382" s="1"/>
  <c r="R36" i="382" s="1"/>
  <c r="S36" i="382" s="1"/>
  <c r="O38" i="382"/>
  <c r="Q38" i="382" s="1"/>
  <c r="R38" i="382" s="1"/>
  <c r="S38" i="382" s="1"/>
  <c r="O40" i="382"/>
  <c r="Q40" i="382" s="1"/>
  <c r="R40" i="382" s="1"/>
  <c r="S40" i="382" s="1"/>
  <c r="O42" i="382"/>
  <c r="Q42" i="382" s="1"/>
  <c r="O44" i="382"/>
  <c r="Q44" i="382" s="1"/>
  <c r="R44" i="382" s="1"/>
  <c r="S44" i="382" s="1"/>
  <c r="O46" i="382"/>
  <c r="Q46" i="382" s="1"/>
  <c r="R46" i="382" s="1"/>
  <c r="S46" i="382" s="1"/>
  <c r="O48" i="382"/>
  <c r="Q48" i="382" s="1"/>
  <c r="R48" i="382" s="1"/>
  <c r="S48" i="382" s="1"/>
  <c r="Q242" i="382"/>
  <c r="R242" i="382" s="1"/>
  <c r="S242" i="382" s="1"/>
  <c r="O223" i="382"/>
  <c r="Q223" i="382" s="1"/>
  <c r="R223" i="382" s="1"/>
  <c r="S223" i="382" s="1"/>
  <c r="O227" i="382"/>
  <c r="Q227" i="382" s="1"/>
  <c r="R227" i="382" s="1"/>
  <c r="S227" i="382" s="1"/>
  <c r="O254" i="382"/>
  <c r="Q254" i="382" s="1"/>
  <c r="R254" i="382" s="1"/>
  <c r="S254" i="382" s="1"/>
  <c r="O147" i="382"/>
  <c r="Q147" i="382" s="1"/>
  <c r="R147" i="382" s="1"/>
  <c r="S147" i="382" s="1"/>
  <c r="O149" i="382"/>
  <c r="Q149" i="382" s="1"/>
  <c r="R149" i="382" s="1"/>
  <c r="S149" i="382" s="1"/>
  <c r="O153" i="382"/>
  <c r="Q153" i="382" s="1"/>
  <c r="R153" i="382" s="1"/>
  <c r="S153" i="382" s="1"/>
  <c r="O155" i="382"/>
  <c r="Q155" i="382" s="1"/>
  <c r="R155" i="382" s="1"/>
  <c r="S155" i="382" s="1"/>
  <c r="O157" i="382"/>
  <c r="Q157" i="382" s="1"/>
  <c r="R157" i="382" s="1"/>
  <c r="S157" i="382" s="1"/>
  <c r="O159" i="382"/>
  <c r="Q159" i="382" s="1"/>
  <c r="R159" i="382" s="1"/>
  <c r="S159" i="382" s="1"/>
  <c r="O161" i="382"/>
  <c r="Q161" i="382" s="1"/>
  <c r="O163" i="382"/>
  <c r="Q163" i="382" s="1"/>
  <c r="R163" i="382" s="1"/>
  <c r="S163" i="382" s="1"/>
  <c r="O165" i="382"/>
  <c r="Q165" i="382" s="1"/>
  <c r="R165" i="382" s="1"/>
  <c r="S165" i="382" s="1"/>
  <c r="O167" i="382"/>
  <c r="Q167" i="382" s="1"/>
  <c r="R167" i="382" s="1"/>
  <c r="S167" i="382" s="1"/>
  <c r="O169" i="382"/>
  <c r="Q169" i="382" s="1"/>
  <c r="R169" i="382" s="1"/>
  <c r="S169" i="382" s="1"/>
  <c r="O184" i="382"/>
  <c r="Q184" i="382" s="1"/>
  <c r="R184" i="382" s="1"/>
  <c r="S184" i="382" s="1"/>
  <c r="O190" i="382"/>
  <c r="Q190" i="382" s="1"/>
  <c r="R190" i="382" s="1"/>
  <c r="S190" i="382" s="1"/>
  <c r="O205" i="382"/>
  <c r="Q205" i="382" s="1"/>
  <c r="R205" i="382" s="1"/>
  <c r="S205" i="382" s="1"/>
  <c r="O210" i="382"/>
  <c r="Q210" i="382" s="1"/>
  <c r="R210" i="382" s="1"/>
  <c r="S210" i="382" s="1"/>
  <c r="O214" i="382"/>
  <c r="Q214" i="382" s="1"/>
  <c r="R214" i="382" s="1"/>
  <c r="S214" i="382" s="1"/>
  <c r="O235" i="382"/>
  <c r="Q235" i="382" s="1"/>
  <c r="R235" i="382" s="1"/>
  <c r="S235" i="382" s="1"/>
  <c r="O248" i="382"/>
  <c r="Q248" i="382" s="1"/>
  <c r="R248" i="382" s="1"/>
  <c r="S248" i="382" s="1"/>
  <c r="O257" i="382"/>
  <c r="Q257" i="382" s="1"/>
  <c r="R257" i="382" s="1"/>
  <c r="S257" i="382" s="1"/>
  <c r="O266" i="382"/>
  <c r="Q266" i="382" s="1"/>
  <c r="R266" i="382" s="1"/>
  <c r="S266" i="382" s="1"/>
  <c r="O268" i="382"/>
  <c r="Q268" i="382" s="1"/>
  <c r="R268" i="382" s="1"/>
  <c r="S268" i="382" s="1"/>
  <c r="O77" i="405"/>
  <c r="Q77" i="405" s="1"/>
  <c r="R77" i="405" s="1"/>
  <c r="S77" i="405" s="1"/>
  <c r="O79" i="405"/>
  <c r="Q79" i="405" s="1"/>
  <c r="R79" i="405" s="1"/>
  <c r="S79" i="405" s="1"/>
  <c r="O94" i="405"/>
  <c r="Q94" i="405" s="1"/>
  <c r="R94" i="405" s="1"/>
  <c r="S94" i="405" s="1"/>
  <c r="O141" i="405"/>
  <c r="Q141" i="405" s="1"/>
  <c r="R141" i="405" s="1"/>
  <c r="S141" i="405" s="1"/>
  <c r="O159" i="405"/>
  <c r="Q159" i="405" s="1"/>
  <c r="R159" i="405" s="1"/>
  <c r="S159" i="405" s="1"/>
  <c r="O188" i="405"/>
  <c r="Q188" i="405" s="1"/>
  <c r="R188" i="405" s="1"/>
  <c r="S188" i="405" s="1"/>
  <c r="O199" i="405"/>
  <c r="Q199" i="405" s="1"/>
  <c r="R199" i="405" s="1"/>
  <c r="S199" i="405" s="1"/>
  <c r="O203" i="405"/>
  <c r="Q203" i="405" s="1"/>
  <c r="R203" i="405" s="1"/>
  <c r="S203" i="405" s="1"/>
  <c r="O205" i="405"/>
  <c r="Q205" i="405" s="1"/>
  <c r="R205" i="405" s="1"/>
  <c r="S205" i="405" s="1"/>
  <c r="O207" i="405"/>
  <c r="Q207" i="405" s="1"/>
  <c r="R207" i="405" s="1"/>
  <c r="S207" i="405" s="1"/>
  <c r="Q136" i="405"/>
  <c r="R136" i="405" s="1"/>
  <c r="S136" i="405" s="1"/>
  <c r="Q138" i="405"/>
  <c r="R138" i="405" s="1"/>
  <c r="S138" i="405" s="1"/>
  <c r="O181" i="405"/>
  <c r="Q181" i="405" s="1"/>
  <c r="R181" i="405" s="1"/>
  <c r="S181" i="405" s="1"/>
  <c r="O6" i="405"/>
  <c r="Q6" i="405" s="1"/>
  <c r="R6" i="405" s="1"/>
  <c r="S6" i="405" s="1"/>
  <c r="O8" i="405"/>
  <c r="Q8" i="405" s="1"/>
  <c r="R8" i="405" s="1"/>
  <c r="S8" i="405" s="1"/>
  <c r="O10" i="405"/>
  <c r="Q10" i="405" s="1"/>
  <c r="R10" i="405" s="1"/>
  <c r="S10" i="405" s="1"/>
  <c r="O12" i="405"/>
  <c r="Q12" i="405" s="1"/>
  <c r="R12" i="405" s="1"/>
  <c r="S12" i="405" s="1"/>
  <c r="O14" i="405"/>
  <c r="Q14" i="405" s="1"/>
  <c r="R14" i="405" s="1"/>
  <c r="S14" i="405" s="1"/>
  <c r="O16" i="405"/>
  <c r="Q16" i="405" s="1"/>
  <c r="R16" i="405" s="1"/>
  <c r="S16" i="405" s="1"/>
  <c r="O18" i="405"/>
  <c r="Q18" i="405" s="1"/>
  <c r="R18" i="405" s="1"/>
  <c r="S18" i="405" s="1"/>
  <c r="O20" i="405"/>
  <c r="Q20" i="405" s="1"/>
  <c r="R20" i="405" s="1"/>
  <c r="S20" i="405" s="1"/>
  <c r="O22" i="405"/>
  <c r="Q22" i="405" s="1"/>
  <c r="R22" i="405" s="1"/>
  <c r="S22" i="405" s="1"/>
  <c r="O24" i="405"/>
  <c r="Q24" i="405" s="1"/>
  <c r="R24" i="405" s="1"/>
  <c r="S24" i="405" s="1"/>
  <c r="O26" i="405"/>
  <c r="Q26" i="405" s="1"/>
  <c r="R26" i="405" s="1"/>
  <c r="S26" i="405" s="1"/>
  <c r="O28" i="405"/>
  <c r="Q28" i="405" s="1"/>
  <c r="R28" i="405" s="1"/>
  <c r="S28" i="405" s="1"/>
  <c r="O30" i="405"/>
  <c r="Q30" i="405" s="1"/>
  <c r="R30" i="405" s="1"/>
  <c r="S30" i="405" s="1"/>
  <c r="O32" i="405"/>
  <c r="Q32" i="405" s="1"/>
  <c r="R32" i="405" s="1"/>
  <c r="S32" i="405" s="1"/>
  <c r="O34" i="405"/>
  <c r="Q34" i="405" s="1"/>
  <c r="R34" i="405" s="1"/>
  <c r="S34" i="405" s="1"/>
  <c r="O36" i="405"/>
  <c r="Q36" i="405" s="1"/>
  <c r="R36" i="405" s="1"/>
  <c r="S36" i="405" s="1"/>
  <c r="O38" i="405"/>
  <c r="Q38" i="405" s="1"/>
  <c r="R38" i="405" s="1"/>
  <c r="S38" i="405" s="1"/>
  <c r="O40" i="405"/>
  <c r="Q40" i="405" s="1"/>
  <c r="R40" i="405" s="1"/>
  <c r="S40" i="405" s="1"/>
  <c r="O42" i="405"/>
  <c r="Q42" i="405" s="1"/>
  <c r="R42" i="405" s="1"/>
  <c r="O76" i="405"/>
  <c r="Q76" i="405" s="1"/>
  <c r="R76" i="405" s="1"/>
  <c r="S76" i="405" s="1"/>
  <c r="O89" i="405"/>
  <c r="Q89" i="405" s="1"/>
  <c r="R89" i="405" s="1"/>
  <c r="S89" i="405" s="1"/>
  <c r="O91" i="405"/>
  <c r="Q91" i="405" s="1"/>
  <c r="R91" i="405" s="1"/>
  <c r="S91" i="405" s="1"/>
  <c r="O156" i="405"/>
  <c r="Q156" i="405" s="1"/>
  <c r="R156" i="405" s="1"/>
  <c r="S156" i="405" s="1"/>
  <c r="O183" i="405"/>
  <c r="Q183" i="405" s="1"/>
  <c r="R183" i="405" s="1"/>
  <c r="S183" i="405" s="1"/>
  <c r="O81" i="405"/>
  <c r="Q81" i="405" s="1"/>
  <c r="R81" i="405" s="1"/>
  <c r="S81" i="405" s="1"/>
  <c r="O213" i="405"/>
  <c r="Q213" i="405" s="1"/>
  <c r="R213" i="405" s="1"/>
  <c r="S213" i="405" s="1"/>
  <c r="O78" i="405"/>
  <c r="Q78" i="405" s="1"/>
  <c r="R78" i="405" s="1"/>
  <c r="S78" i="405" s="1"/>
  <c r="O80" i="405"/>
  <c r="Q80" i="405" s="1"/>
  <c r="R80" i="405" s="1"/>
  <c r="S80" i="405" s="1"/>
  <c r="O93" i="405"/>
  <c r="Q93" i="405" s="1"/>
  <c r="R93" i="405" s="1"/>
  <c r="S93" i="405" s="1"/>
  <c r="O95" i="405"/>
  <c r="Q95" i="405" s="1"/>
  <c r="R95" i="405" s="1"/>
  <c r="O101" i="405"/>
  <c r="Q101" i="405" s="1"/>
  <c r="R101" i="405" s="1"/>
  <c r="S101" i="405" s="1"/>
  <c r="O103" i="405"/>
  <c r="Q103" i="405" s="1"/>
  <c r="R103" i="405" s="1"/>
  <c r="S103" i="405" s="1"/>
  <c r="O105" i="405"/>
  <c r="Q105" i="405" s="1"/>
  <c r="R105" i="405" s="1"/>
  <c r="S105" i="405" s="1"/>
  <c r="O107" i="405"/>
  <c r="Q107" i="405" s="1"/>
  <c r="R107" i="405" s="1"/>
  <c r="S107" i="405" s="1"/>
  <c r="O109" i="405"/>
  <c r="Q109" i="405" s="1"/>
  <c r="R109" i="405" s="1"/>
  <c r="S109" i="405" s="1"/>
  <c r="O111" i="405"/>
  <c r="Q111" i="405" s="1"/>
  <c r="R111" i="405" s="1"/>
  <c r="S111" i="405" s="1"/>
  <c r="O113" i="405"/>
  <c r="Q113" i="405" s="1"/>
  <c r="R113" i="405" s="1"/>
  <c r="S113" i="405" s="1"/>
  <c r="O115" i="405"/>
  <c r="Q115" i="405" s="1"/>
  <c r="R115" i="405" s="1"/>
  <c r="S115" i="405" s="1"/>
  <c r="O117" i="405"/>
  <c r="Q117" i="405" s="1"/>
  <c r="R117" i="405" s="1"/>
  <c r="S117" i="405" s="1"/>
  <c r="O140" i="405"/>
  <c r="Q140" i="405" s="1"/>
  <c r="R140" i="405" s="1"/>
  <c r="S140" i="405" s="1"/>
  <c r="O142" i="405"/>
  <c r="Q142" i="405" s="1"/>
  <c r="R142" i="405" s="1"/>
  <c r="S142" i="405" s="1"/>
  <c r="O189" i="405"/>
  <c r="Q189" i="405" s="1"/>
  <c r="R189" i="405" s="1"/>
  <c r="S189" i="405" s="1"/>
  <c r="O204" i="405"/>
  <c r="Q204" i="405" s="1"/>
  <c r="R204" i="405" s="1"/>
  <c r="S204" i="405" s="1"/>
  <c r="O196" i="405"/>
  <c r="Q196" i="405" s="1"/>
  <c r="R196" i="405" s="1"/>
  <c r="S196" i="405" s="1"/>
  <c r="O215" i="405"/>
  <c r="Q215" i="405" s="1"/>
  <c r="R215" i="405" s="1"/>
  <c r="S215" i="405" s="1"/>
  <c r="O144" i="405"/>
  <c r="Q144" i="405" s="1"/>
  <c r="R144" i="405" s="1"/>
  <c r="S144" i="405" s="1"/>
  <c r="O147" i="405"/>
  <c r="Q147" i="405" s="1"/>
  <c r="R147" i="405" s="1"/>
  <c r="S147" i="405" s="1"/>
  <c r="O149" i="405"/>
  <c r="Q149" i="405" s="1"/>
  <c r="R149" i="405" s="1"/>
  <c r="S149" i="405" s="1"/>
  <c r="O151" i="405"/>
  <c r="Q151" i="405" s="1"/>
  <c r="R151" i="405" s="1"/>
  <c r="S151" i="405" s="1"/>
  <c r="O164" i="405"/>
  <c r="Q164" i="405" s="1"/>
  <c r="R164" i="405" s="1"/>
  <c r="S164" i="405" s="1"/>
  <c r="O191" i="405"/>
  <c r="Q191" i="405" s="1"/>
  <c r="R191" i="405" s="1"/>
  <c r="S191" i="405" s="1"/>
  <c r="O212" i="405"/>
  <c r="Q212" i="405" s="1"/>
  <c r="R212" i="405" s="1"/>
  <c r="S212" i="405" s="1"/>
  <c r="O83" i="405"/>
  <c r="Q83" i="405" s="1"/>
  <c r="R83" i="405" s="1"/>
  <c r="S83" i="405" s="1"/>
  <c r="O148" i="405"/>
  <c r="Q148" i="405" s="1"/>
  <c r="R148" i="405" s="1"/>
  <c r="S148" i="405" s="1"/>
  <c r="O211" i="405"/>
  <c r="Q211" i="405" s="1"/>
  <c r="R211" i="405" s="1"/>
  <c r="S211" i="405" s="1"/>
  <c r="Q96" i="405"/>
  <c r="R96" i="405" s="1"/>
  <c r="S96" i="405" s="1"/>
  <c r="Q119" i="405"/>
  <c r="R119" i="405" s="1"/>
  <c r="S119" i="405" s="1"/>
  <c r="Q121" i="405"/>
  <c r="R121" i="405" s="1"/>
  <c r="S121" i="405" s="1"/>
  <c r="Q123" i="405"/>
  <c r="R123" i="405" s="1"/>
  <c r="S123" i="405" s="1"/>
  <c r="Q125" i="405"/>
  <c r="R125" i="405" s="1"/>
  <c r="S125" i="405" s="1"/>
  <c r="Q127" i="405"/>
  <c r="R127" i="405" s="1"/>
  <c r="S127" i="405" s="1"/>
  <c r="Q129" i="405"/>
  <c r="R129" i="405" s="1"/>
  <c r="S129" i="405" s="1"/>
  <c r="Q131" i="405"/>
  <c r="R131" i="405" s="1"/>
  <c r="S131" i="405" s="1"/>
  <c r="Q133" i="405"/>
  <c r="R133" i="405" s="1"/>
  <c r="S133" i="405" s="1"/>
  <c r="Q135" i="405"/>
  <c r="R135" i="405" s="1"/>
  <c r="S135" i="405" s="1"/>
  <c r="Q137" i="405"/>
  <c r="R137" i="405" s="1"/>
  <c r="S137" i="405" s="1"/>
  <c r="R172" i="405"/>
  <c r="S172" i="405" s="1"/>
  <c r="O180" i="405"/>
  <c r="Q180" i="405" s="1"/>
  <c r="R180" i="405" s="1"/>
  <c r="S180" i="405" s="1"/>
  <c r="O7" i="404"/>
  <c r="Q7" i="404" s="1"/>
  <c r="R7" i="404" s="1"/>
  <c r="S7" i="404" s="1"/>
  <c r="O17" i="404"/>
  <c r="Q17" i="404" s="1"/>
  <c r="R17" i="404" s="1"/>
  <c r="S17" i="404" s="1"/>
  <c r="O21" i="404"/>
  <c r="Q21" i="404" s="1"/>
  <c r="R21" i="404" s="1"/>
  <c r="S21" i="404" s="1"/>
  <c r="O25" i="404"/>
  <c r="Q25" i="404" s="1"/>
  <c r="R25" i="404" s="1"/>
  <c r="S25" i="404" s="1"/>
  <c r="O27" i="404"/>
  <c r="Q27" i="404" s="1"/>
  <c r="R27" i="404" s="1"/>
  <c r="S27" i="404" s="1"/>
  <c r="Q20" i="404"/>
  <c r="R20" i="404" s="1"/>
  <c r="S20" i="404" s="1"/>
  <c r="Q22" i="404"/>
  <c r="R22" i="404" s="1"/>
  <c r="S22" i="404" s="1"/>
  <c r="O26" i="404"/>
  <c r="Q26" i="404" s="1"/>
  <c r="R26" i="404" s="1"/>
  <c r="S26" i="404" s="1"/>
  <c r="O219" i="405"/>
  <c r="Q219" i="405" s="1"/>
  <c r="R219" i="405" s="1"/>
  <c r="S219" i="405" s="1"/>
  <c r="O155" i="405"/>
  <c r="Q155" i="405" s="1"/>
  <c r="R155" i="405" s="1"/>
  <c r="S155" i="405" s="1"/>
  <c r="R97" i="405"/>
  <c r="S97" i="405" s="1"/>
  <c r="J221" i="405"/>
  <c r="C225" i="405" s="1"/>
  <c r="O98" i="405"/>
  <c r="Q98" i="405" s="1"/>
  <c r="R98" i="405" s="1"/>
  <c r="S98" i="405" s="1"/>
  <c r="O163" i="405"/>
  <c r="Q163" i="405" s="1"/>
  <c r="R163" i="405" s="1"/>
  <c r="S163" i="405" s="1"/>
  <c r="O100" i="405"/>
  <c r="Q100" i="405" s="1"/>
  <c r="R100" i="405" s="1"/>
  <c r="S100" i="405" s="1"/>
  <c r="O102" i="405"/>
  <c r="Q102" i="405" s="1"/>
  <c r="R102" i="405" s="1"/>
  <c r="S102" i="405" s="1"/>
  <c r="O104" i="405"/>
  <c r="Q104" i="405" s="1"/>
  <c r="R104" i="405" s="1"/>
  <c r="S104" i="405" s="1"/>
  <c r="O106" i="405"/>
  <c r="Q106" i="405" s="1"/>
  <c r="R106" i="405" s="1"/>
  <c r="S106" i="405" s="1"/>
  <c r="O108" i="405"/>
  <c r="Q108" i="405" s="1"/>
  <c r="R108" i="405" s="1"/>
  <c r="S108" i="405" s="1"/>
  <c r="O110" i="405"/>
  <c r="Q110" i="405" s="1"/>
  <c r="R110" i="405" s="1"/>
  <c r="S110" i="405" s="1"/>
  <c r="O112" i="405"/>
  <c r="Q112" i="405" s="1"/>
  <c r="R112" i="405" s="1"/>
  <c r="S112" i="405" s="1"/>
  <c r="O114" i="405"/>
  <c r="Q114" i="405" s="1"/>
  <c r="R114" i="405" s="1"/>
  <c r="S114" i="405" s="1"/>
  <c r="O116" i="405"/>
  <c r="Q116" i="405" s="1"/>
  <c r="R116" i="405" s="1"/>
  <c r="S116" i="405" s="1"/>
  <c r="O118" i="405"/>
  <c r="Q118" i="405" s="1"/>
  <c r="R118" i="405" s="1"/>
  <c r="S118" i="405" s="1"/>
  <c r="O171" i="405"/>
  <c r="Q171" i="405" s="1"/>
  <c r="R171" i="405" s="1"/>
  <c r="S171" i="405" s="1"/>
  <c r="O179" i="405"/>
  <c r="Q179" i="405" s="1"/>
  <c r="R179" i="405" s="1"/>
  <c r="S179" i="405" s="1"/>
  <c r="O187" i="405"/>
  <c r="Q187" i="405" s="1"/>
  <c r="R187" i="405" s="1"/>
  <c r="S187" i="405" s="1"/>
  <c r="O99" i="405"/>
  <c r="Q99" i="405" s="1"/>
  <c r="R99" i="405" s="1"/>
  <c r="S99" i="405" s="1"/>
  <c r="O195" i="405"/>
  <c r="Q195" i="405" s="1"/>
  <c r="R195" i="405" s="1"/>
  <c r="S195" i="405" s="1"/>
  <c r="O139" i="405"/>
  <c r="Q139" i="405" s="1"/>
  <c r="R139" i="405" s="1"/>
  <c r="S139" i="405" s="1"/>
  <c r="O154" i="405"/>
  <c r="Q154" i="405" s="1"/>
  <c r="R154" i="405" s="1"/>
  <c r="S154" i="405" s="1"/>
  <c r="O162" i="405"/>
  <c r="Q162" i="405" s="1"/>
  <c r="R162" i="405" s="1"/>
  <c r="S162" i="405" s="1"/>
  <c r="O170" i="405"/>
  <c r="Q170" i="405" s="1"/>
  <c r="R170" i="405" s="1"/>
  <c r="S170" i="405" s="1"/>
  <c r="O178" i="405"/>
  <c r="Q178" i="405" s="1"/>
  <c r="R178" i="405" s="1"/>
  <c r="S178" i="405" s="1"/>
  <c r="O186" i="405"/>
  <c r="Q186" i="405" s="1"/>
  <c r="R186" i="405" s="1"/>
  <c r="S186" i="405" s="1"/>
  <c r="O194" i="405"/>
  <c r="Q194" i="405" s="1"/>
  <c r="R194" i="405" s="1"/>
  <c r="S194" i="405" s="1"/>
  <c r="O202" i="405"/>
  <c r="Q202" i="405" s="1"/>
  <c r="R202" i="405" s="1"/>
  <c r="S202" i="405" s="1"/>
  <c r="O210" i="405"/>
  <c r="Q210" i="405" s="1"/>
  <c r="R210" i="405" s="1"/>
  <c r="S210" i="405" s="1"/>
  <c r="O218" i="405"/>
  <c r="Q218" i="405" s="1"/>
  <c r="R218" i="405" s="1"/>
  <c r="S218" i="405" s="1"/>
  <c r="O146" i="405"/>
  <c r="Q146" i="405" s="1"/>
  <c r="R146" i="405" s="1"/>
  <c r="S146" i="405" s="1"/>
  <c r="O153" i="405"/>
  <c r="Q153" i="405" s="1"/>
  <c r="R153" i="405" s="1"/>
  <c r="S153" i="405" s="1"/>
  <c r="O161" i="405"/>
  <c r="Q161" i="405" s="1"/>
  <c r="R161" i="405" s="1"/>
  <c r="S161" i="405" s="1"/>
  <c r="O169" i="405"/>
  <c r="Q169" i="405" s="1"/>
  <c r="R169" i="405" s="1"/>
  <c r="S169" i="405" s="1"/>
  <c r="O177" i="405"/>
  <c r="Q177" i="405" s="1"/>
  <c r="R177" i="405" s="1"/>
  <c r="S177" i="405" s="1"/>
  <c r="O185" i="405"/>
  <c r="Q185" i="405" s="1"/>
  <c r="R185" i="405" s="1"/>
  <c r="S185" i="405" s="1"/>
  <c r="O193" i="405"/>
  <c r="Q193" i="405" s="1"/>
  <c r="R193" i="405" s="1"/>
  <c r="S193" i="405" s="1"/>
  <c r="O201" i="405"/>
  <c r="Q201" i="405" s="1"/>
  <c r="R201" i="405" s="1"/>
  <c r="S201" i="405" s="1"/>
  <c r="O209" i="405"/>
  <c r="Q209" i="405" s="1"/>
  <c r="R209" i="405" s="1"/>
  <c r="S209" i="405" s="1"/>
  <c r="O217" i="405"/>
  <c r="Q217" i="405" s="1"/>
  <c r="R217" i="405" s="1"/>
  <c r="S217" i="405" s="1"/>
  <c r="O145" i="405"/>
  <c r="Q145" i="405" s="1"/>
  <c r="R145" i="405" s="1"/>
  <c r="S145" i="405" s="1"/>
  <c r="O152" i="405"/>
  <c r="Q152" i="405" s="1"/>
  <c r="R152" i="405" s="1"/>
  <c r="S152" i="405" s="1"/>
  <c r="O160" i="405"/>
  <c r="Q160" i="405" s="1"/>
  <c r="R160" i="405" s="1"/>
  <c r="S160" i="405" s="1"/>
  <c r="O168" i="405"/>
  <c r="Q168" i="405" s="1"/>
  <c r="R168" i="405" s="1"/>
  <c r="S168" i="405" s="1"/>
  <c r="O176" i="405"/>
  <c r="Q176" i="405" s="1"/>
  <c r="R176" i="405" s="1"/>
  <c r="S176" i="405" s="1"/>
  <c r="O184" i="405"/>
  <c r="Q184" i="405" s="1"/>
  <c r="R184" i="405" s="1"/>
  <c r="S184" i="405" s="1"/>
  <c r="O192" i="405"/>
  <c r="Q192" i="405" s="1"/>
  <c r="R192" i="405" s="1"/>
  <c r="S192" i="405" s="1"/>
  <c r="O200" i="405"/>
  <c r="Q200" i="405" s="1"/>
  <c r="R200" i="405" s="1"/>
  <c r="S200" i="405" s="1"/>
  <c r="O208" i="405"/>
  <c r="Q208" i="405" s="1"/>
  <c r="R208" i="405" s="1"/>
  <c r="S208" i="405" s="1"/>
  <c r="O216" i="405"/>
  <c r="Q216" i="405" s="1"/>
  <c r="R216" i="405" s="1"/>
  <c r="S216" i="405" s="1"/>
  <c r="O143" i="405"/>
  <c r="Q143" i="405" s="1"/>
  <c r="R143" i="405" s="1"/>
  <c r="S143" i="405" s="1"/>
  <c r="O150" i="405"/>
  <c r="Q150" i="405" s="1"/>
  <c r="R150" i="405" s="1"/>
  <c r="S150" i="405" s="1"/>
  <c r="O158" i="405"/>
  <c r="Q158" i="405" s="1"/>
  <c r="R158" i="405" s="1"/>
  <c r="S158" i="405" s="1"/>
  <c r="O166" i="405"/>
  <c r="Q166" i="405" s="1"/>
  <c r="R166" i="405" s="1"/>
  <c r="S166" i="405" s="1"/>
  <c r="O174" i="405"/>
  <c r="Q174" i="405" s="1"/>
  <c r="R174" i="405" s="1"/>
  <c r="S174" i="405" s="1"/>
  <c r="O182" i="405"/>
  <c r="Q182" i="405" s="1"/>
  <c r="R182" i="405" s="1"/>
  <c r="S182" i="405" s="1"/>
  <c r="O190" i="405"/>
  <c r="Q190" i="405" s="1"/>
  <c r="R190" i="405" s="1"/>
  <c r="S190" i="405" s="1"/>
  <c r="O198" i="405"/>
  <c r="Q198" i="405" s="1"/>
  <c r="R198" i="405" s="1"/>
  <c r="S198" i="405" s="1"/>
  <c r="O206" i="405"/>
  <c r="Q206" i="405" s="1"/>
  <c r="R206" i="405" s="1"/>
  <c r="S206" i="405" s="1"/>
  <c r="O214" i="405"/>
  <c r="Q214" i="405" s="1"/>
  <c r="R214" i="405" s="1"/>
  <c r="S214" i="405" s="1"/>
  <c r="Q12" i="404"/>
  <c r="R12" i="404" s="1"/>
  <c r="S12" i="404" s="1"/>
  <c r="Q5" i="404"/>
  <c r="R5" i="404" s="1"/>
  <c r="S5" i="404" s="1"/>
  <c r="O14" i="404"/>
  <c r="Q14" i="404" s="1"/>
  <c r="R14" i="404" s="1"/>
  <c r="S14" i="404" s="1"/>
  <c r="O24" i="404"/>
  <c r="Q24" i="404" s="1"/>
  <c r="R24" i="404" s="1"/>
  <c r="S24" i="404" s="1"/>
  <c r="O11" i="404"/>
  <c r="Q11" i="404" s="1"/>
  <c r="R11" i="404" s="1"/>
  <c r="S11" i="404" s="1"/>
  <c r="O16" i="404"/>
  <c r="Q16" i="404" s="1"/>
  <c r="R16" i="404" s="1"/>
  <c r="S16" i="404" s="1"/>
  <c r="O4" i="404"/>
  <c r="Q4" i="404" s="1"/>
  <c r="R4" i="404" s="1"/>
  <c r="S4" i="404" s="1"/>
  <c r="O13" i="404"/>
  <c r="Q13" i="404" s="1"/>
  <c r="R13" i="404" s="1"/>
  <c r="S13" i="404" s="1"/>
  <c r="O18" i="404"/>
  <c r="Q18" i="404" s="1"/>
  <c r="R18" i="404" s="1"/>
  <c r="S18" i="404" s="1"/>
  <c r="O23" i="404"/>
  <c r="Q23" i="404" s="1"/>
  <c r="R23" i="404" s="1"/>
  <c r="S23" i="404" s="1"/>
  <c r="O28" i="404"/>
  <c r="Q28" i="404" s="1"/>
  <c r="R28" i="404" s="1"/>
  <c r="S28" i="404" s="1"/>
  <c r="O9" i="404"/>
  <c r="Q9" i="404" s="1"/>
  <c r="R9" i="404" s="1"/>
  <c r="S9" i="404" s="1"/>
  <c r="Q8" i="404"/>
  <c r="R8" i="404" s="1"/>
  <c r="S8" i="404" s="1"/>
  <c r="O19" i="404"/>
  <c r="Q19" i="404" s="1"/>
  <c r="R19" i="404" s="1"/>
  <c r="S19" i="404" s="1"/>
  <c r="O6" i="404"/>
  <c r="Q6" i="404" s="1"/>
  <c r="R6" i="404" s="1"/>
  <c r="S6" i="404" s="1"/>
  <c r="O10" i="404"/>
  <c r="Q10" i="404" s="1"/>
  <c r="R10" i="404" s="1"/>
  <c r="S10" i="404" s="1"/>
  <c r="O15" i="404"/>
  <c r="Q15" i="404" s="1"/>
  <c r="R15" i="404" s="1"/>
  <c r="S15" i="404" s="1"/>
  <c r="O4" i="403"/>
  <c r="Q4" i="403" s="1"/>
  <c r="J29" i="404"/>
  <c r="C33" i="404" s="1"/>
  <c r="R4" i="403"/>
  <c r="S4" i="403" s="1"/>
  <c r="O5" i="403"/>
  <c r="Q5" i="403" s="1"/>
  <c r="R5" i="403" s="1"/>
  <c r="S5" i="403" s="1"/>
  <c r="O6" i="403"/>
  <c r="Q6" i="403" s="1"/>
  <c r="R6" i="403" s="1"/>
  <c r="S6" i="403" s="1"/>
  <c r="R25" i="402"/>
  <c r="S25" i="402" s="1"/>
  <c r="R187" i="402"/>
  <c r="S187" i="402" s="1"/>
  <c r="O82" i="402"/>
  <c r="Q82" i="402" s="1"/>
  <c r="R82" i="402" s="1"/>
  <c r="S82" i="402" s="1"/>
  <c r="O84" i="402"/>
  <c r="Q84" i="402" s="1"/>
  <c r="R84" i="402" s="1"/>
  <c r="S84" i="402" s="1"/>
  <c r="O86" i="402"/>
  <c r="Q86" i="402" s="1"/>
  <c r="O113" i="402"/>
  <c r="Q113" i="402" s="1"/>
  <c r="R113" i="402" s="1"/>
  <c r="S113" i="402" s="1"/>
  <c r="O115" i="402"/>
  <c r="Q115" i="402" s="1"/>
  <c r="R115" i="402" s="1"/>
  <c r="S115" i="402" s="1"/>
  <c r="O117" i="402"/>
  <c r="Q117" i="402" s="1"/>
  <c r="R117" i="402" s="1"/>
  <c r="S117" i="402" s="1"/>
  <c r="O119" i="402"/>
  <c r="Q119" i="402" s="1"/>
  <c r="R119" i="402" s="1"/>
  <c r="S119" i="402" s="1"/>
  <c r="O140" i="402"/>
  <c r="Q140" i="402" s="1"/>
  <c r="R140" i="402" s="1"/>
  <c r="O21" i="402"/>
  <c r="Q21" i="402" s="1"/>
  <c r="R21" i="402" s="1"/>
  <c r="S21" i="402" s="1"/>
  <c r="O28" i="402"/>
  <c r="Q28" i="402" s="1"/>
  <c r="R28" i="402" s="1"/>
  <c r="S28" i="402" s="1"/>
  <c r="O37" i="402"/>
  <c r="Q37" i="402" s="1"/>
  <c r="R37" i="402" s="1"/>
  <c r="S37" i="402" s="1"/>
  <c r="O39" i="402"/>
  <c r="Q39" i="402" s="1"/>
  <c r="R39" i="402" s="1"/>
  <c r="S39" i="402" s="1"/>
  <c r="O41" i="402"/>
  <c r="Q41" i="402" s="1"/>
  <c r="R41" i="402" s="1"/>
  <c r="S41" i="402" s="1"/>
  <c r="O90" i="402"/>
  <c r="Q90" i="402" s="1"/>
  <c r="R90" i="402" s="1"/>
  <c r="S90" i="402" s="1"/>
  <c r="O92" i="402"/>
  <c r="Q92" i="402" s="1"/>
  <c r="R92" i="402" s="1"/>
  <c r="S92" i="402" s="1"/>
  <c r="O94" i="402"/>
  <c r="Q94" i="402" s="1"/>
  <c r="R94" i="402" s="1"/>
  <c r="S94" i="402" s="1"/>
  <c r="O121" i="402"/>
  <c r="Q121" i="402" s="1"/>
  <c r="R121" i="402" s="1"/>
  <c r="O164" i="402"/>
  <c r="Q164" i="402" s="1"/>
  <c r="R164" i="402" s="1"/>
  <c r="S164" i="402" s="1"/>
  <c r="O166" i="402"/>
  <c r="Q166" i="402" s="1"/>
  <c r="O177" i="402"/>
  <c r="Q177" i="402" s="1"/>
  <c r="R177" i="402" s="1"/>
  <c r="S177" i="402" s="1"/>
  <c r="O181" i="402"/>
  <c r="Q181" i="402" s="1"/>
  <c r="R181" i="402" s="1"/>
  <c r="S181" i="402" s="1"/>
  <c r="O196" i="402"/>
  <c r="Q196" i="402" s="1"/>
  <c r="R196" i="402" s="1"/>
  <c r="O198" i="402"/>
  <c r="Q198" i="402" s="1"/>
  <c r="R198" i="402" s="1"/>
  <c r="S198" i="402" s="1"/>
  <c r="O217" i="402"/>
  <c r="Q217" i="402" s="1"/>
  <c r="R217" i="402" s="1"/>
  <c r="S217" i="402" s="1"/>
  <c r="Q185" i="402"/>
  <c r="R185" i="402" s="1"/>
  <c r="S185" i="402" s="1"/>
  <c r="O32" i="402"/>
  <c r="Q32" i="402" s="1"/>
  <c r="R32" i="402" s="1"/>
  <c r="S32" i="402" s="1"/>
  <c r="O34" i="402"/>
  <c r="Q34" i="402" s="1"/>
  <c r="R34" i="402" s="1"/>
  <c r="S34" i="402" s="1"/>
  <c r="O61" i="402"/>
  <c r="Q61" i="402" s="1"/>
  <c r="R61" i="402" s="1"/>
  <c r="S61" i="402" s="1"/>
  <c r="O63" i="402"/>
  <c r="Q63" i="402" s="1"/>
  <c r="R63" i="402" s="1"/>
  <c r="S63" i="402" s="1"/>
  <c r="O65" i="402"/>
  <c r="Q65" i="402" s="1"/>
  <c r="R65" i="402" s="1"/>
  <c r="S65" i="402" s="1"/>
  <c r="O67" i="402"/>
  <c r="Q67" i="402" s="1"/>
  <c r="R67" i="402" s="1"/>
  <c r="S67" i="402" s="1"/>
  <c r="O69" i="402"/>
  <c r="Q69" i="402" s="1"/>
  <c r="R69" i="402" s="1"/>
  <c r="S69" i="402" s="1"/>
  <c r="O71" i="402"/>
  <c r="Q71" i="402" s="1"/>
  <c r="R71" i="402" s="1"/>
  <c r="S71" i="402" s="1"/>
  <c r="O73" i="402"/>
  <c r="Q73" i="402" s="1"/>
  <c r="R73" i="402" s="1"/>
  <c r="S73" i="402" s="1"/>
  <c r="O75" i="402"/>
  <c r="Q75" i="402" s="1"/>
  <c r="R75" i="402" s="1"/>
  <c r="S75" i="402" s="1"/>
  <c r="O81" i="402"/>
  <c r="Q81" i="402" s="1"/>
  <c r="R81" i="402" s="1"/>
  <c r="S81" i="402" s="1"/>
  <c r="O83" i="402"/>
  <c r="Q83" i="402" s="1"/>
  <c r="R83" i="402" s="1"/>
  <c r="S83" i="402" s="1"/>
  <c r="O85" i="402"/>
  <c r="Q85" i="402" s="1"/>
  <c r="R85" i="402" s="1"/>
  <c r="S85" i="402" s="1"/>
  <c r="O87" i="402"/>
  <c r="Q87" i="402" s="1"/>
  <c r="R87" i="402" s="1"/>
  <c r="S87" i="402" s="1"/>
  <c r="O114" i="402"/>
  <c r="Q114" i="402" s="1"/>
  <c r="R114" i="402" s="1"/>
  <c r="S114" i="402" s="1"/>
  <c r="O116" i="402"/>
  <c r="Q116" i="402" s="1"/>
  <c r="R116" i="402" s="1"/>
  <c r="S116" i="402" s="1"/>
  <c r="O118" i="402"/>
  <c r="Q118" i="402" s="1"/>
  <c r="R118" i="402" s="1"/>
  <c r="S118" i="402" s="1"/>
  <c r="O139" i="402"/>
  <c r="Q139" i="402" s="1"/>
  <c r="R139" i="402" s="1"/>
  <c r="S139" i="402" s="1"/>
  <c r="O205" i="402"/>
  <c r="Q205" i="402" s="1"/>
  <c r="R205" i="402" s="1"/>
  <c r="S205" i="402" s="1"/>
  <c r="O38" i="402"/>
  <c r="Q38" i="402" s="1"/>
  <c r="R38" i="402" s="1"/>
  <c r="S38" i="402" s="1"/>
  <c r="O40" i="402"/>
  <c r="Q40" i="402" s="1"/>
  <c r="R40" i="402" s="1"/>
  <c r="S40" i="402" s="1"/>
  <c r="O50" i="402"/>
  <c r="Q50" i="402" s="1"/>
  <c r="R50" i="402" s="1"/>
  <c r="S50" i="402" s="1"/>
  <c r="O89" i="402"/>
  <c r="Q89" i="402" s="1"/>
  <c r="R89" i="402" s="1"/>
  <c r="S89" i="402" s="1"/>
  <c r="O91" i="402"/>
  <c r="Q91" i="402" s="1"/>
  <c r="R91" i="402" s="1"/>
  <c r="S91" i="402" s="1"/>
  <c r="O93" i="402"/>
  <c r="Q93" i="402" s="1"/>
  <c r="R93" i="402" s="1"/>
  <c r="S93" i="402" s="1"/>
  <c r="O95" i="402"/>
  <c r="Q95" i="402" s="1"/>
  <c r="R95" i="402" s="1"/>
  <c r="S95" i="402" s="1"/>
  <c r="O122" i="402"/>
  <c r="Q122" i="402" s="1"/>
  <c r="R122" i="402" s="1"/>
  <c r="S122" i="402" s="1"/>
  <c r="O161" i="402"/>
  <c r="Q161" i="402" s="1"/>
  <c r="R161" i="402" s="1"/>
  <c r="S161" i="402" s="1"/>
  <c r="O165" i="402"/>
  <c r="Q165" i="402" s="1"/>
  <c r="R165" i="402" s="1"/>
  <c r="S165" i="402" s="1"/>
  <c r="O167" i="402"/>
  <c r="Q167" i="402" s="1"/>
  <c r="R167" i="402" s="1"/>
  <c r="S167" i="402" s="1"/>
  <c r="O180" i="402"/>
  <c r="Q180" i="402" s="1"/>
  <c r="O182" i="402"/>
  <c r="Q182" i="402" s="1"/>
  <c r="O193" i="402"/>
  <c r="Q193" i="402" s="1"/>
  <c r="R193" i="402" s="1"/>
  <c r="S193" i="402" s="1"/>
  <c r="O212" i="402"/>
  <c r="Q212" i="402" s="1"/>
  <c r="R212" i="402" s="1"/>
  <c r="S212" i="402" s="1"/>
  <c r="O216" i="402"/>
  <c r="Q216" i="402" s="1"/>
  <c r="R216" i="402" s="1"/>
  <c r="S216" i="402" s="1"/>
  <c r="R174" i="402"/>
  <c r="S174" i="402" s="1"/>
  <c r="O60" i="402"/>
  <c r="Q60" i="402" s="1"/>
  <c r="R60" i="402" s="1"/>
  <c r="S60" i="402" s="1"/>
  <c r="Q204" i="402"/>
  <c r="R204" i="402" s="1"/>
  <c r="S204" i="402" s="1"/>
  <c r="J7" i="403"/>
  <c r="C11" i="403" s="1"/>
  <c r="O29" i="402"/>
  <c r="Q29" i="402" s="1"/>
  <c r="R29" i="402" s="1"/>
  <c r="S29" i="402" s="1"/>
  <c r="R191" i="402"/>
  <c r="S191" i="402" s="1"/>
  <c r="O200" i="402"/>
  <c r="Q200" i="402" s="1"/>
  <c r="R200" i="402" s="1"/>
  <c r="S200" i="402" s="1"/>
  <c r="R210" i="402"/>
  <c r="S210" i="402" s="1"/>
  <c r="Q123" i="402"/>
  <c r="R123" i="402" s="1"/>
  <c r="S123" i="402" s="1"/>
  <c r="R26" i="402"/>
  <c r="S26" i="402" s="1"/>
  <c r="R99" i="402"/>
  <c r="S99" i="402" s="1"/>
  <c r="R169" i="402"/>
  <c r="S169" i="402" s="1"/>
  <c r="R175" i="402"/>
  <c r="S175" i="402" s="1"/>
  <c r="Q108" i="402"/>
  <c r="R108" i="402" s="1"/>
  <c r="S108" i="402" s="1"/>
  <c r="R86" i="402"/>
  <c r="S86" i="402" s="1"/>
  <c r="R141" i="402"/>
  <c r="S141" i="402" s="1"/>
  <c r="R105" i="402"/>
  <c r="S105" i="402" s="1"/>
  <c r="O183" i="402"/>
  <c r="Q183" i="402" s="1"/>
  <c r="R183" i="402" s="1"/>
  <c r="S183" i="402" s="1"/>
  <c r="Q206" i="402"/>
  <c r="R206" i="402" s="1"/>
  <c r="S206" i="402" s="1"/>
  <c r="O142" i="402"/>
  <c r="Q142" i="402" s="1"/>
  <c r="R142" i="402" s="1"/>
  <c r="S142" i="402" s="1"/>
  <c r="O145" i="402"/>
  <c r="Q145" i="402" s="1"/>
  <c r="R145" i="402" s="1"/>
  <c r="S145" i="402" s="1"/>
  <c r="O160" i="402"/>
  <c r="Q160" i="402" s="1"/>
  <c r="R160" i="402" s="1"/>
  <c r="S160" i="402" s="1"/>
  <c r="Q163" i="402"/>
  <c r="R163" i="402" s="1"/>
  <c r="S163" i="402" s="1"/>
  <c r="O176" i="402"/>
  <c r="Q176" i="402" s="1"/>
  <c r="R176" i="402" s="1"/>
  <c r="S176" i="402" s="1"/>
  <c r="Q179" i="402"/>
  <c r="R179" i="402" s="1"/>
  <c r="S179" i="402" s="1"/>
  <c r="O192" i="402"/>
  <c r="Q192" i="402" s="1"/>
  <c r="R192" i="402" s="1"/>
  <c r="S192" i="402" s="1"/>
  <c r="Q195" i="402"/>
  <c r="R195" i="402" s="1"/>
  <c r="S195" i="402" s="1"/>
  <c r="O5" i="402"/>
  <c r="Q5" i="402" s="1"/>
  <c r="R5" i="402" s="1"/>
  <c r="S5" i="402" s="1"/>
  <c r="O7" i="402"/>
  <c r="Q7" i="402" s="1"/>
  <c r="R7" i="402" s="1"/>
  <c r="S7" i="402" s="1"/>
  <c r="O9" i="402"/>
  <c r="Q9" i="402" s="1"/>
  <c r="R9" i="402" s="1"/>
  <c r="S9" i="402" s="1"/>
  <c r="O11" i="402"/>
  <c r="Q11" i="402" s="1"/>
  <c r="R11" i="402" s="1"/>
  <c r="S11" i="402" s="1"/>
  <c r="O13" i="402"/>
  <c r="Q13" i="402" s="1"/>
  <c r="R13" i="402" s="1"/>
  <c r="S13" i="402" s="1"/>
  <c r="O15" i="402"/>
  <c r="Q15" i="402" s="1"/>
  <c r="R15" i="402" s="1"/>
  <c r="S15" i="402" s="1"/>
  <c r="O17" i="402"/>
  <c r="Q17" i="402" s="1"/>
  <c r="R17" i="402" s="1"/>
  <c r="S17" i="402" s="1"/>
  <c r="O19" i="402"/>
  <c r="Q19" i="402" s="1"/>
  <c r="R19" i="402" s="1"/>
  <c r="S19" i="402" s="1"/>
  <c r="O45" i="402"/>
  <c r="Q45" i="402" s="1"/>
  <c r="R45" i="402" s="1"/>
  <c r="S45" i="402" s="1"/>
  <c r="O47" i="402"/>
  <c r="Q47" i="402" s="1"/>
  <c r="R47" i="402" s="1"/>
  <c r="S47" i="402" s="1"/>
  <c r="O49" i="402"/>
  <c r="Q49" i="402" s="1"/>
  <c r="R49" i="402" s="1"/>
  <c r="S49" i="402" s="1"/>
  <c r="O129" i="402"/>
  <c r="Q129" i="402" s="1"/>
  <c r="R129" i="402" s="1"/>
  <c r="S129" i="402" s="1"/>
  <c r="O137" i="402"/>
  <c r="Q137" i="402" s="1"/>
  <c r="R137" i="402" s="1"/>
  <c r="S137" i="402" s="1"/>
  <c r="O154" i="402"/>
  <c r="Q154" i="402" s="1"/>
  <c r="R154" i="402" s="1"/>
  <c r="S154" i="402" s="1"/>
  <c r="O197" i="402"/>
  <c r="Q197" i="402" s="1"/>
  <c r="R197" i="402" s="1"/>
  <c r="O214" i="402"/>
  <c r="Q214" i="402" s="1"/>
  <c r="R214" i="402" s="1"/>
  <c r="S214" i="402" s="1"/>
  <c r="O221" i="402"/>
  <c r="Q221" i="402" s="1"/>
  <c r="R221" i="402" s="1"/>
  <c r="S221" i="402" s="1"/>
  <c r="Q23" i="402"/>
  <c r="R23" i="402" s="1"/>
  <c r="S23" i="402" s="1"/>
  <c r="Q31" i="402"/>
  <c r="R31" i="402" s="1"/>
  <c r="Q44" i="402"/>
  <c r="R44" i="402" s="1"/>
  <c r="S44" i="402" s="1"/>
  <c r="Q62" i="402"/>
  <c r="R62" i="402" s="1"/>
  <c r="S62" i="402" s="1"/>
  <c r="Q70" i="402"/>
  <c r="R70" i="402" s="1"/>
  <c r="S70" i="402" s="1"/>
  <c r="Q76" i="402"/>
  <c r="R76" i="402" s="1"/>
  <c r="S76" i="402" s="1"/>
  <c r="R157" i="402"/>
  <c r="S157" i="402" s="1"/>
  <c r="R166" i="402"/>
  <c r="S166" i="402" s="1"/>
  <c r="R173" i="402"/>
  <c r="S173" i="402" s="1"/>
  <c r="R180" i="402"/>
  <c r="S180" i="402" s="1"/>
  <c r="R182" i="402"/>
  <c r="S182" i="402" s="1"/>
  <c r="R189" i="402"/>
  <c r="S189" i="402" s="1"/>
  <c r="Q194" i="402"/>
  <c r="R194" i="402" s="1"/>
  <c r="S194" i="402" s="1"/>
  <c r="O33" i="402"/>
  <c r="Q33" i="402" s="1"/>
  <c r="R33" i="402" s="1"/>
  <c r="S33" i="402" s="1"/>
  <c r="O35" i="402"/>
  <c r="Q35" i="402" s="1"/>
  <c r="R35" i="402" s="1"/>
  <c r="S35" i="402" s="1"/>
  <c r="O53" i="402"/>
  <c r="Q53" i="402" s="1"/>
  <c r="R53" i="402" s="1"/>
  <c r="S53" i="402" s="1"/>
  <c r="O55" i="402"/>
  <c r="Q55" i="402" s="1"/>
  <c r="R55" i="402" s="1"/>
  <c r="S55" i="402" s="1"/>
  <c r="O57" i="402"/>
  <c r="Q57" i="402" s="1"/>
  <c r="R57" i="402" s="1"/>
  <c r="S57" i="402" s="1"/>
  <c r="O80" i="402"/>
  <c r="Q80" i="402" s="1"/>
  <c r="R80" i="402" s="1"/>
  <c r="S80" i="402" s="1"/>
  <c r="O88" i="402"/>
  <c r="Q88" i="402" s="1"/>
  <c r="R88" i="402" s="1"/>
  <c r="S88" i="402" s="1"/>
  <c r="O96" i="402"/>
  <c r="Q96" i="402" s="1"/>
  <c r="R96" i="402" s="1"/>
  <c r="S96" i="402" s="1"/>
  <c r="O104" i="402"/>
  <c r="Q104" i="402" s="1"/>
  <c r="R104" i="402" s="1"/>
  <c r="S104" i="402" s="1"/>
  <c r="O112" i="402"/>
  <c r="Q112" i="402" s="1"/>
  <c r="R112" i="402" s="1"/>
  <c r="S112" i="402" s="1"/>
  <c r="O120" i="402"/>
  <c r="Q120" i="402" s="1"/>
  <c r="R120" i="402" s="1"/>
  <c r="S120" i="402" s="1"/>
  <c r="O128" i="402"/>
  <c r="Q128" i="402" s="1"/>
  <c r="R128" i="402" s="1"/>
  <c r="S128" i="402" s="1"/>
  <c r="O136" i="402"/>
  <c r="Q136" i="402" s="1"/>
  <c r="R136" i="402" s="1"/>
  <c r="S136" i="402" s="1"/>
  <c r="O152" i="402"/>
  <c r="Q152" i="402" s="1"/>
  <c r="R152" i="402" s="1"/>
  <c r="S152" i="402" s="1"/>
  <c r="O168" i="402"/>
  <c r="Q168" i="402" s="1"/>
  <c r="R168" i="402" s="1"/>
  <c r="S168" i="402" s="1"/>
  <c r="O184" i="402"/>
  <c r="Q184" i="402" s="1"/>
  <c r="R184" i="402" s="1"/>
  <c r="S184" i="402" s="1"/>
  <c r="O4" i="402"/>
  <c r="Q4" i="402" s="1"/>
  <c r="R4" i="402" s="1"/>
  <c r="S4" i="402" s="1"/>
  <c r="O6" i="402"/>
  <c r="Q6" i="402" s="1"/>
  <c r="R6" i="402" s="1"/>
  <c r="S6" i="402" s="1"/>
  <c r="O8" i="402"/>
  <c r="Q8" i="402" s="1"/>
  <c r="R8" i="402" s="1"/>
  <c r="S8" i="402" s="1"/>
  <c r="O10" i="402"/>
  <c r="Q10" i="402" s="1"/>
  <c r="R10" i="402" s="1"/>
  <c r="S10" i="402" s="1"/>
  <c r="O12" i="402"/>
  <c r="Q12" i="402" s="1"/>
  <c r="R12" i="402" s="1"/>
  <c r="S12" i="402" s="1"/>
  <c r="O14" i="402"/>
  <c r="Q14" i="402" s="1"/>
  <c r="R14" i="402" s="1"/>
  <c r="S14" i="402" s="1"/>
  <c r="O16" i="402"/>
  <c r="Q16" i="402" s="1"/>
  <c r="R16" i="402" s="1"/>
  <c r="S16" i="402" s="1"/>
  <c r="O18" i="402"/>
  <c r="Q18" i="402" s="1"/>
  <c r="R18" i="402" s="1"/>
  <c r="S18" i="402" s="1"/>
  <c r="O20" i="402"/>
  <c r="Q20" i="402" s="1"/>
  <c r="R20" i="402" s="1"/>
  <c r="O46" i="402"/>
  <c r="Q46" i="402" s="1"/>
  <c r="R46" i="402" s="1"/>
  <c r="S46" i="402" s="1"/>
  <c r="O48" i="402"/>
  <c r="Q48" i="402" s="1"/>
  <c r="R48" i="402" s="1"/>
  <c r="S48" i="402" s="1"/>
  <c r="O59" i="402"/>
  <c r="Q59" i="402" s="1"/>
  <c r="R59" i="402" s="1"/>
  <c r="S59" i="402" s="1"/>
  <c r="O125" i="402"/>
  <c r="Q125" i="402" s="1"/>
  <c r="R125" i="402" s="1"/>
  <c r="S125" i="402" s="1"/>
  <c r="R132" i="402"/>
  <c r="S132" i="402" s="1"/>
  <c r="O133" i="402"/>
  <c r="Q133" i="402" s="1"/>
  <c r="R133" i="402" s="1"/>
  <c r="S133" i="402" s="1"/>
  <c r="O143" i="402"/>
  <c r="Q143" i="402" s="1"/>
  <c r="R143" i="402" s="1"/>
  <c r="S143" i="402" s="1"/>
  <c r="O146" i="402"/>
  <c r="Q146" i="402" s="1"/>
  <c r="R146" i="402" s="1"/>
  <c r="S146" i="402" s="1"/>
  <c r="O149" i="402"/>
  <c r="Q149" i="402" s="1"/>
  <c r="R149" i="402" s="1"/>
  <c r="S149" i="402" s="1"/>
  <c r="O155" i="402"/>
  <c r="O215" i="402"/>
  <c r="Q215" i="402" s="1"/>
  <c r="R215" i="402" s="1"/>
  <c r="S215" i="402" s="1"/>
  <c r="O220" i="402"/>
  <c r="Q220" i="402" s="1"/>
  <c r="R220" i="402" s="1"/>
  <c r="S220" i="402" s="1"/>
  <c r="O17" i="401"/>
  <c r="Q17" i="401" s="1"/>
  <c r="R17" i="401" s="1"/>
  <c r="S17" i="401" s="1"/>
  <c r="O10" i="401"/>
  <c r="Q10" i="401" s="1"/>
  <c r="R10" i="401" s="1"/>
  <c r="S10" i="401" s="1"/>
  <c r="O4" i="401"/>
  <c r="Q4" i="401" s="1"/>
  <c r="O6" i="401"/>
  <c r="Q6" i="401" s="1"/>
  <c r="R6" i="401" s="1"/>
  <c r="S6" i="401" s="1"/>
  <c r="Q13" i="401"/>
  <c r="Q12" i="401"/>
  <c r="Q14" i="401"/>
  <c r="R14" i="401" s="1"/>
  <c r="S14" i="401" s="1"/>
  <c r="Q15" i="401"/>
  <c r="R15" i="401" s="1"/>
  <c r="S15" i="401" s="1"/>
  <c r="J223" i="402"/>
  <c r="C227" i="402" s="1"/>
  <c r="Q155" i="402"/>
  <c r="R155" i="402" s="1"/>
  <c r="Q18" i="401"/>
  <c r="R18" i="401" s="1"/>
  <c r="S18" i="401" s="1"/>
  <c r="O11" i="401"/>
  <c r="Q11" i="401" s="1"/>
  <c r="R11" i="401" s="1"/>
  <c r="S11" i="401" s="1"/>
  <c r="R13" i="401"/>
  <c r="S13" i="401" s="1"/>
  <c r="O19" i="401"/>
  <c r="Q19" i="401" s="1"/>
  <c r="R19" i="401" s="1"/>
  <c r="S19" i="401" s="1"/>
  <c r="O5" i="401"/>
  <c r="Q5" i="401" s="1"/>
  <c r="R5" i="401" s="1"/>
  <c r="S5" i="401" s="1"/>
  <c r="O7" i="401"/>
  <c r="Q7" i="401" s="1"/>
  <c r="R7" i="401" s="1"/>
  <c r="S7" i="401" s="1"/>
  <c r="O9" i="401"/>
  <c r="Q9" i="401" s="1"/>
  <c r="R9" i="401" s="1"/>
  <c r="S9" i="401" s="1"/>
  <c r="O19" i="400"/>
  <c r="Q19" i="400" s="1"/>
  <c r="R19" i="400" s="1"/>
  <c r="S19" i="400" s="1"/>
  <c r="O20" i="400"/>
  <c r="Q20" i="400" s="1"/>
  <c r="R20" i="400" s="1"/>
  <c r="S20" i="400" s="1"/>
  <c r="O11" i="400"/>
  <c r="Q11" i="400" s="1"/>
  <c r="R11" i="400" s="1"/>
  <c r="S11" i="400" s="1"/>
  <c r="O13" i="400"/>
  <c r="Q13" i="400" s="1"/>
  <c r="R13" i="400" s="1"/>
  <c r="S13" i="400" s="1"/>
  <c r="O15" i="400"/>
  <c r="Q15" i="400" s="1"/>
  <c r="R15" i="400" s="1"/>
  <c r="S15" i="400" s="1"/>
  <c r="O17" i="400"/>
  <c r="Q17" i="400" s="1"/>
  <c r="R17" i="400" s="1"/>
  <c r="S17" i="400" s="1"/>
  <c r="Q12" i="400"/>
  <c r="R12" i="400" s="1"/>
  <c r="S12" i="400" s="1"/>
  <c r="R4" i="401"/>
  <c r="S4" i="401" s="1"/>
  <c r="R12" i="401"/>
  <c r="S12" i="401" s="1"/>
  <c r="R20" i="401"/>
  <c r="S20" i="401" s="1"/>
  <c r="J21" i="401"/>
  <c r="C25" i="401" s="1"/>
  <c r="O5" i="400"/>
  <c r="Q5" i="400" s="1"/>
  <c r="R5" i="400" s="1"/>
  <c r="S5" i="400" s="1"/>
  <c r="O7" i="400"/>
  <c r="Q7" i="400" s="1"/>
  <c r="R7" i="400" s="1"/>
  <c r="S7" i="400" s="1"/>
  <c r="O9" i="400"/>
  <c r="Q9" i="400" s="1"/>
  <c r="R9" i="400" s="1"/>
  <c r="S9" i="400" s="1"/>
  <c r="O4" i="400"/>
  <c r="Q4" i="400" s="1"/>
  <c r="R4" i="400" s="1"/>
  <c r="S4" i="400" s="1"/>
  <c r="O6" i="400"/>
  <c r="Q6" i="400" s="1"/>
  <c r="R6" i="400" s="1"/>
  <c r="S6" i="400" s="1"/>
  <c r="O8" i="400"/>
  <c r="Q8" i="400" s="1"/>
  <c r="R8" i="400" s="1"/>
  <c r="S8" i="400" s="1"/>
  <c r="O10" i="400"/>
  <c r="Q10" i="400" s="1"/>
  <c r="R10" i="400" s="1"/>
  <c r="O5" i="398"/>
  <c r="Q5" i="398" s="1"/>
  <c r="R5" i="398" s="1"/>
  <c r="S5" i="398" s="1"/>
  <c r="O6" i="398"/>
  <c r="O10" i="398"/>
  <c r="O4" i="397"/>
  <c r="Q4" i="397" s="1"/>
  <c r="R4" i="397" s="1"/>
  <c r="S4" i="397" s="1"/>
  <c r="O7" i="397"/>
  <c r="Q7" i="397" s="1"/>
  <c r="R7" i="397" s="1"/>
  <c r="S7" i="397" s="1"/>
  <c r="O9" i="397"/>
  <c r="Q9" i="397" s="1"/>
  <c r="R9" i="397" s="1"/>
  <c r="O4" i="399"/>
  <c r="Q4" i="399" s="1"/>
  <c r="R4" i="399" s="1"/>
  <c r="S4" i="399" s="1"/>
  <c r="O6" i="399"/>
  <c r="Q6" i="399" s="1"/>
  <c r="R6" i="399" s="1"/>
  <c r="S6" i="399" s="1"/>
  <c r="O8" i="399"/>
  <c r="Q8" i="399" s="1"/>
  <c r="Q9" i="399"/>
  <c r="R9" i="399" s="1"/>
  <c r="S9" i="399" s="1"/>
  <c r="J24" i="400"/>
  <c r="C28" i="400" s="1"/>
  <c r="R8" i="399"/>
  <c r="S8" i="399" s="1"/>
  <c r="O11" i="399"/>
  <c r="Q11" i="399" s="1"/>
  <c r="R11" i="399" s="1"/>
  <c r="S11" i="399" s="1"/>
  <c r="O13" i="399"/>
  <c r="Q13" i="399" s="1"/>
  <c r="R13" i="399" s="1"/>
  <c r="S13" i="399" s="1"/>
  <c r="O10" i="399"/>
  <c r="Q10" i="399" s="1"/>
  <c r="R10" i="399" s="1"/>
  <c r="S10" i="399" s="1"/>
  <c r="O12" i="399"/>
  <c r="Q12" i="399" s="1"/>
  <c r="R12" i="399" s="1"/>
  <c r="S12" i="399" s="1"/>
  <c r="O14" i="399"/>
  <c r="Q14" i="399" s="1"/>
  <c r="R14" i="399" s="1"/>
  <c r="S14" i="399" s="1"/>
  <c r="O5" i="399"/>
  <c r="Q5" i="399" s="1"/>
  <c r="R5" i="399" s="1"/>
  <c r="S5" i="399" s="1"/>
  <c r="O7" i="399"/>
  <c r="Q7" i="399" s="1"/>
  <c r="R7" i="399" s="1"/>
  <c r="S7" i="399" s="1"/>
  <c r="Q10" i="398"/>
  <c r="R10" i="398" s="1"/>
  <c r="S10" i="398" s="1"/>
  <c r="O8" i="398"/>
  <c r="Q8" i="398" s="1"/>
  <c r="R8" i="398" s="1"/>
  <c r="S8" i="398" s="1"/>
  <c r="O4" i="398"/>
  <c r="Q4" i="398" s="1"/>
  <c r="R4" i="398" s="1"/>
  <c r="S4" i="398" s="1"/>
  <c r="Q6" i="398"/>
  <c r="R6" i="398" s="1"/>
  <c r="S6" i="398" s="1"/>
  <c r="O7" i="398"/>
  <c r="Q7" i="398" s="1"/>
  <c r="R7" i="398" s="1"/>
  <c r="S7" i="398" s="1"/>
  <c r="O9" i="398"/>
  <c r="Q9" i="398" s="1"/>
  <c r="R9" i="398" s="1"/>
  <c r="S9" i="398" s="1"/>
  <c r="J15" i="399"/>
  <c r="C19" i="399" s="1"/>
  <c r="O6" i="397"/>
  <c r="Q6" i="397" s="1"/>
  <c r="R6" i="397" s="1"/>
  <c r="O5" i="397"/>
  <c r="Q5" i="397" s="1"/>
  <c r="R5" i="397" s="1"/>
  <c r="O8" i="397"/>
  <c r="Q8" i="397" s="1"/>
  <c r="R8" i="397" s="1"/>
  <c r="S8" i="397" s="1"/>
  <c r="J11" i="398"/>
  <c r="C15" i="398" s="1"/>
  <c r="O5" i="396"/>
  <c r="Q5" i="396" s="1"/>
  <c r="O7" i="396"/>
  <c r="Q7" i="396" s="1"/>
  <c r="O9" i="396"/>
  <c r="Q9" i="396" s="1"/>
  <c r="R9" i="396" s="1"/>
  <c r="S9" i="396" s="1"/>
  <c r="O11" i="396"/>
  <c r="Q11" i="396" s="1"/>
  <c r="J10" i="397"/>
  <c r="C14" i="397" s="1"/>
  <c r="R5" i="396"/>
  <c r="S5" i="396" s="1"/>
  <c r="R7" i="396"/>
  <c r="S7" i="396" s="1"/>
  <c r="R11" i="396"/>
  <c r="S11" i="396" s="1"/>
  <c r="O4" i="396"/>
  <c r="Q4" i="396" s="1"/>
  <c r="R4" i="396" s="1"/>
  <c r="S4" i="396" s="1"/>
  <c r="O6" i="396"/>
  <c r="Q6" i="396" s="1"/>
  <c r="R6" i="396" s="1"/>
  <c r="S6" i="396" s="1"/>
  <c r="O8" i="396"/>
  <c r="Q8" i="396" s="1"/>
  <c r="R8" i="396" s="1"/>
  <c r="S8" i="396" s="1"/>
  <c r="O10" i="396"/>
  <c r="Q10" i="396" s="1"/>
  <c r="R10" i="396" s="1"/>
  <c r="S10" i="396" s="1"/>
  <c r="O12" i="396"/>
  <c r="Q12" i="396" s="1"/>
  <c r="R12" i="396" s="1"/>
  <c r="S12" i="396" s="1"/>
  <c r="Q4" i="395"/>
  <c r="R4" i="395" s="1"/>
  <c r="S4" i="395" s="1"/>
  <c r="Q6" i="395"/>
  <c r="R6" i="395" s="1"/>
  <c r="S6" i="395" s="1"/>
  <c r="J13" i="396"/>
  <c r="C17" i="396" s="1"/>
  <c r="Q8" i="395"/>
  <c r="R8" i="395" s="1"/>
  <c r="S8" i="395" s="1"/>
  <c r="O10" i="395"/>
  <c r="Q10" i="395" s="1"/>
  <c r="R10" i="395" s="1"/>
  <c r="S10" i="395" s="1"/>
  <c r="O5" i="395"/>
  <c r="Q5" i="395" s="1"/>
  <c r="R5" i="395" s="1"/>
  <c r="S5" i="395" s="1"/>
  <c r="R7" i="395"/>
  <c r="R11" i="394"/>
  <c r="S11" i="394" s="1"/>
  <c r="Q13" i="394"/>
  <c r="R13" i="394" s="1"/>
  <c r="S13" i="394" s="1"/>
  <c r="Q15" i="394"/>
  <c r="Q19" i="394"/>
  <c r="R19" i="394" s="1"/>
  <c r="S19" i="394" s="1"/>
  <c r="Q21" i="394"/>
  <c r="R21" i="394" s="1"/>
  <c r="S21" i="394" s="1"/>
  <c r="O17" i="394"/>
  <c r="Q17" i="394" s="1"/>
  <c r="R17" i="394" s="1"/>
  <c r="S17" i="394" s="1"/>
  <c r="O25" i="394"/>
  <c r="Q25" i="394" s="1"/>
  <c r="O4" i="394"/>
  <c r="Q4" i="394" s="1"/>
  <c r="R4" i="394" s="1"/>
  <c r="S4" i="394" s="1"/>
  <c r="O10" i="394"/>
  <c r="O12" i="394"/>
  <c r="Q12" i="394" s="1"/>
  <c r="R12" i="394" s="1"/>
  <c r="S12" i="394" s="1"/>
  <c r="O14" i="394"/>
  <c r="Q14" i="394" s="1"/>
  <c r="R14" i="394" s="1"/>
  <c r="S14" i="394" s="1"/>
  <c r="O16" i="394"/>
  <c r="Q16" i="394" s="1"/>
  <c r="R16" i="394" s="1"/>
  <c r="S16" i="394" s="1"/>
  <c r="O18" i="394"/>
  <c r="O20" i="394"/>
  <c r="Q20" i="394" s="1"/>
  <c r="J11" i="395"/>
  <c r="C15" i="395" s="1"/>
  <c r="O5" i="394"/>
  <c r="Q5" i="394" s="1"/>
  <c r="R5" i="394" s="1"/>
  <c r="S5" i="394" s="1"/>
  <c r="O7" i="394"/>
  <c r="Q28" i="394"/>
  <c r="R28" i="394" s="1"/>
  <c r="S28" i="394" s="1"/>
  <c r="O30" i="394"/>
  <c r="Q30" i="394" s="1"/>
  <c r="R30" i="394" s="1"/>
  <c r="S30" i="394" s="1"/>
  <c r="O22" i="394"/>
  <c r="Q22" i="394" s="1"/>
  <c r="R22" i="394" s="1"/>
  <c r="S22" i="394" s="1"/>
  <c r="O6" i="394"/>
  <c r="Q6" i="394" s="1"/>
  <c r="R6" i="394" s="1"/>
  <c r="S6" i="394" s="1"/>
  <c r="O26" i="394"/>
  <c r="Q26" i="394" s="1"/>
  <c r="R26" i="394" s="1"/>
  <c r="O31" i="394"/>
  <c r="Q31" i="394" s="1"/>
  <c r="R31" i="394" s="1"/>
  <c r="S31" i="394" s="1"/>
  <c r="Q10" i="394"/>
  <c r="R10" i="394" s="1"/>
  <c r="S10" i="394" s="1"/>
  <c r="O33" i="394"/>
  <c r="Q33" i="394" s="1"/>
  <c r="R33" i="394" s="1"/>
  <c r="S33" i="394" s="1"/>
  <c r="O37" i="394"/>
  <c r="Q37" i="394" s="1"/>
  <c r="R37" i="394" s="1"/>
  <c r="S37" i="394" s="1"/>
  <c r="O39" i="394"/>
  <c r="Q39" i="394" s="1"/>
  <c r="R39" i="394" s="1"/>
  <c r="S39" i="394" s="1"/>
  <c r="Q6" i="393"/>
  <c r="R6" i="393" s="1"/>
  <c r="S6" i="393" s="1"/>
  <c r="R5" i="393"/>
  <c r="S5" i="393" s="1"/>
  <c r="O8" i="393"/>
  <c r="Q8" i="393" s="1"/>
  <c r="R15" i="394"/>
  <c r="S15" i="394" s="1"/>
  <c r="Q7" i="394"/>
  <c r="R7" i="394" s="1"/>
  <c r="S7" i="394" s="1"/>
  <c r="Q24" i="394"/>
  <c r="R24" i="394" s="1"/>
  <c r="S24" i="394" s="1"/>
  <c r="O29" i="394"/>
  <c r="Q29" i="394" s="1"/>
  <c r="R29" i="394" s="1"/>
  <c r="S29" i="394" s="1"/>
  <c r="J41" i="394"/>
  <c r="C45" i="394" s="1"/>
  <c r="R20" i="394"/>
  <c r="S20" i="394" s="1"/>
  <c r="Q8" i="394"/>
  <c r="R8" i="394" s="1"/>
  <c r="S8" i="394" s="1"/>
  <c r="Q18" i="394"/>
  <c r="R18" i="394" s="1"/>
  <c r="S18" i="394" s="1"/>
  <c r="Q23" i="394"/>
  <c r="R23" i="394" s="1"/>
  <c r="S23" i="394" s="1"/>
  <c r="O36" i="394"/>
  <c r="Q36" i="394" s="1"/>
  <c r="R36" i="394" s="1"/>
  <c r="S36" i="394" s="1"/>
  <c r="Q38" i="394"/>
  <c r="R38" i="394" s="1"/>
  <c r="S38" i="394" s="1"/>
  <c r="R9" i="394"/>
  <c r="S9" i="394" s="1"/>
  <c r="R25" i="394"/>
  <c r="S25" i="394" s="1"/>
  <c r="O35" i="394"/>
  <c r="Q35" i="394" s="1"/>
  <c r="R35" i="394" s="1"/>
  <c r="S35" i="394" s="1"/>
  <c r="O34" i="394"/>
  <c r="Q34" i="394" s="1"/>
  <c r="R34" i="394" s="1"/>
  <c r="S34" i="394" s="1"/>
  <c r="O32" i="394"/>
  <c r="Q32" i="394" s="1"/>
  <c r="R32" i="394" s="1"/>
  <c r="S32" i="394" s="1"/>
  <c r="O40" i="394"/>
  <c r="Q40" i="394" s="1"/>
  <c r="R40" i="394" s="1"/>
  <c r="S40" i="394" s="1"/>
  <c r="O10" i="393"/>
  <c r="Q10" i="393" s="1"/>
  <c r="R10" i="393" s="1"/>
  <c r="S10" i="393" s="1"/>
  <c r="R11" i="393"/>
  <c r="S11" i="393" s="1"/>
  <c r="R7" i="393"/>
  <c r="S7" i="393" s="1"/>
  <c r="O4" i="393"/>
  <c r="Q4" i="393" s="1"/>
  <c r="R4" i="393" s="1"/>
  <c r="S4" i="393" s="1"/>
  <c r="R9" i="393"/>
  <c r="S9" i="393" s="1"/>
  <c r="R8" i="393"/>
  <c r="S8" i="393" s="1"/>
  <c r="J12" i="393"/>
  <c r="C16" i="393" s="1"/>
  <c r="O5" i="392"/>
  <c r="Q5" i="392" s="1"/>
  <c r="R5" i="392" s="1"/>
  <c r="S5" i="392" s="1"/>
  <c r="O4" i="392"/>
  <c r="Q4" i="392" s="1"/>
  <c r="O6" i="392"/>
  <c r="Q6" i="392" s="1"/>
  <c r="R6" i="392" s="1"/>
  <c r="S6" i="392" s="1"/>
  <c r="O8" i="392"/>
  <c r="Q8" i="392" s="1"/>
  <c r="R8" i="392" s="1"/>
  <c r="S8" i="392" s="1"/>
  <c r="O10" i="392"/>
  <c r="Q10" i="392" s="1"/>
  <c r="R10" i="392" s="1"/>
  <c r="S10" i="392" s="1"/>
  <c r="O12" i="392"/>
  <c r="Q12" i="392" s="1"/>
  <c r="R12" i="392" s="1"/>
  <c r="S12" i="392" s="1"/>
  <c r="R4" i="392"/>
  <c r="S4" i="392" s="1"/>
  <c r="O11" i="392"/>
  <c r="Q11" i="392" s="1"/>
  <c r="R11" i="392" s="1"/>
  <c r="S11" i="392" s="1"/>
  <c r="O13" i="392"/>
  <c r="Q13" i="392" s="1"/>
  <c r="R13" i="392" s="1"/>
  <c r="S13" i="392" s="1"/>
  <c r="O7" i="392"/>
  <c r="Q7" i="392" s="1"/>
  <c r="R7" i="392" s="1"/>
  <c r="S7" i="392" s="1"/>
  <c r="O9" i="392"/>
  <c r="Q9" i="392" s="1"/>
  <c r="R9" i="392" s="1"/>
  <c r="S9" i="392" s="1"/>
  <c r="O9" i="391"/>
  <c r="Q9" i="391" s="1"/>
  <c r="R9" i="391" s="1"/>
  <c r="S9" i="391" s="1"/>
  <c r="O6" i="391"/>
  <c r="Q6" i="391" s="1"/>
  <c r="R6" i="391" s="1"/>
  <c r="S6" i="391" s="1"/>
  <c r="O10" i="391"/>
  <c r="Q10" i="391" s="1"/>
  <c r="O4" i="391"/>
  <c r="Q4" i="391" s="1"/>
  <c r="R4" i="391" s="1"/>
  <c r="S4" i="391" s="1"/>
  <c r="O11" i="391"/>
  <c r="Q11" i="391" s="1"/>
  <c r="R11" i="391" s="1"/>
  <c r="S11" i="391" s="1"/>
  <c r="J14" i="392"/>
  <c r="C18" i="392" s="1"/>
  <c r="Q14" i="391"/>
  <c r="R14" i="391" s="1"/>
  <c r="S14" i="391" s="1"/>
  <c r="R10" i="391"/>
  <c r="S10" i="391" s="1"/>
  <c r="O7" i="391"/>
  <c r="Q7" i="391" s="1"/>
  <c r="R7" i="391" s="1"/>
  <c r="S7" i="391" s="1"/>
  <c r="R82" i="386"/>
  <c r="S82" i="386" s="1"/>
  <c r="O53" i="386"/>
  <c r="Q53" i="386" s="1"/>
  <c r="R53" i="386" s="1"/>
  <c r="S53" i="386" s="1"/>
  <c r="O55" i="386"/>
  <c r="Q55" i="386" s="1"/>
  <c r="R55" i="386" s="1"/>
  <c r="S55" i="386" s="1"/>
  <c r="O61" i="386"/>
  <c r="Q61" i="386" s="1"/>
  <c r="R61" i="386" s="1"/>
  <c r="S61" i="386" s="1"/>
  <c r="R120" i="386"/>
  <c r="S120" i="386" s="1"/>
  <c r="O128" i="386"/>
  <c r="Q128" i="386" s="1"/>
  <c r="O7" i="386"/>
  <c r="Q7" i="386" s="1"/>
  <c r="R7" i="386" s="1"/>
  <c r="S7" i="386" s="1"/>
  <c r="O18" i="386"/>
  <c r="Q18" i="386" s="1"/>
  <c r="R18" i="386" s="1"/>
  <c r="S18" i="386" s="1"/>
  <c r="O121" i="386"/>
  <c r="Q121" i="386" s="1"/>
  <c r="O68" i="386"/>
  <c r="O130" i="386"/>
  <c r="Q130" i="386" s="1"/>
  <c r="R130" i="386" s="1"/>
  <c r="S130" i="386" s="1"/>
  <c r="O48" i="386"/>
  <c r="Q48" i="386" s="1"/>
  <c r="R48" i="386" s="1"/>
  <c r="S48" i="386" s="1"/>
  <c r="O52" i="386"/>
  <c r="Q52" i="386" s="1"/>
  <c r="R52" i="386" s="1"/>
  <c r="S52" i="386" s="1"/>
  <c r="O54" i="386"/>
  <c r="Q54" i="386" s="1"/>
  <c r="O56" i="386"/>
  <c r="Q56" i="386" s="1"/>
  <c r="R56" i="386" s="1"/>
  <c r="S56" i="386" s="1"/>
  <c r="O58" i="386"/>
  <c r="Q58" i="386" s="1"/>
  <c r="R58" i="386" s="1"/>
  <c r="S58" i="386" s="1"/>
  <c r="O60" i="386"/>
  <c r="Q60" i="386" s="1"/>
  <c r="O62" i="386"/>
  <c r="Q62" i="386" s="1"/>
  <c r="R62" i="386" s="1"/>
  <c r="S62" i="386" s="1"/>
  <c r="O40" i="390"/>
  <c r="J15" i="391"/>
  <c r="C19" i="391" s="1"/>
  <c r="O5" i="390"/>
  <c r="Q5" i="390" s="1"/>
  <c r="O7" i="390"/>
  <c r="Q7" i="390" s="1"/>
  <c r="R7" i="390" s="1"/>
  <c r="S7" i="390" s="1"/>
  <c r="O9" i="390"/>
  <c r="Q9" i="390" s="1"/>
  <c r="O11" i="390"/>
  <c r="Q11" i="390" s="1"/>
  <c r="R11" i="390" s="1"/>
  <c r="S11" i="390" s="1"/>
  <c r="O13" i="390"/>
  <c r="Q13" i="390" s="1"/>
  <c r="R13" i="390" s="1"/>
  <c r="S13" i="390" s="1"/>
  <c r="O15" i="390"/>
  <c r="Q15" i="390" s="1"/>
  <c r="R15" i="390" s="1"/>
  <c r="S15" i="390" s="1"/>
  <c r="O17" i="390"/>
  <c r="Q17" i="390" s="1"/>
  <c r="R17" i="390" s="1"/>
  <c r="S17" i="390" s="1"/>
  <c r="O20" i="390"/>
  <c r="Q20" i="390" s="1"/>
  <c r="O22" i="390"/>
  <c r="Q22" i="390" s="1"/>
  <c r="O24" i="390"/>
  <c r="Q24" i="390" s="1"/>
  <c r="R24" i="390" s="1"/>
  <c r="S24" i="390" s="1"/>
  <c r="O26" i="390"/>
  <c r="Q26" i="390" s="1"/>
  <c r="O28" i="390"/>
  <c r="Q28" i="390" s="1"/>
  <c r="R28" i="390" s="1"/>
  <c r="S28" i="390" s="1"/>
  <c r="O30" i="390"/>
  <c r="Q30" i="390" s="1"/>
  <c r="R30" i="390" s="1"/>
  <c r="S30" i="390" s="1"/>
  <c r="O36" i="390"/>
  <c r="Q36" i="390" s="1"/>
  <c r="R36" i="390" s="1"/>
  <c r="S36" i="390" s="1"/>
  <c r="R31" i="390"/>
  <c r="S31" i="390" s="1"/>
  <c r="R33" i="390"/>
  <c r="S33" i="390" s="1"/>
  <c r="R37" i="390"/>
  <c r="S37" i="390" s="1"/>
  <c r="R35" i="390"/>
  <c r="S35" i="390" s="1"/>
  <c r="R5" i="390"/>
  <c r="S5" i="390" s="1"/>
  <c r="R9" i="390"/>
  <c r="S9" i="390" s="1"/>
  <c r="Q40" i="390"/>
  <c r="R40" i="390" s="1"/>
  <c r="S40" i="390" s="1"/>
  <c r="R39" i="390"/>
  <c r="S39" i="390" s="1"/>
  <c r="O38" i="390"/>
  <c r="Q38" i="390" s="1"/>
  <c r="R38" i="390" s="1"/>
  <c r="S38" i="390" s="1"/>
  <c r="R22" i="390"/>
  <c r="S22" i="390" s="1"/>
  <c r="R20" i="390"/>
  <c r="R26" i="390"/>
  <c r="S26" i="390" s="1"/>
  <c r="O4" i="390"/>
  <c r="Q4" i="390" s="1"/>
  <c r="R4" i="390" s="1"/>
  <c r="S4" i="390" s="1"/>
  <c r="O6" i="390"/>
  <c r="Q6" i="390" s="1"/>
  <c r="R6" i="390" s="1"/>
  <c r="S6" i="390" s="1"/>
  <c r="O8" i="390"/>
  <c r="Q8" i="390" s="1"/>
  <c r="R8" i="390" s="1"/>
  <c r="S8" i="390" s="1"/>
  <c r="O10" i="390"/>
  <c r="Q10" i="390" s="1"/>
  <c r="R10" i="390" s="1"/>
  <c r="S10" i="390" s="1"/>
  <c r="O12" i="390"/>
  <c r="Q12" i="390" s="1"/>
  <c r="R12" i="390" s="1"/>
  <c r="S12" i="390" s="1"/>
  <c r="O14" i="390"/>
  <c r="Q14" i="390" s="1"/>
  <c r="R14" i="390" s="1"/>
  <c r="S14" i="390" s="1"/>
  <c r="O16" i="390"/>
  <c r="Q16" i="390" s="1"/>
  <c r="R16" i="390" s="1"/>
  <c r="S16" i="390" s="1"/>
  <c r="O18" i="390"/>
  <c r="Q18" i="390" s="1"/>
  <c r="R18" i="390" s="1"/>
  <c r="S18" i="390" s="1"/>
  <c r="O19" i="390"/>
  <c r="Q19" i="390" s="1"/>
  <c r="R19" i="390" s="1"/>
  <c r="S19" i="390" s="1"/>
  <c r="O21" i="390"/>
  <c r="Q21" i="390" s="1"/>
  <c r="R21" i="390" s="1"/>
  <c r="O23" i="390"/>
  <c r="Q23" i="390" s="1"/>
  <c r="R23" i="390" s="1"/>
  <c r="S23" i="390" s="1"/>
  <c r="O25" i="390"/>
  <c r="Q25" i="390" s="1"/>
  <c r="R25" i="390" s="1"/>
  <c r="S25" i="390" s="1"/>
  <c r="O27" i="390"/>
  <c r="Q27" i="390" s="1"/>
  <c r="R27" i="390" s="1"/>
  <c r="S27" i="390" s="1"/>
  <c r="O29" i="390"/>
  <c r="Q29" i="390" s="1"/>
  <c r="R29" i="390" s="1"/>
  <c r="S29" i="390" s="1"/>
  <c r="O32" i="390"/>
  <c r="Q32" i="390" s="1"/>
  <c r="R32" i="390" s="1"/>
  <c r="S32" i="390" s="1"/>
  <c r="O34" i="390"/>
  <c r="Q34" i="390" s="1"/>
  <c r="R34" i="390" s="1"/>
  <c r="S34" i="390" s="1"/>
  <c r="R8" i="389"/>
  <c r="S8" i="389" s="1"/>
  <c r="Q12" i="389"/>
  <c r="Q20" i="389"/>
  <c r="R20" i="389" s="1"/>
  <c r="S20" i="389" s="1"/>
  <c r="R23" i="389"/>
  <c r="S23" i="389" s="1"/>
  <c r="O22" i="389"/>
  <c r="Q22" i="389" s="1"/>
  <c r="R22" i="389" s="1"/>
  <c r="S22" i="389" s="1"/>
  <c r="O13" i="389"/>
  <c r="Q13" i="389" s="1"/>
  <c r="R13" i="389" s="1"/>
  <c r="S13" i="389" s="1"/>
  <c r="O15" i="389"/>
  <c r="Q15" i="389" s="1"/>
  <c r="R15" i="389" s="1"/>
  <c r="S15" i="389" s="1"/>
  <c r="J41" i="390"/>
  <c r="C45" i="390" s="1"/>
  <c r="Q11" i="389"/>
  <c r="R11" i="389" s="1"/>
  <c r="S11" i="389" s="1"/>
  <c r="R6" i="389"/>
  <c r="S6" i="389" s="1"/>
  <c r="R12" i="389"/>
  <c r="S12" i="389" s="1"/>
  <c r="O14" i="389"/>
  <c r="Q14" i="389" s="1"/>
  <c r="R14" i="389" s="1"/>
  <c r="S14" i="389" s="1"/>
  <c r="R4" i="389"/>
  <c r="S4" i="389" s="1"/>
  <c r="R10" i="389"/>
  <c r="S10" i="389" s="1"/>
  <c r="O7" i="389"/>
  <c r="Q7" i="389" s="1"/>
  <c r="R7" i="389" s="1"/>
  <c r="S7" i="389" s="1"/>
  <c r="O9" i="389"/>
  <c r="Q9" i="389" s="1"/>
  <c r="R9" i="389" s="1"/>
  <c r="S9" i="389" s="1"/>
  <c r="O13" i="388"/>
  <c r="Q13" i="388" s="1"/>
  <c r="R13" i="388" s="1"/>
  <c r="S13" i="388" s="1"/>
  <c r="R14" i="388"/>
  <c r="S14" i="388" s="1"/>
  <c r="R9" i="388"/>
  <c r="S9" i="388" s="1"/>
  <c r="Q5" i="389"/>
  <c r="R5" i="389" s="1"/>
  <c r="S5" i="389" s="1"/>
  <c r="J25" i="389"/>
  <c r="C29" i="389" s="1"/>
  <c r="Q21" i="389"/>
  <c r="R21" i="389" s="1"/>
  <c r="S21" i="389" s="1"/>
  <c r="Q7" i="388"/>
  <c r="R7" i="388" s="1"/>
  <c r="S7" i="388" s="1"/>
  <c r="R5" i="388"/>
  <c r="S5" i="388" s="1"/>
  <c r="O11" i="388"/>
  <c r="Q11" i="388" s="1"/>
  <c r="R11" i="388" s="1"/>
  <c r="S11" i="388" s="1"/>
  <c r="O4" i="388"/>
  <c r="Q4" i="388" s="1"/>
  <c r="R4" i="388" s="1"/>
  <c r="S4" i="388" s="1"/>
  <c r="O6" i="388"/>
  <c r="Q6" i="388" s="1"/>
  <c r="R6" i="388" s="1"/>
  <c r="S6" i="388" s="1"/>
  <c r="O8" i="388"/>
  <c r="Q8" i="388" s="1"/>
  <c r="R8" i="388" s="1"/>
  <c r="S8" i="388" s="1"/>
  <c r="Q10" i="388"/>
  <c r="Q12" i="388"/>
  <c r="R12" i="388" s="1"/>
  <c r="S12" i="388" s="1"/>
  <c r="J15" i="388"/>
  <c r="C19" i="388" s="1"/>
  <c r="R4" i="387"/>
  <c r="S4" i="387" s="1"/>
  <c r="O24" i="387"/>
  <c r="Q24" i="387" s="1"/>
  <c r="R24" i="387" s="1"/>
  <c r="S24" i="387" s="1"/>
  <c r="O26" i="387"/>
  <c r="Q26" i="387" s="1"/>
  <c r="R26" i="387" s="1"/>
  <c r="S26" i="387" s="1"/>
  <c r="O5" i="387"/>
  <c r="Q5" i="387" s="1"/>
  <c r="R5" i="387" s="1"/>
  <c r="S5" i="387" s="1"/>
  <c r="O7" i="387"/>
  <c r="Q7" i="387" s="1"/>
  <c r="R7" i="387" s="1"/>
  <c r="S7" i="387" s="1"/>
  <c r="O9" i="387"/>
  <c r="Q9" i="387" s="1"/>
  <c r="R9" i="387" s="1"/>
  <c r="O11" i="387"/>
  <c r="O13" i="387"/>
  <c r="Q13" i="387" s="1"/>
  <c r="R13" i="387" s="1"/>
  <c r="S13" i="387" s="1"/>
  <c r="O15" i="387"/>
  <c r="Q15" i="387" s="1"/>
  <c r="R15" i="387" s="1"/>
  <c r="S15" i="387" s="1"/>
  <c r="O17" i="387"/>
  <c r="O19" i="387"/>
  <c r="Q19" i="387" s="1"/>
  <c r="R19" i="387" s="1"/>
  <c r="S19" i="387" s="1"/>
  <c r="O21" i="387"/>
  <c r="Q21" i="387" s="1"/>
  <c r="R21" i="387" s="1"/>
  <c r="S21" i="387" s="1"/>
  <c r="O25" i="387"/>
  <c r="Q25" i="387" s="1"/>
  <c r="R25" i="387" s="1"/>
  <c r="S25" i="387" s="1"/>
  <c r="O27" i="387"/>
  <c r="Q27" i="387" s="1"/>
  <c r="R27" i="387" s="1"/>
  <c r="S27" i="387" s="1"/>
  <c r="O31" i="387"/>
  <c r="Q31" i="387" s="1"/>
  <c r="R31" i="387" s="1"/>
  <c r="S31" i="387" s="1"/>
  <c r="O6" i="387"/>
  <c r="Q6" i="387" s="1"/>
  <c r="R6" i="387" s="1"/>
  <c r="S6" i="387" s="1"/>
  <c r="O8" i="387"/>
  <c r="Q8" i="387" s="1"/>
  <c r="O10" i="387"/>
  <c r="Q10" i="387" s="1"/>
  <c r="O12" i="387"/>
  <c r="Q12" i="387" s="1"/>
  <c r="R12" i="387" s="1"/>
  <c r="S12" i="387" s="1"/>
  <c r="O14" i="387"/>
  <c r="Q14" i="387" s="1"/>
  <c r="R14" i="387" s="1"/>
  <c r="S14" i="387" s="1"/>
  <c r="O16" i="387"/>
  <c r="Q16" i="387" s="1"/>
  <c r="R16" i="387" s="1"/>
  <c r="S16" i="387" s="1"/>
  <c r="O18" i="387"/>
  <c r="Q18" i="387" s="1"/>
  <c r="R18" i="387" s="1"/>
  <c r="S18" i="387" s="1"/>
  <c r="O20" i="387"/>
  <c r="Q20" i="387" s="1"/>
  <c r="R20" i="387" s="1"/>
  <c r="S20" i="387" s="1"/>
  <c r="O22" i="387"/>
  <c r="Q22" i="387" s="1"/>
  <c r="O28" i="387"/>
  <c r="Q28" i="387" s="1"/>
  <c r="R28" i="387" s="1"/>
  <c r="S28" i="387" s="1"/>
  <c r="R104" i="386"/>
  <c r="S104" i="386" s="1"/>
  <c r="O49" i="386"/>
  <c r="Q49" i="386" s="1"/>
  <c r="R49" i="386" s="1"/>
  <c r="S49" i="386" s="1"/>
  <c r="O51" i="386"/>
  <c r="Q51" i="386" s="1"/>
  <c r="O64" i="386"/>
  <c r="Q64" i="386" s="1"/>
  <c r="R64" i="386" s="1"/>
  <c r="S64" i="386" s="1"/>
  <c r="O69" i="386"/>
  <c r="Q69" i="386" s="1"/>
  <c r="R69" i="386" s="1"/>
  <c r="S69" i="386" s="1"/>
  <c r="O75" i="386"/>
  <c r="Q75" i="386" s="1"/>
  <c r="R75" i="386" s="1"/>
  <c r="S75" i="386" s="1"/>
  <c r="R124" i="386"/>
  <c r="S124" i="386" s="1"/>
  <c r="O126" i="386"/>
  <c r="Q126" i="386" s="1"/>
  <c r="R126" i="386" s="1"/>
  <c r="S126" i="386" s="1"/>
  <c r="O11" i="386"/>
  <c r="Q11" i="386" s="1"/>
  <c r="R11" i="386" s="1"/>
  <c r="S11" i="386" s="1"/>
  <c r="O10" i="386"/>
  <c r="Q10" i="386" s="1"/>
  <c r="O12" i="386"/>
  <c r="Q12" i="386" s="1"/>
  <c r="R12" i="386" s="1"/>
  <c r="S12" i="386" s="1"/>
  <c r="O21" i="386"/>
  <c r="Q21" i="386" s="1"/>
  <c r="R21" i="386" s="1"/>
  <c r="S21" i="386" s="1"/>
  <c r="O25" i="386"/>
  <c r="Q25" i="386" s="1"/>
  <c r="R25" i="386" s="1"/>
  <c r="S25" i="386" s="1"/>
  <c r="O27" i="386"/>
  <c r="Q27" i="386" s="1"/>
  <c r="R27" i="386" s="1"/>
  <c r="S27" i="386" s="1"/>
  <c r="O37" i="386"/>
  <c r="Q37" i="386" s="1"/>
  <c r="R37" i="386" s="1"/>
  <c r="S37" i="386" s="1"/>
  <c r="O39" i="386"/>
  <c r="Q39" i="386" s="1"/>
  <c r="R39" i="386" s="1"/>
  <c r="S39" i="386" s="1"/>
  <c r="O45" i="386"/>
  <c r="Q45" i="386" s="1"/>
  <c r="R45" i="386" s="1"/>
  <c r="S45" i="386" s="1"/>
  <c r="O94" i="386"/>
  <c r="Q94" i="386" s="1"/>
  <c r="Q63" i="386"/>
  <c r="R63" i="386" s="1"/>
  <c r="S63" i="386" s="1"/>
  <c r="Q74" i="386"/>
  <c r="R74" i="386" s="1"/>
  <c r="S74" i="386" s="1"/>
  <c r="Q85" i="386"/>
  <c r="R85" i="386" s="1"/>
  <c r="R80" i="386"/>
  <c r="S80" i="386" s="1"/>
  <c r="O6" i="386"/>
  <c r="Q6" i="386" s="1"/>
  <c r="R6" i="386" s="1"/>
  <c r="R60" i="386"/>
  <c r="S60" i="386" s="1"/>
  <c r="O57" i="386"/>
  <c r="Q57" i="386" s="1"/>
  <c r="R57" i="386" s="1"/>
  <c r="S57" i="386" s="1"/>
  <c r="R66" i="386"/>
  <c r="S66" i="386" s="1"/>
  <c r="O70" i="386"/>
  <c r="Q70" i="386" s="1"/>
  <c r="R70" i="386" s="1"/>
  <c r="S70" i="386" s="1"/>
  <c r="O81" i="386"/>
  <c r="Q81" i="386" s="1"/>
  <c r="R81" i="386" s="1"/>
  <c r="S81" i="386" s="1"/>
  <c r="Q42" i="386"/>
  <c r="R42" i="386" s="1"/>
  <c r="S42" i="386" s="1"/>
  <c r="R67" i="386"/>
  <c r="S67" i="386" s="1"/>
  <c r="R78" i="386"/>
  <c r="S78" i="386" s="1"/>
  <c r="Q87" i="386"/>
  <c r="R87" i="386" s="1"/>
  <c r="S87" i="386" s="1"/>
  <c r="O50" i="386"/>
  <c r="Q50" i="386" s="1"/>
  <c r="R50" i="386" s="1"/>
  <c r="S50" i="386" s="1"/>
  <c r="O125" i="386"/>
  <c r="Q125" i="386" s="1"/>
  <c r="R125" i="386" s="1"/>
  <c r="O127" i="386"/>
  <c r="Q127" i="386" s="1"/>
  <c r="R127" i="386" s="1"/>
  <c r="O129" i="386"/>
  <c r="Q129" i="386" s="1"/>
  <c r="R129" i="386" s="1"/>
  <c r="S129" i="386" s="1"/>
  <c r="O8" i="386"/>
  <c r="O5" i="386"/>
  <c r="Q5" i="386" s="1"/>
  <c r="R5" i="386" s="1"/>
  <c r="S5" i="386" s="1"/>
  <c r="O22" i="386"/>
  <c r="Q22" i="386" s="1"/>
  <c r="R22" i="386" s="1"/>
  <c r="S22" i="386" s="1"/>
  <c r="O24" i="386"/>
  <c r="Q24" i="386" s="1"/>
  <c r="R24" i="386" s="1"/>
  <c r="S24" i="386" s="1"/>
  <c r="O26" i="386"/>
  <c r="Q26" i="386" s="1"/>
  <c r="R26" i="386" s="1"/>
  <c r="S26" i="386" s="1"/>
  <c r="O28" i="386"/>
  <c r="Q28" i="386" s="1"/>
  <c r="R28" i="386" s="1"/>
  <c r="S28" i="386" s="1"/>
  <c r="O36" i="386"/>
  <c r="Q36" i="386" s="1"/>
  <c r="R36" i="386" s="1"/>
  <c r="S36" i="386" s="1"/>
  <c r="O38" i="386"/>
  <c r="Q38" i="386" s="1"/>
  <c r="R38" i="386" s="1"/>
  <c r="S38" i="386" s="1"/>
  <c r="O40" i="386"/>
  <c r="Q40" i="386" s="1"/>
  <c r="R40" i="386" s="1"/>
  <c r="S40" i="386" s="1"/>
  <c r="O44" i="386"/>
  <c r="Q44" i="386" s="1"/>
  <c r="R44" i="386" s="1"/>
  <c r="S44" i="386" s="1"/>
  <c r="O46" i="386"/>
  <c r="Q46" i="386" s="1"/>
  <c r="R46" i="386" s="1"/>
  <c r="S46" i="386" s="1"/>
  <c r="O59" i="386"/>
  <c r="Q59" i="386" s="1"/>
  <c r="R59" i="386" s="1"/>
  <c r="S59" i="386" s="1"/>
  <c r="O72" i="386"/>
  <c r="Q72" i="386" s="1"/>
  <c r="R72" i="386" s="1"/>
  <c r="S72" i="386" s="1"/>
  <c r="Q77" i="386"/>
  <c r="R77" i="386" s="1"/>
  <c r="S77" i="386" s="1"/>
  <c r="O83" i="386"/>
  <c r="Q83" i="386" s="1"/>
  <c r="R83" i="386" s="1"/>
  <c r="S83" i="386" s="1"/>
  <c r="O97" i="386"/>
  <c r="Q97" i="386" s="1"/>
  <c r="R97" i="386" s="1"/>
  <c r="S97" i="386" s="1"/>
  <c r="O99" i="386"/>
  <c r="Q99" i="386" s="1"/>
  <c r="R99" i="386" s="1"/>
  <c r="S99" i="386" s="1"/>
  <c r="O101" i="386"/>
  <c r="Q101" i="386" s="1"/>
  <c r="R101" i="386" s="1"/>
  <c r="S101" i="386" s="1"/>
  <c r="O103" i="386"/>
  <c r="Q103" i="386" s="1"/>
  <c r="R103" i="386" s="1"/>
  <c r="S103" i="386" s="1"/>
  <c r="O105" i="386"/>
  <c r="Q105" i="386" s="1"/>
  <c r="R105" i="386" s="1"/>
  <c r="S105" i="386" s="1"/>
  <c r="O107" i="386"/>
  <c r="Q107" i="386" s="1"/>
  <c r="R107" i="386" s="1"/>
  <c r="S107" i="386" s="1"/>
  <c r="O109" i="386"/>
  <c r="Q109" i="386" s="1"/>
  <c r="R109" i="386" s="1"/>
  <c r="S109" i="386" s="1"/>
  <c r="O115" i="386"/>
  <c r="Q115" i="386" s="1"/>
  <c r="R115" i="386" s="1"/>
  <c r="S115" i="386" s="1"/>
  <c r="O117" i="386"/>
  <c r="Q117" i="386" s="1"/>
  <c r="R117" i="386" s="1"/>
  <c r="S117" i="386" s="1"/>
  <c r="O119" i="386"/>
  <c r="Q119" i="386" s="1"/>
  <c r="R119" i="386" s="1"/>
  <c r="S119" i="386" s="1"/>
  <c r="Q23" i="387"/>
  <c r="R23" i="387" s="1"/>
  <c r="R8" i="387"/>
  <c r="S8" i="387" s="1"/>
  <c r="Q30" i="387"/>
  <c r="R30" i="387" s="1"/>
  <c r="S30" i="387" s="1"/>
  <c r="R22" i="387"/>
  <c r="R10" i="387"/>
  <c r="S10" i="387" s="1"/>
  <c r="Q11" i="387"/>
  <c r="R11" i="387" s="1"/>
  <c r="S11" i="387" s="1"/>
  <c r="Q17" i="387"/>
  <c r="R17" i="387" s="1"/>
  <c r="S17" i="387" s="1"/>
  <c r="Q29" i="387"/>
  <c r="R29" i="387" s="1"/>
  <c r="S29" i="387" s="1"/>
  <c r="J32" i="387"/>
  <c r="C36" i="387" s="1"/>
  <c r="Q47" i="386"/>
  <c r="R47" i="386" s="1"/>
  <c r="S47" i="386" s="1"/>
  <c r="R33" i="386"/>
  <c r="S33" i="386" s="1"/>
  <c r="R35" i="386"/>
  <c r="S35" i="386" s="1"/>
  <c r="R121" i="386"/>
  <c r="S121" i="386" s="1"/>
  <c r="Q20" i="386"/>
  <c r="R20" i="386" s="1"/>
  <c r="S20" i="386" s="1"/>
  <c r="R73" i="386"/>
  <c r="S73" i="386" s="1"/>
  <c r="Q76" i="386"/>
  <c r="R76" i="386" s="1"/>
  <c r="S76" i="386" s="1"/>
  <c r="Q71" i="386"/>
  <c r="R71" i="386" s="1"/>
  <c r="S71" i="386" s="1"/>
  <c r="R10" i="386"/>
  <c r="S10" i="386" s="1"/>
  <c r="R41" i="386"/>
  <c r="S41" i="386" s="1"/>
  <c r="Q68" i="386"/>
  <c r="R68" i="386" s="1"/>
  <c r="Q79" i="386"/>
  <c r="R79" i="386" s="1"/>
  <c r="S79" i="386" s="1"/>
  <c r="Q108" i="386"/>
  <c r="R108" i="386" s="1"/>
  <c r="R110" i="386"/>
  <c r="S110" i="386" s="1"/>
  <c r="R112" i="386"/>
  <c r="S112" i="386" s="1"/>
  <c r="R51" i="386"/>
  <c r="S51" i="386" s="1"/>
  <c r="R31" i="386"/>
  <c r="S31" i="386" s="1"/>
  <c r="R43" i="386"/>
  <c r="S43" i="386" s="1"/>
  <c r="R54" i="386"/>
  <c r="S54" i="386" s="1"/>
  <c r="Q65" i="386"/>
  <c r="R65" i="386" s="1"/>
  <c r="S65" i="386" s="1"/>
  <c r="O4" i="386"/>
  <c r="Q4" i="386" s="1"/>
  <c r="R4" i="386" s="1"/>
  <c r="S4" i="386" s="1"/>
  <c r="O16" i="386"/>
  <c r="Q16" i="386" s="1"/>
  <c r="R16" i="386" s="1"/>
  <c r="S16" i="386" s="1"/>
  <c r="O19" i="386"/>
  <c r="Q19" i="386" s="1"/>
  <c r="R19" i="386" s="1"/>
  <c r="S19" i="386" s="1"/>
  <c r="O23" i="386"/>
  <c r="Q23" i="386" s="1"/>
  <c r="R23" i="386" s="1"/>
  <c r="S23" i="386" s="1"/>
  <c r="O30" i="386"/>
  <c r="Q30" i="386" s="1"/>
  <c r="R30" i="386" s="1"/>
  <c r="S30" i="386" s="1"/>
  <c r="O32" i="386"/>
  <c r="Q32" i="386" s="1"/>
  <c r="R32" i="386" s="1"/>
  <c r="O88" i="386"/>
  <c r="Q88" i="386" s="1"/>
  <c r="R88" i="386" s="1"/>
  <c r="S88" i="386" s="1"/>
  <c r="R114" i="386"/>
  <c r="S114" i="386" s="1"/>
  <c r="O116" i="386"/>
  <c r="Q116" i="386" s="1"/>
  <c r="R116" i="386" s="1"/>
  <c r="S116" i="386" s="1"/>
  <c r="O13" i="386"/>
  <c r="Q13" i="386" s="1"/>
  <c r="R13" i="386" s="1"/>
  <c r="S13" i="386" s="1"/>
  <c r="O29" i="386"/>
  <c r="Q29" i="386" s="1"/>
  <c r="R29" i="386" s="1"/>
  <c r="S29" i="386" s="1"/>
  <c r="O95" i="386"/>
  <c r="Q95" i="386" s="1"/>
  <c r="R95" i="386" s="1"/>
  <c r="O86" i="386"/>
  <c r="Q86" i="386" s="1"/>
  <c r="R86" i="386" s="1"/>
  <c r="S86" i="386" s="1"/>
  <c r="R128" i="386"/>
  <c r="S128" i="386" s="1"/>
  <c r="O96" i="386"/>
  <c r="Q96" i="386" s="1"/>
  <c r="R96" i="386" s="1"/>
  <c r="S96" i="386" s="1"/>
  <c r="O98" i="386"/>
  <c r="Q98" i="386" s="1"/>
  <c r="O100" i="386"/>
  <c r="Q100" i="386" s="1"/>
  <c r="R100" i="386" s="1"/>
  <c r="S100" i="386" s="1"/>
  <c r="O118" i="386"/>
  <c r="Q118" i="386" s="1"/>
  <c r="R118" i="386" s="1"/>
  <c r="S118" i="386" s="1"/>
  <c r="O131" i="386"/>
  <c r="Q131" i="386" s="1"/>
  <c r="R131" i="386" s="1"/>
  <c r="S131" i="386" s="1"/>
  <c r="O133" i="386"/>
  <c r="Q133" i="386" s="1"/>
  <c r="R133" i="386" s="1"/>
  <c r="S133" i="386" s="1"/>
  <c r="O93" i="386"/>
  <c r="Q93" i="386" s="1"/>
  <c r="R93" i="386" s="1"/>
  <c r="S93" i="386" s="1"/>
  <c r="R94" i="386"/>
  <c r="S94" i="386" s="1"/>
  <c r="O102" i="386"/>
  <c r="Q102" i="386" s="1"/>
  <c r="R102" i="386" s="1"/>
  <c r="S102" i="386" s="1"/>
  <c r="O111" i="386"/>
  <c r="Q111" i="386" s="1"/>
  <c r="R111" i="386" s="1"/>
  <c r="S111" i="386" s="1"/>
  <c r="O132" i="386"/>
  <c r="Q132" i="386" s="1"/>
  <c r="R132" i="386" s="1"/>
  <c r="S132" i="386" s="1"/>
  <c r="O123" i="386"/>
  <c r="Q123" i="386" s="1"/>
  <c r="R123" i="386" s="1"/>
  <c r="S123" i="386" s="1"/>
  <c r="O7" i="385"/>
  <c r="Q7" i="385" s="1"/>
  <c r="R7" i="385" s="1"/>
  <c r="S7" i="385" s="1"/>
  <c r="Q47" i="385"/>
  <c r="R47" i="385" s="1"/>
  <c r="S47" i="385" s="1"/>
  <c r="Q96" i="385"/>
  <c r="R96" i="385" s="1"/>
  <c r="S96" i="385" s="1"/>
  <c r="Q108" i="385"/>
  <c r="R108" i="385" s="1"/>
  <c r="S108" i="385" s="1"/>
  <c r="Q130" i="385"/>
  <c r="R130" i="385" s="1"/>
  <c r="S130" i="385" s="1"/>
  <c r="O73" i="385"/>
  <c r="Q73" i="385" s="1"/>
  <c r="R73" i="385" s="1"/>
  <c r="S73" i="385" s="1"/>
  <c r="O75" i="385"/>
  <c r="Q75" i="385" s="1"/>
  <c r="R75" i="385" s="1"/>
  <c r="S75" i="385" s="1"/>
  <c r="O77" i="385"/>
  <c r="Q77" i="385" s="1"/>
  <c r="R77" i="385" s="1"/>
  <c r="S77" i="385" s="1"/>
  <c r="O79" i="385"/>
  <c r="Q79" i="385" s="1"/>
  <c r="R79" i="385" s="1"/>
  <c r="S79" i="385" s="1"/>
  <c r="O36" i="385"/>
  <c r="Q36" i="385" s="1"/>
  <c r="R36" i="385" s="1"/>
  <c r="S36" i="385" s="1"/>
  <c r="O40" i="385"/>
  <c r="Q40" i="385" s="1"/>
  <c r="R40" i="385" s="1"/>
  <c r="S40" i="385" s="1"/>
  <c r="O42" i="385"/>
  <c r="Q42" i="385" s="1"/>
  <c r="R42" i="385" s="1"/>
  <c r="S42" i="385" s="1"/>
  <c r="O83" i="385"/>
  <c r="Q83" i="385" s="1"/>
  <c r="R83" i="385" s="1"/>
  <c r="S83" i="385" s="1"/>
  <c r="O85" i="385"/>
  <c r="Q85" i="385" s="1"/>
  <c r="R85" i="385" s="1"/>
  <c r="S85" i="385" s="1"/>
  <c r="O87" i="385"/>
  <c r="Q87" i="385" s="1"/>
  <c r="R87" i="385" s="1"/>
  <c r="S87" i="385" s="1"/>
  <c r="O95" i="385"/>
  <c r="Q95" i="385" s="1"/>
  <c r="R95" i="385" s="1"/>
  <c r="S95" i="385" s="1"/>
  <c r="O97" i="385"/>
  <c r="Q97" i="385" s="1"/>
  <c r="R97" i="385" s="1"/>
  <c r="S97" i="385" s="1"/>
  <c r="O99" i="385"/>
  <c r="Q99" i="385" s="1"/>
  <c r="R99" i="385" s="1"/>
  <c r="S99" i="385" s="1"/>
  <c r="O101" i="385"/>
  <c r="Q101" i="385" s="1"/>
  <c r="R101" i="385" s="1"/>
  <c r="S101" i="385" s="1"/>
  <c r="O48" i="385"/>
  <c r="Q48" i="385" s="1"/>
  <c r="R48" i="385" s="1"/>
  <c r="S48" i="385" s="1"/>
  <c r="O50" i="385"/>
  <c r="Q50" i="385" s="1"/>
  <c r="R50" i="385" s="1"/>
  <c r="S50" i="385" s="1"/>
  <c r="O105" i="385"/>
  <c r="Q105" i="385" s="1"/>
  <c r="R105" i="385" s="1"/>
  <c r="S105" i="385" s="1"/>
  <c r="O107" i="385"/>
  <c r="Q107" i="385" s="1"/>
  <c r="R107" i="385" s="1"/>
  <c r="S107" i="385" s="1"/>
  <c r="O115" i="385"/>
  <c r="Q115" i="385" s="1"/>
  <c r="R115" i="385" s="1"/>
  <c r="S115" i="385" s="1"/>
  <c r="O117" i="385"/>
  <c r="Q117" i="385" s="1"/>
  <c r="R117" i="385" s="1"/>
  <c r="S117" i="385" s="1"/>
  <c r="O123" i="385"/>
  <c r="Q123" i="385" s="1"/>
  <c r="R123" i="385" s="1"/>
  <c r="S123" i="385" s="1"/>
  <c r="O125" i="385"/>
  <c r="Q125" i="385" s="1"/>
  <c r="R125" i="385" s="1"/>
  <c r="S125" i="385" s="1"/>
  <c r="O52" i="385"/>
  <c r="Q52" i="385" s="1"/>
  <c r="R52" i="385" s="1"/>
  <c r="S52" i="385" s="1"/>
  <c r="O54" i="385"/>
  <c r="Q54" i="385" s="1"/>
  <c r="R54" i="385" s="1"/>
  <c r="S54" i="385" s="1"/>
  <c r="O56" i="385"/>
  <c r="Q56" i="385" s="1"/>
  <c r="R56" i="385" s="1"/>
  <c r="S56" i="385" s="1"/>
  <c r="O58" i="385"/>
  <c r="Q58" i="385" s="1"/>
  <c r="R58" i="385" s="1"/>
  <c r="S58" i="385" s="1"/>
  <c r="O60" i="385"/>
  <c r="Q60" i="385" s="1"/>
  <c r="R60" i="385" s="1"/>
  <c r="S60" i="385" s="1"/>
  <c r="O62" i="385"/>
  <c r="Q62" i="385" s="1"/>
  <c r="R62" i="385" s="1"/>
  <c r="S62" i="385" s="1"/>
  <c r="O64" i="385"/>
  <c r="Q64" i="385" s="1"/>
  <c r="R64" i="385" s="1"/>
  <c r="S64" i="385" s="1"/>
  <c r="O66" i="385"/>
  <c r="Q66" i="385" s="1"/>
  <c r="R66" i="385" s="1"/>
  <c r="S66" i="385" s="1"/>
  <c r="Q8" i="386"/>
  <c r="R8" i="386" s="1"/>
  <c r="S8" i="386" s="1"/>
  <c r="R15" i="386"/>
  <c r="S15" i="386" s="1"/>
  <c r="R98" i="386"/>
  <c r="S98" i="386" s="1"/>
  <c r="Q17" i="386"/>
  <c r="R17" i="386" s="1"/>
  <c r="S17" i="386" s="1"/>
  <c r="R106" i="386"/>
  <c r="S106" i="386" s="1"/>
  <c r="O90" i="386"/>
  <c r="Q90" i="386" s="1"/>
  <c r="R90" i="386" s="1"/>
  <c r="S90" i="386" s="1"/>
  <c r="O89" i="386"/>
  <c r="Q89" i="386" s="1"/>
  <c r="R89" i="386" s="1"/>
  <c r="S89" i="386" s="1"/>
  <c r="J134" i="386"/>
  <c r="C138" i="386" s="1"/>
  <c r="O91" i="386"/>
  <c r="Q91" i="386" s="1"/>
  <c r="R91" i="386" s="1"/>
  <c r="S91" i="386" s="1"/>
  <c r="O92" i="386"/>
  <c r="Q92" i="386" s="1"/>
  <c r="R92" i="386" s="1"/>
  <c r="S92" i="386" s="1"/>
  <c r="Q29" i="385"/>
  <c r="R29" i="385" s="1"/>
  <c r="S29" i="385" s="1"/>
  <c r="O33" i="385"/>
  <c r="Q33" i="385" s="1"/>
  <c r="R33" i="385" s="1"/>
  <c r="S33" i="385" s="1"/>
  <c r="O53" i="385"/>
  <c r="Q53" i="385" s="1"/>
  <c r="R53" i="385" s="1"/>
  <c r="S53" i="385" s="1"/>
  <c r="O55" i="385"/>
  <c r="Q55" i="385" s="1"/>
  <c r="R55" i="385" s="1"/>
  <c r="S55" i="385" s="1"/>
  <c r="O90" i="385"/>
  <c r="Q90" i="385" s="1"/>
  <c r="R90" i="385" s="1"/>
  <c r="S90" i="385" s="1"/>
  <c r="O92" i="385"/>
  <c r="Q92" i="385" s="1"/>
  <c r="R92" i="385" s="1"/>
  <c r="S92" i="385" s="1"/>
  <c r="O103" i="385"/>
  <c r="Q103" i="385" s="1"/>
  <c r="R103" i="385" s="1"/>
  <c r="S103" i="385" s="1"/>
  <c r="O110" i="385"/>
  <c r="Q110" i="385" s="1"/>
  <c r="R110" i="385" s="1"/>
  <c r="S110" i="385" s="1"/>
  <c r="O112" i="385"/>
  <c r="Q112" i="385" s="1"/>
  <c r="R112" i="385" s="1"/>
  <c r="S112" i="385" s="1"/>
  <c r="O26" i="385"/>
  <c r="Q26" i="385" s="1"/>
  <c r="R26" i="385" s="1"/>
  <c r="S26" i="385" s="1"/>
  <c r="O35" i="385"/>
  <c r="Q35" i="385" s="1"/>
  <c r="R35" i="385" s="1"/>
  <c r="S35" i="385" s="1"/>
  <c r="O44" i="385"/>
  <c r="Q44" i="385" s="1"/>
  <c r="R44" i="385" s="1"/>
  <c r="S44" i="385" s="1"/>
  <c r="O46" i="385"/>
  <c r="Q46" i="385" s="1"/>
  <c r="R46" i="385" s="1"/>
  <c r="S46" i="385" s="1"/>
  <c r="O57" i="385"/>
  <c r="Q57" i="385" s="1"/>
  <c r="R57" i="385" s="1"/>
  <c r="S57" i="385" s="1"/>
  <c r="O68" i="385"/>
  <c r="Q68" i="385" s="1"/>
  <c r="R68" i="385" s="1"/>
  <c r="S68" i="385" s="1"/>
  <c r="O70" i="385"/>
  <c r="Q70" i="385" s="1"/>
  <c r="R70" i="385" s="1"/>
  <c r="S70" i="385" s="1"/>
  <c r="Q94" i="385"/>
  <c r="R94" i="385" s="1"/>
  <c r="S94" i="385" s="1"/>
  <c r="O114" i="385"/>
  <c r="Q114" i="385" s="1"/>
  <c r="R114" i="385" s="1"/>
  <c r="S114" i="385" s="1"/>
  <c r="Q12" i="385"/>
  <c r="R12" i="385" s="1"/>
  <c r="S12" i="385" s="1"/>
  <c r="O28" i="385"/>
  <c r="Q28" i="385" s="1"/>
  <c r="R28" i="385" s="1"/>
  <c r="S28" i="385" s="1"/>
  <c r="O30" i="385"/>
  <c r="Q30" i="385" s="1"/>
  <c r="R30" i="385" s="1"/>
  <c r="S30" i="385" s="1"/>
  <c r="Q37" i="385"/>
  <c r="R37" i="385" s="1"/>
  <c r="S37" i="385" s="1"/>
  <c r="O41" i="385"/>
  <c r="Q41" i="385" s="1"/>
  <c r="R41" i="385" s="1"/>
  <c r="S41" i="385" s="1"/>
  <c r="O61" i="385"/>
  <c r="Q61" i="385" s="1"/>
  <c r="R61" i="385" s="1"/>
  <c r="S61" i="385" s="1"/>
  <c r="O63" i="385"/>
  <c r="Q63" i="385" s="1"/>
  <c r="R63" i="385" s="1"/>
  <c r="S63" i="385" s="1"/>
  <c r="O76" i="385"/>
  <c r="Q76" i="385" s="1"/>
  <c r="R76" i="385" s="1"/>
  <c r="S76" i="385" s="1"/>
  <c r="O78" i="385"/>
  <c r="Q78" i="385" s="1"/>
  <c r="R78" i="385" s="1"/>
  <c r="S78" i="385" s="1"/>
  <c r="O32" i="385"/>
  <c r="Q32" i="385" s="1"/>
  <c r="R32" i="385" s="1"/>
  <c r="S32" i="385" s="1"/>
  <c r="O34" i="385"/>
  <c r="Q34" i="385" s="1"/>
  <c r="R34" i="385" s="1"/>
  <c r="S34" i="385" s="1"/>
  <c r="O67" i="385"/>
  <c r="Q67" i="385" s="1"/>
  <c r="R67" i="385" s="1"/>
  <c r="S67" i="385" s="1"/>
  <c r="O91" i="385"/>
  <c r="Q91" i="385" s="1"/>
  <c r="R91" i="385" s="1"/>
  <c r="S91" i="385" s="1"/>
  <c r="O93" i="385"/>
  <c r="Q93" i="385" s="1"/>
  <c r="R93" i="385" s="1"/>
  <c r="S93" i="385" s="1"/>
  <c r="O102" i="385"/>
  <c r="Q102" i="385" s="1"/>
  <c r="R102" i="385" s="1"/>
  <c r="S102" i="385" s="1"/>
  <c r="O104" i="385"/>
  <c r="Q104" i="385" s="1"/>
  <c r="R104" i="385" s="1"/>
  <c r="S104" i="385" s="1"/>
  <c r="O111" i="385"/>
  <c r="Q111" i="385" s="1"/>
  <c r="R111" i="385" s="1"/>
  <c r="S111" i="385" s="1"/>
  <c r="O113" i="385"/>
  <c r="Q113" i="385" s="1"/>
  <c r="R113" i="385" s="1"/>
  <c r="S113" i="385" s="1"/>
  <c r="Q86" i="385"/>
  <c r="R86" i="385" s="1"/>
  <c r="S86" i="385" s="1"/>
  <c r="Q106" i="385"/>
  <c r="R106" i="385" s="1"/>
  <c r="S106" i="385" s="1"/>
  <c r="O11" i="385"/>
  <c r="Q11" i="385" s="1"/>
  <c r="R11" i="385" s="1"/>
  <c r="S11" i="385" s="1"/>
  <c r="O15" i="385"/>
  <c r="Q15" i="385" s="1"/>
  <c r="R15" i="385" s="1"/>
  <c r="S15" i="385" s="1"/>
  <c r="O119" i="385"/>
  <c r="Q119" i="385" s="1"/>
  <c r="R119" i="385" s="1"/>
  <c r="S119" i="385" s="1"/>
  <c r="O121" i="385"/>
  <c r="Q121" i="385" s="1"/>
  <c r="R121" i="385" s="1"/>
  <c r="S121" i="385" s="1"/>
  <c r="O38" i="385"/>
  <c r="Q38" i="385" s="1"/>
  <c r="R38" i="385" s="1"/>
  <c r="S38" i="385" s="1"/>
  <c r="O49" i="385"/>
  <c r="Q49" i="385" s="1"/>
  <c r="R49" i="385" s="1"/>
  <c r="S49" i="385" s="1"/>
  <c r="O69" i="385"/>
  <c r="Q69" i="385" s="1"/>
  <c r="R69" i="385" s="1"/>
  <c r="S69" i="385" s="1"/>
  <c r="O71" i="385"/>
  <c r="Q71" i="385" s="1"/>
  <c r="R71" i="385" s="1"/>
  <c r="S71" i="385" s="1"/>
  <c r="O80" i="385"/>
  <c r="Q80" i="385" s="1"/>
  <c r="R80" i="385" s="1"/>
  <c r="S80" i="385" s="1"/>
  <c r="O81" i="385"/>
  <c r="Q81" i="385" s="1"/>
  <c r="R81" i="385" s="1"/>
  <c r="S81" i="385" s="1"/>
  <c r="O89" i="385"/>
  <c r="Q89" i="385" s="1"/>
  <c r="R89" i="385" s="1"/>
  <c r="S89" i="385" s="1"/>
  <c r="O98" i="385"/>
  <c r="Q98" i="385" s="1"/>
  <c r="R98" i="385" s="1"/>
  <c r="S98" i="385" s="1"/>
  <c r="O100" i="385"/>
  <c r="Q100" i="385" s="1"/>
  <c r="R100" i="385" s="1"/>
  <c r="S100" i="385" s="1"/>
  <c r="O109" i="385"/>
  <c r="Q109" i="385" s="1"/>
  <c r="R109" i="385" s="1"/>
  <c r="S109" i="385" s="1"/>
  <c r="O116" i="385"/>
  <c r="Q116" i="385" s="1"/>
  <c r="R116" i="385" s="1"/>
  <c r="S116" i="385" s="1"/>
  <c r="O127" i="385"/>
  <c r="Q127" i="385" s="1"/>
  <c r="R127" i="385" s="1"/>
  <c r="S127" i="385" s="1"/>
  <c r="O129" i="385"/>
  <c r="Q129" i="385" s="1"/>
  <c r="R129" i="385" s="1"/>
  <c r="S129" i="385" s="1"/>
  <c r="O131" i="385"/>
  <c r="Q131" i="385" s="1"/>
  <c r="R131" i="385" s="1"/>
  <c r="S131" i="385" s="1"/>
  <c r="O133" i="385"/>
  <c r="Q133" i="385" s="1"/>
  <c r="R133" i="385" s="1"/>
  <c r="S133" i="385" s="1"/>
  <c r="O135" i="385"/>
  <c r="Q135" i="385" s="1"/>
  <c r="R135" i="385" s="1"/>
  <c r="S135" i="385" s="1"/>
  <c r="O137" i="385"/>
  <c r="Q137" i="385" s="1"/>
  <c r="R137" i="385" s="1"/>
  <c r="S137" i="385" s="1"/>
  <c r="O139" i="385"/>
  <c r="Q139" i="385" s="1"/>
  <c r="R139" i="385" s="1"/>
  <c r="S139" i="385" s="1"/>
  <c r="O141" i="385"/>
  <c r="Q141" i="385" s="1"/>
  <c r="R141" i="385" s="1"/>
  <c r="S141" i="385" s="1"/>
  <c r="O44" i="384"/>
  <c r="R22" i="384"/>
  <c r="O37" i="384"/>
  <c r="Q37" i="384" s="1"/>
  <c r="R37" i="384" s="1"/>
  <c r="S37" i="384" s="1"/>
  <c r="R31" i="384"/>
  <c r="S31" i="384" s="1"/>
  <c r="R8" i="384"/>
  <c r="S8" i="384" s="1"/>
  <c r="R68" i="384"/>
  <c r="S68" i="384" s="1"/>
  <c r="R46" i="384"/>
  <c r="S46" i="384" s="1"/>
  <c r="O86" i="384"/>
  <c r="Q86" i="384" s="1"/>
  <c r="R86" i="384" s="1"/>
  <c r="S86" i="384" s="1"/>
  <c r="O33" i="384"/>
  <c r="Q33" i="384" s="1"/>
  <c r="R33" i="384" s="1"/>
  <c r="O92" i="384"/>
  <c r="Q92" i="384" s="1"/>
  <c r="R92" i="384" s="1"/>
  <c r="S92" i="384" s="1"/>
  <c r="O60" i="384"/>
  <c r="Q60" i="384" s="1"/>
  <c r="R60" i="384" s="1"/>
  <c r="S60" i="384" s="1"/>
  <c r="O65" i="384"/>
  <c r="Q65" i="384" s="1"/>
  <c r="R65" i="384" s="1"/>
  <c r="S65" i="384" s="1"/>
  <c r="O69" i="384"/>
  <c r="Q69" i="384" s="1"/>
  <c r="R69" i="384" s="1"/>
  <c r="S69" i="384" s="1"/>
  <c r="O78" i="384"/>
  <c r="Q78" i="384" s="1"/>
  <c r="R78" i="384" s="1"/>
  <c r="S78" i="384" s="1"/>
  <c r="O91" i="384"/>
  <c r="Q91" i="384" s="1"/>
  <c r="R91" i="384" s="1"/>
  <c r="S91" i="384" s="1"/>
  <c r="R27" i="384"/>
  <c r="S27" i="384" s="1"/>
  <c r="Q62" i="384"/>
  <c r="R62" i="384" s="1"/>
  <c r="S62" i="384" s="1"/>
  <c r="O53" i="384"/>
  <c r="O97" i="384"/>
  <c r="Q97" i="384" s="1"/>
  <c r="R97" i="384" s="1"/>
  <c r="S97" i="384" s="1"/>
  <c r="O21" i="384"/>
  <c r="Q21" i="384" s="1"/>
  <c r="R21" i="384" s="1"/>
  <c r="S21" i="384" s="1"/>
  <c r="R48" i="384"/>
  <c r="S48" i="384" s="1"/>
  <c r="O57" i="384"/>
  <c r="Q57" i="384" s="1"/>
  <c r="R57" i="384" s="1"/>
  <c r="S57" i="384" s="1"/>
  <c r="R96" i="384"/>
  <c r="S96" i="384" s="1"/>
  <c r="Q34" i="384"/>
  <c r="R34" i="384" s="1"/>
  <c r="S34" i="384" s="1"/>
  <c r="O36" i="384"/>
  <c r="Q36" i="384" s="1"/>
  <c r="R36" i="384" s="1"/>
  <c r="S36" i="384" s="1"/>
  <c r="O51" i="384"/>
  <c r="Q51" i="384" s="1"/>
  <c r="R51" i="384" s="1"/>
  <c r="S51" i="384" s="1"/>
  <c r="O10" i="385"/>
  <c r="Q10" i="385" s="1"/>
  <c r="R10" i="385" s="1"/>
  <c r="S10" i="385" s="1"/>
  <c r="O17" i="385"/>
  <c r="Q17" i="385" s="1"/>
  <c r="R17" i="385" s="1"/>
  <c r="S17" i="385" s="1"/>
  <c r="O21" i="385"/>
  <c r="Q21" i="385" s="1"/>
  <c r="R21" i="385" s="1"/>
  <c r="S21" i="385" s="1"/>
  <c r="O9" i="385"/>
  <c r="Q9" i="385" s="1"/>
  <c r="R9" i="385" s="1"/>
  <c r="S9" i="385" s="1"/>
  <c r="O6" i="385"/>
  <c r="Q6" i="385" s="1"/>
  <c r="R6" i="385" s="1"/>
  <c r="S6" i="385" s="1"/>
  <c r="O14" i="385"/>
  <c r="Q14" i="385" s="1"/>
  <c r="R14" i="385" s="1"/>
  <c r="S14" i="385" s="1"/>
  <c r="O19" i="385"/>
  <c r="Q19" i="385" s="1"/>
  <c r="R19" i="385" s="1"/>
  <c r="S19" i="385" s="1"/>
  <c r="O23" i="385"/>
  <c r="Q23" i="385" s="1"/>
  <c r="R23" i="385" s="1"/>
  <c r="S23" i="385" s="1"/>
  <c r="J144" i="385"/>
  <c r="C148" i="385" s="1"/>
  <c r="O5" i="385"/>
  <c r="Q5" i="385" s="1"/>
  <c r="R5" i="385" s="1"/>
  <c r="S5" i="385" s="1"/>
  <c r="O13" i="385"/>
  <c r="Q13" i="385" s="1"/>
  <c r="R13" i="385" s="1"/>
  <c r="S13" i="385" s="1"/>
  <c r="Q40" i="384"/>
  <c r="R40" i="384" s="1"/>
  <c r="S40" i="384" s="1"/>
  <c r="Q45" i="384"/>
  <c r="R45" i="384" s="1"/>
  <c r="S45" i="384" s="1"/>
  <c r="Q50" i="384"/>
  <c r="R50" i="384" s="1"/>
  <c r="S50" i="384" s="1"/>
  <c r="O5" i="384"/>
  <c r="Q5" i="384" s="1"/>
  <c r="R5" i="384" s="1"/>
  <c r="S5" i="384" s="1"/>
  <c r="O10" i="384"/>
  <c r="Q10" i="384" s="1"/>
  <c r="R10" i="384" s="1"/>
  <c r="S10" i="384" s="1"/>
  <c r="O24" i="384"/>
  <c r="Q24" i="384" s="1"/>
  <c r="R24" i="384" s="1"/>
  <c r="O73" i="384"/>
  <c r="Q73" i="384" s="1"/>
  <c r="R73" i="384" s="1"/>
  <c r="S73" i="384" s="1"/>
  <c r="O81" i="384"/>
  <c r="Q81" i="384" s="1"/>
  <c r="R81" i="384" s="1"/>
  <c r="S81" i="384" s="1"/>
  <c r="O89" i="384"/>
  <c r="Q89" i="384" s="1"/>
  <c r="R89" i="384" s="1"/>
  <c r="S89" i="384" s="1"/>
  <c r="R30" i="384"/>
  <c r="S30" i="384" s="1"/>
  <c r="Q53" i="384"/>
  <c r="R53" i="384" s="1"/>
  <c r="S53" i="384" s="1"/>
  <c r="O14" i="384"/>
  <c r="Q14" i="384" s="1"/>
  <c r="R14" i="384" s="1"/>
  <c r="S14" i="384" s="1"/>
  <c r="O47" i="384"/>
  <c r="Q47" i="384" s="1"/>
  <c r="R47" i="384" s="1"/>
  <c r="S47" i="384" s="1"/>
  <c r="O63" i="384"/>
  <c r="Q63" i="384" s="1"/>
  <c r="R63" i="384" s="1"/>
  <c r="S63" i="384" s="1"/>
  <c r="Q94" i="384"/>
  <c r="R94" i="384" s="1"/>
  <c r="S94" i="384" s="1"/>
  <c r="R12" i="384"/>
  <c r="S12" i="384" s="1"/>
  <c r="Q7" i="384"/>
  <c r="R7" i="384" s="1"/>
  <c r="S7" i="384" s="1"/>
  <c r="R18" i="384"/>
  <c r="S18" i="384" s="1"/>
  <c r="Q44" i="384"/>
  <c r="R44" i="384" s="1"/>
  <c r="S44" i="384" s="1"/>
  <c r="O4" i="384"/>
  <c r="Q4" i="384" s="1"/>
  <c r="R4" i="384" s="1"/>
  <c r="S4" i="384" s="1"/>
  <c r="O9" i="384"/>
  <c r="Q9" i="384" s="1"/>
  <c r="R9" i="384" s="1"/>
  <c r="S9" i="384" s="1"/>
  <c r="O11" i="384"/>
  <c r="Q11" i="384" s="1"/>
  <c r="R11" i="384" s="1"/>
  <c r="S11" i="384" s="1"/>
  <c r="O25" i="384"/>
  <c r="Q25" i="384" s="1"/>
  <c r="R25" i="384" s="1"/>
  <c r="S25" i="384" s="1"/>
  <c r="O41" i="384"/>
  <c r="Q41" i="384" s="1"/>
  <c r="R41" i="384" s="1"/>
  <c r="S41" i="384" s="1"/>
  <c r="O72" i="384"/>
  <c r="Q72" i="384" s="1"/>
  <c r="R72" i="384" s="1"/>
  <c r="S72" i="384" s="1"/>
  <c r="O88" i="384"/>
  <c r="Q88" i="384" s="1"/>
  <c r="R88" i="384" s="1"/>
  <c r="S88" i="384" s="1"/>
  <c r="R32" i="384"/>
  <c r="S32" i="384" s="1"/>
  <c r="R52" i="384"/>
  <c r="S52" i="384" s="1"/>
  <c r="R93" i="384"/>
  <c r="S93" i="384" s="1"/>
  <c r="Q54" i="384"/>
  <c r="R54" i="384" s="1"/>
  <c r="S54" i="384" s="1"/>
  <c r="Q67" i="384"/>
  <c r="R67" i="384" s="1"/>
  <c r="S67" i="384" s="1"/>
  <c r="Q74" i="384"/>
  <c r="R74" i="384" s="1"/>
  <c r="S74" i="384" s="1"/>
  <c r="Q90" i="384"/>
  <c r="R90" i="384" s="1"/>
  <c r="S90" i="384" s="1"/>
  <c r="O13" i="384"/>
  <c r="Q13" i="384" s="1"/>
  <c r="R13" i="384" s="1"/>
  <c r="S13" i="384" s="1"/>
  <c r="Q17" i="384"/>
  <c r="R17" i="384" s="1"/>
  <c r="S17" i="384" s="1"/>
  <c r="Q59" i="384"/>
  <c r="R59" i="384" s="1"/>
  <c r="S59" i="384" s="1"/>
  <c r="Q76" i="384"/>
  <c r="R76" i="384" s="1"/>
  <c r="S76" i="384" s="1"/>
  <c r="O26" i="384"/>
  <c r="Q26" i="384" s="1"/>
  <c r="R26" i="384" s="1"/>
  <c r="S26" i="384" s="1"/>
  <c r="Q35" i="384"/>
  <c r="R35" i="384" s="1"/>
  <c r="S35" i="384" s="1"/>
  <c r="J99" i="384"/>
  <c r="C103" i="384" s="1"/>
  <c r="Q43" i="384"/>
  <c r="R43" i="384" s="1"/>
  <c r="S43" i="384" s="1"/>
  <c r="O4" i="383"/>
  <c r="Q4" i="383" s="1"/>
  <c r="R4" i="383" s="1"/>
  <c r="S4" i="383" s="1"/>
  <c r="R85" i="382"/>
  <c r="S85" i="382" s="1"/>
  <c r="R89" i="382"/>
  <c r="S89" i="382" s="1"/>
  <c r="R81" i="382"/>
  <c r="S81" i="382" s="1"/>
  <c r="Q137" i="382"/>
  <c r="R137" i="382" s="1"/>
  <c r="S137" i="382" s="1"/>
  <c r="O224" i="382"/>
  <c r="Q224" i="382" s="1"/>
  <c r="R224" i="382" s="1"/>
  <c r="S224" i="382" s="1"/>
  <c r="O233" i="382"/>
  <c r="Q233" i="382" s="1"/>
  <c r="R233" i="382" s="1"/>
  <c r="S233" i="382" s="1"/>
  <c r="O252" i="382"/>
  <c r="Q252" i="382" s="1"/>
  <c r="R252" i="382" s="1"/>
  <c r="S252" i="382" s="1"/>
  <c r="O5" i="382"/>
  <c r="Q5" i="382" s="1"/>
  <c r="R5" i="382" s="1"/>
  <c r="S5" i="382" s="1"/>
  <c r="O11" i="382"/>
  <c r="Q11" i="382" s="1"/>
  <c r="R11" i="382" s="1"/>
  <c r="S11" i="382" s="1"/>
  <c r="O19" i="382"/>
  <c r="Q19" i="382" s="1"/>
  <c r="R19" i="382" s="1"/>
  <c r="S19" i="382" s="1"/>
  <c r="O25" i="382"/>
  <c r="Q25" i="382" s="1"/>
  <c r="R25" i="382" s="1"/>
  <c r="S25" i="382" s="1"/>
  <c r="O29" i="382"/>
  <c r="Q29" i="382" s="1"/>
  <c r="R29" i="382" s="1"/>
  <c r="S29" i="382" s="1"/>
  <c r="O35" i="382"/>
  <c r="Q35" i="382" s="1"/>
  <c r="R35" i="382" s="1"/>
  <c r="S35" i="382" s="1"/>
  <c r="O41" i="382"/>
  <c r="Q41" i="382" s="1"/>
  <c r="R41" i="382" s="1"/>
  <c r="S41" i="382" s="1"/>
  <c r="O49" i="382"/>
  <c r="Q49" i="382" s="1"/>
  <c r="R49" i="382" s="1"/>
  <c r="S49" i="382" s="1"/>
  <c r="O55" i="382"/>
  <c r="Q55" i="382" s="1"/>
  <c r="R55" i="382" s="1"/>
  <c r="S55" i="382" s="1"/>
  <c r="O59" i="382"/>
  <c r="Q59" i="382" s="1"/>
  <c r="R59" i="382" s="1"/>
  <c r="S59" i="382" s="1"/>
  <c r="O65" i="382"/>
  <c r="Q65" i="382" s="1"/>
  <c r="R65" i="382" s="1"/>
  <c r="S65" i="382" s="1"/>
  <c r="O71" i="382"/>
  <c r="Q71" i="382" s="1"/>
  <c r="R71" i="382" s="1"/>
  <c r="S71" i="382" s="1"/>
  <c r="O77" i="382"/>
  <c r="Q77" i="382" s="1"/>
  <c r="R77" i="382" s="1"/>
  <c r="S77" i="382" s="1"/>
  <c r="O116" i="382"/>
  <c r="Q116" i="382" s="1"/>
  <c r="R116" i="382" s="1"/>
  <c r="S116" i="382" s="1"/>
  <c r="O197" i="382"/>
  <c r="Q197" i="382" s="1"/>
  <c r="R197" i="382" s="1"/>
  <c r="S197" i="382" s="1"/>
  <c r="O240" i="382"/>
  <c r="Q240" i="382" s="1"/>
  <c r="R240" i="382" s="1"/>
  <c r="S240" i="382" s="1"/>
  <c r="O272" i="382"/>
  <c r="Q272" i="382" s="1"/>
  <c r="R272" i="382" s="1"/>
  <c r="S272" i="382" s="1"/>
  <c r="O97" i="382"/>
  <c r="Q97" i="382" s="1"/>
  <c r="R97" i="382" s="1"/>
  <c r="S97" i="382" s="1"/>
  <c r="O124" i="382"/>
  <c r="Q124" i="382" s="1"/>
  <c r="R124" i="382" s="1"/>
  <c r="O130" i="382"/>
  <c r="Q130" i="382" s="1"/>
  <c r="R130" i="382" s="1"/>
  <c r="S130" i="382" s="1"/>
  <c r="O267" i="382"/>
  <c r="Q267" i="382" s="1"/>
  <c r="R267" i="382" s="1"/>
  <c r="S267" i="382" s="1"/>
  <c r="R68" i="382"/>
  <c r="S68" i="382" s="1"/>
  <c r="R84" i="382"/>
  <c r="S84" i="382" s="1"/>
  <c r="R86" i="382"/>
  <c r="S86" i="382" s="1"/>
  <c r="R94" i="382"/>
  <c r="S94" i="382" s="1"/>
  <c r="O99" i="382"/>
  <c r="Q99" i="382" s="1"/>
  <c r="R99" i="382" s="1"/>
  <c r="S99" i="382" s="1"/>
  <c r="O101" i="382"/>
  <c r="Q101" i="382" s="1"/>
  <c r="R101" i="382" s="1"/>
  <c r="S101" i="382" s="1"/>
  <c r="O134" i="382"/>
  <c r="Q134" i="382" s="1"/>
  <c r="R134" i="382" s="1"/>
  <c r="S134" i="382" s="1"/>
  <c r="O136" i="382"/>
  <c r="Q136" i="382" s="1"/>
  <c r="R136" i="382" s="1"/>
  <c r="S136" i="382" s="1"/>
  <c r="O138" i="382"/>
  <c r="Q138" i="382" s="1"/>
  <c r="R138" i="382" s="1"/>
  <c r="S138" i="382" s="1"/>
  <c r="O140" i="382"/>
  <c r="Q140" i="382" s="1"/>
  <c r="R140" i="382" s="1"/>
  <c r="S140" i="382" s="1"/>
  <c r="R150" i="382"/>
  <c r="O187" i="382"/>
  <c r="Q187" i="382" s="1"/>
  <c r="R187" i="382" s="1"/>
  <c r="S187" i="382" s="1"/>
  <c r="O237" i="382"/>
  <c r="Q237" i="382" s="1"/>
  <c r="R237" i="382" s="1"/>
  <c r="S237" i="382" s="1"/>
  <c r="O244" i="382"/>
  <c r="Q244" i="382" s="1"/>
  <c r="R244" i="382" s="1"/>
  <c r="S244" i="382" s="1"/>
  <c r="O256" i="382"/>
  <c r="Q135" i="382"/>
  <c r="R135" i="382" s="1"/>
  <c r="S135" i="382" s="1"/>
  <c r="O141" i="382"/>
  <c r="Q141" i="382" s="1"/>
  <c r="R141" i="382" s="1"/>
  <c r="S141" i="382" s="1"/>
  <c r="R174" i="382"/>
  <c r="S174" i="382" s="1"/>
  <c r="O208" i="382"/>
  <c r="Q208" i="382" s="1"/>
  <c r="R208" i="382" s="1"/>
  <c r="S208" i="382" s="1"/>
  <c r="O217" i="382"/>
  <c r="Q217" i="382" s="1"/>
  <c r="R217" i="382" s="1"/>
  <c r="S217" i="382" s="1"/>
  <c r="O245" i="382"/>
  <c r="Q245" i="382" s="1"/>
  <c r="R245" i="382" s="1"/>
  <c r="S245" i="382" s="1"/>
  <c r="O263" i="382"/>
  <c r="Q263" i="382" s="1"/>
  <c r="R263" i="382" s="1"/>
  <c r="S263" i="382" s="1"/>
  <c r="O7" i="382"/>
  <c r="Q7" i="382" s="1"/>
  <c r="R7" i="382" s="1"/>
  <c r="S7" i="382" s="1"/>
  <c r="O13" i="382"/>
  <c r="Q13" i="382" s="1"/>
  <c r="R13" i="382" s="1"/>
  <c r="S13" i="382" s="1"/>
  <c r="O17" i="382"/>
  <c r="Q17" i="382" s="1"/>
  <c r="R17" i="382" s="1"/>
  <c r="S17" i="382" s="1"/>
  <c r="O21" i="382"/>
  <c r="Q21" i="382" s="1"/>
  <c r="R21" i="382" s="1"/>
  <c r="S21" i="382" s="1"/>
  <c r="O27" i="382"/>
  <c r="Q27" i="382" s="1"/>
  <c r="R27" i="382" s="1"/>
  <c r="S27" i="382" s="1"/>
  <c r="O33" i="382"/>
  <c r="Q33" i="382" s="1"/>
  <c r="R33" i="382" s="1"/>
  <c r="S33" i="382" s="1"/>
  <c r="O39" i="382"/>
  <c r="Q39" i="382" s="1"/>
  <c r="R39" i="382" s="1"/>
  <c r="S39" i="382" s="1"/>
  <c r="O45" i="382"/>
  <c r="Q45" i="382" s="1"/>
  <c r="R45" i="382" s="1"/>
  <c r="S45" i="382" s="1"/>
  <c r="O51" i="382"/>
  <c r="Q51" i="382" s="1"/>
  <c r="R51" i="382" s="1"/>
  <c r="S51" i="382" s="1"/>
  <c r="O61" i="382"/>
  <c r="Q61" i="382" s="1"/>
  <c r="R61" i="382" s="1"/>
  <c r="S61" i="382" s="1"/>
  <c r="O67" i="382"/>
  <c r="Q67" i="382" s="1"/>
  <c r="R67" i="382" s="1"/>
  <c r="S67" i="382" s="1"/>
  <c r="O75" i="382"/>
  <c r="Q75" i="382" s="1"/>
  <c r="R75" i="382" s="1"/>
  <c r="S75" i="382" s="1"/>
  <c r="R161" i="382"/>
  <c r="S161" i="382" s="1"/>
  <c r="O212" i="382"/>
  <c r="Q212" i="382" s="1"/>
  <c r="R212" i="382" s="1"/>
  <c r="S212" i="382" s="1"/>
  <c r="O228" i="382"/>
  <c r="Q228" i="382" s="1"/>
  <c r="R228" i="382" s="1"/>
  <c r="S228" i="382" s="1"/>
  <c r="O128" i="382"/>
  <c r="Q128" i="382" s="1"/>
  <c r="R128" i="382" s="1"/>
  <c r="S128" i="382" s="1"/>
  <c r="O249" i="382"/>
  <c r="Q249" i="382" s="1"/>
  <c r="R249" i="382" s="1"/>
  <c r="S249" i="382" s="1"/>
  <c r="Q256" i="382"/>
  <c r="R256" i="382" s="1"/>
  <c r="S256" i="382" s="1"/>
  <c r="O107" i="382"/>
  <c r="Q107" i="382" s="1"/>
  <c r="R107" i="382" s="1"/>
  <c r="S107" i="382" s="1"/>
  <c r="O109" i="382"/>
  <c r="Q109" i="382" s="1"/>
  <c r="R109" i="382" s="1"/>
  <c r="S109" i="382" s="1"/>
  <c r="O156" i="382"/>
  <c r="Q156" i="382" s="1"/>
  <c r="R156" i="382" s="1"/>
  <c r="S156" i="382" s="1"/>
  <c r="O158" i="382"/>
  <c r="Q158" i="382" s="1"/>
  <c r="R158" i="382" s="1"/>
  <c r="S158" i="382" s="1"/>
  <c r="O173" i="382"/>
  <c r="Q173" i="382" s="1"/>
  <c r="R173" i="382" s="1"/>
  <c r="S173" i="382" s="1"/>
  <c r="O201" i="382"/>
  <c r="Q201" i="382" s="1"/>
  <c r="R201" i="382" s="1"/>
  <c r="S201" i="382" s="1"/>
  <c r="O209" i="382"/>
  <c r="Q209" i="382" s="1"/>
  <c r="R209" i="382" s="1"/>
  <c r="S209" i="382" s="1"/>
  <c r="O216" i="382"/>
  <c r="Q216" i="382" s="1"/>
  <c r="R216" i="382" s="1"/>
  <c r="S216" i="382" s="1"/>
  <c r="O225" i="382"/>
  <c r="Q225" i="382" s="1"/>
  <c r="R225" i="382" s="1"/>
  <c r="S225" i="382" s="1"/>
  <c r="O232" i="382"/>
  <c r="Q232" i="382" s="1"/>
  <c r="R232" i="382" s="1"/>
  <c r="S232" i="382" s="1"/>
  <c r="O264" i="382"/>
  <c r="Q264" i="382" s="1"/>
  <c r="R264" i="382" s="1"/>
  <c r="S264" i="382" s="1"/>
  <c r="O276" i="382"/>
  <c r="Q276" i="382" s="1"/>
  <c r="R276" i="382" s="1"/>
  <c r="S276" i="382" s="1"/>
  <c r="Q139" i="382"/>
  <c r="R139" i="382" s="1"/>
  <c r="S139" i="382" s="1"/>
  <c r="Q238" i="382"/>
  <c r="R238" i="382" s="1"/>
  <c r="S238" i="382" s="1"/>
  <c r="O108" i="382"/>
  <c r="Q108" i="382" s="1"/>
  <c r="R108" i="382" s="1"/>
  <c r="S108" i="382" s="1"/>
  <c r="O202" i="382"/>
  <c r="Q202" i="382" s="1"/>
  <c r="R202" i="382" s="1"/>
  <c r="S202" i="382" s="1"/>
  <c r="O9" i="382"/>
  <c r="Q9" i="382" s="1"/>
  <c r="R9" i="382" s="1"/>
  <c r="S9" i="382" s="1"/>
  <c r="O15" i="382"/>
  <c r="Q15" i="382" s="1"/>
  <c r="R15" i="382" s="1"/>
  <c r="S15" i="382" s="1"/>
  <c r="O23" i="382"/>
  <c r="Q23" i="382" s="1"/>
  <c r="R23" i="382" s="1"/>
  <c r="S23" i="382" s="1"/>
  <c r="O31" i="382"/>
  <c r="Q31" i="382" s="1"/>
  <c r="R31" i="382" s="1"/>
  <c r="S31" i="382" s="1"/>
  <c r="O37" i="382"/>
  <c r="Q37" i="382" s="1"/>
  <c r="R37" i="382" s="1"/>
  <c r="S37" i="382" s="1"/>
  <c r="O43" i="382"/>
  <c r="Q43" i="382" s="1"/>
  <c r="R43" i="382" s="1"/>
  <c r="S43" i="382" s="1"/>
  <c r="O47" i="382"/>
  <c r="Q47" i="382" s="1"/>
  <c r="R47" i="382" s="1"/>
  <c r="S47" i="382" s="1"/>
  <c r="O53" i="382"/>
  <c r="Q53" i="382" s="1"/>
  <c r="R53" i="382" s="1"/>
  <c r="S53" i="382" s="1"/>
  <c r="O57" i="382"/>
  <c r="Q57" i="382" s="1"/>
  <c r="R57" i="382" s="1"/>
  <c r="S57" i="382" s="1"/>
  <c r="O63" i="382"/>
  <c r="Q63" i="382" s="1"/>
  <c r="R63" i="382" s="1"/>
  <c r="S63" i="382" s="1"/>
  <c r="O73" i="382"/>
  <c r="Q73" i="382" s="1"/>
  <c r="R73" i="382" s="1"/>
  <c r="S73" i="382" s="1"/>
  <c r="O79" i="382"/>
  <c r="Q79" i="382" s="1"/>
  <c r="R79" i="382" s="1"/>
  <c r="O126" i="382"/>
  <c r="Q126" i="382" s="1"/>
  <c r="R126" i="382" s="1"/>
  <c r="S126" i="382" s="1"/>
  <c r="O132" i="382"/>
  <c r="Q132" i="382" s="1"/>
  <c r="R132" i="382" s="1"/>
  <c r="S132" i="382" s="1"/>
  <c r="O192" i="382"/>
  <c r="Q192" i="382" s="1"/>
  <c r="R192" i="382" s="1"/>
  <c r="S192" i="382" s="1"/>
  <c r="O260" i="382"/>
  <c r="Q260" i="382" s="1"/>
  <c r="R260" i="382" s="1"/>
  <c r="S260" i="382" s="1"/>
  <c r="R6" i="382"/>
  <c r="S6" i="382" s="1"/>
  <c r="R8" i="382"/>
  <c r="S8" i="382" s="1"/>
  <c r="R10" i="382"/>
  <c r="S10" i="382" s="1"/>
  <c r="R18" i="382"/>
  <c r="S18" i="382" s="1"/>
  <c r="R26" i="382"/>
  <c r="S26" i="382" s="1"/>
  <c r="R34" i="382"/>
  <c r="S34" i="382" s="1"/>
  <c r="R42" i="382"/>
  <c r="S42" i="382" s="1"/>
  <c r="O50" i="382"/>
  <c r="Q50" i="382" s="1"/>
  <c r="R50" i="382" s="1"/>
  <c r="S50" i="382" s="1"/>
  <c r="O52" i="382"/>
  <c r="Q52" i="382" s="1"/>
  <c r="R52" i="382" s="1"/>
  <c r="S52" i="382" s="1"/>
  <c r="O54" i="382"/>
  <c r="Q54" i="382" s="1"/>
  <c r="R54" i="382" s="1"/>
  <c r="S54" i="382" s="1"/>
  <c r="O56" i="382"/>
  <c r="Q56" i="382" s="1"/>
  <c r="R56" i="382" s="1"/>
  <c r="S56" i="382" s="1"/>
  <c r="O58" i="382"/>
  <c r="Q58" i="382" s="1"/>
  <c r="R58" i="382" s="1"/>
  <c r="S58" i="382" s="1"/>
  <c r="O60" i="382"/>
  <c r="Q60" i="382" s="1"/>
  <c r="R60" i="382" s="1"/>
  <c r="S60" i="382" s="1"/>
  <c r="O62" i="382"/>
  <c r="Q62" i="382" s="1"/>
  <c r="R62" i="382" s="1"/>
  <c r="S62" i="382" s="1"/>
  <c r="O64" i="382"/>
  <c r="Q64" i="382" s="1"/>
  <c r="R64" i="382" s="1"/>
  <c r="S64" i="382" s="1"/>
  <c r="O66" i="382"/>
  <c r="Q66" i="382" s="1"/>
  <c r="R66" i="382" s="1"/>
  <c r="S66" i="382" s="1"/>
  <c r="O70" i="382"/>
  <c r="Q70" i="382" s="1"/>
  <c r="R70" i="382" s="1"/>
  <c r="S70" i="382" s="1"/>
  <c r="O72" i="382"/>
  <c r="Q72" i="382" s="1"/>
  <c r="R72" i="382" s="1"/>
  <c r="S72" i="382" s="1"/>
  <c r="O74" i="382"/>
  <c r="Q74" i="382" s="1"/>
  <c r="R74" i="382" s="1"/>
  <c r="S74" i="382" s="1"/>
  <c r="O76" i="382"/>
  <c r="Q76" i="382" s="1"/>
  <c r="R76" i="382" s="1"/>
  <c r="S76" i="382" s="1"/>
  <c r="O78" i="382"/>
  <c r="Q78" i="382" s="1"/>
  <c r="R78" i="382" s="1"/>
  <c r="S78" i="382" s="1"/>
  <c r="O115" i="382"/>
  <c r="Q115" i="382" s="1"/>
  <c r="R115" i="382" s="1"/>
  <c r="S115" i="382" s="1"/>
  <c r="O117" i="382"/>
  <c r="Q117" i="382" s="1"/>
  <c r="R117" i="382" s="1"/>
  <c r="S117" i="382" s="1"/>
  <c r="O143" i="382"/>
  <c r="Q143" i="382" s="1"/>
  <c r="R143" i="382" s="1"/>
  <c r="S143" i="382" s="1"/>
  <c r="O160" i="382"/>
  <c r="Q160" i="382" s="1"/>
  <c r="R160" i="382" s="1"/>
  <c r="S160" i="382" s="1"/>
  <c r="O162" i="382"/>
  <c r="Q162" i="382" s="1"/>
  <c r="R162" i="382" s="1"/>
  <c r="S162" i="382" s="1"/>
  <c r="O177" i="382"/>
  <c r="Q177" i="382" s="1"/>
  <c r="R177" i="382" s="1"/>
  <c r="S177" i="382" s="1"/>
  <c r="R196" i="382"/>
  <c r="S196" i="382" s="1"/>
  <c r="Q253" i="382"/>
  <c r="R253" i="382" s="1"/>
  <c r="S253" i="382" s="1"/>
  <c r="J6" i="383"/>
  <c r="C10" i="383" s="1"/>
  <c r="O106" i="382"/>
  <c r="Q106" i="382" s="1"/>
  <c r="R106" i="382" s="1"/>
  <c r="S106" i="382" s="1"/>
  <c r="O114" i="382"/>
  <c r="Q114" i="382" s="1"/>
  <c r="R114" i="382" s="1"/>
  <c r="S114" i="382" s="1"/>
  <c r="O122" i="382"/>
  <c r="Q122" i="382" s="1"/>
  <c r="R122" i="382" s="1"/>
  <c r="S122" i="382" s="1"/>
  <c r="J278" i="382"/>
  <c r="C282" i="382" s="1"/>
  <c r="O105" i="382"/>
  <c r="Q105" i="382" s="1"/>
  <c r="R105" i="382" s="1"/>
  <c r="S105" i="382" s="1"/>
  <c r="O113" i="382"/>
  <c r="Q113" i="382" s="1"/>
  <c r="R113" i="382" s="1"/>
  <c r="S113" i="382" s="1"/>
  <c r="O121" i="382"/>
  <c r="Q121" i="382" s="1"/>
  <c r="R121" i="382" s="1"/>
  <c r="S121" i="382" s="1"/>
  <c r="O151" i="382"/>
  <c r="Q151" i="382" s="1"/>
  <c r="R151" i="382" s="1"/>
  <c r="O104" i="382"/>
  <c r="Q104" i="382" s="1"/>
  <c r="R104" i="382" s="1"/>
  <c r="S104" i="382" s="1"/>
  <c r="O112" i="382"/>
  <c r="Q112" i="382" s="1"/>
  <c r="R112" i="382" s="1"/>
  <c r="S112" i="382" s="1"/>
  <c r="O120" i="382"/>
  <c r="Q120" i="382" s="1"/>
  <c r="R120" i="382" s="1"/>
  <c r="S120" i="382" s="1"/>
  <c r="O198" i="382"/>
  <c r="Q198" i="382" s="1"/>
  <c r="R198" i="382" s="1"/>
  <c r="S198" i="382" s="1"/>
  <c r="O206" i="382"/>
  <c r="Q206" i="382" s="1"/>
  <c r="R206" i="382" s="1"/>
  <c r="S206" i="382" s="1"/>
  <c r="O213" i="382"/>
  <c r="Q213" i="382" s="1"/>
  <c r="R213" i="382" s="1"/>
  <c r="S213" i="382" s="1"/>
  <c r="O221" i="382"/>
  <c r="Q221" i="382" s="1"/>
  <c r="R221" i="382" s="1"/>
  <c r="S221" i="382" s="1"/>
  <c r="O103" i="382"/>
  <c r="Q103" i="382" s="1"/>
  <c r="R103" i="382" s="1"/>
  <c r="S103" i="382" s="1"/>
  <c r="O111" i="382"/>
  <c r="Q111" i="382" s="1"/>
  <c r="R111" i="382" s="1"/>
  <c r="S111" i="382" s="1"/>
  <c r="O119" i="382"/>
  <c r="Q119" i="382" s="1"/>
  <c r="R119" i="382" s="1"/>
  <c r="S119" i="382" s="1"/>
  <c r="O102" i="382"/>
  <c r="Q102" i="382" s="1"/>
  <c r="R102" i="382" s="1"/>
  <c r="S102" i="382" s="1"/>
  <c r="O110" i="382"/>
  <c r="Q110" i="382" s="1"/>
  <c r="R110" i="382" s="1"/>
  <c r="S110" i="382" s="1"/>
  <c r="O118" i="382"/>
  <c r="Q118" i="382" s="1"/>
  <c r="R118" i="382" s="1"/>
  <c r="S118" i="382" s="1"/>
  <c r="O341" i="353"/>
  <c r="Q341" i="353" s="1"/>
  <c r="R341" i="353" s="1"/>
  <c r="S341" i="353" s="1"/>
  <c r="J4" i="353"/>
  <c r="S225" i="405" l="1"/>
  <c r="S221" i="405"/>
  <c r="S227" i="405"/>
  <c r="S226" i="405"/>
  <c r="R221" i="405"/>
  <c r="C226" i="405" s="1"/>
  <c r="C227" i="405" s="1"/>
  <c r="R29" i="404"/>
  <c r="C34" i="404" s="1"/>
  <c r="C35" i="404" s="1"/>
  <c r="S33" i="404"/>
  <c r="S29" i="404"/>
  <c r="S35" i="404"/>
  <c r="S34" i="404"/>
  <c r="S11" i="403"/>
  <c r="S7" i="403"/>
  <c r="S13" i="403"/>
  <c r="S12" i="403"/>
  <c r="R7" i="403"/>
  <c r="C12" i="403" s="1"/>
  <c r="C13" i="403" s="1"/>
  <c r="R223" i="402"/>
  <c r="C228" i="402" s="1"/>
  <c r="C229" i="402" s="1"/>
  <c r="S227" i="402"/>
  <c r="S223" i="402"/>
  <c r="S229" i="402"/>
  <c r="S228" i="402"/>
  <c r="S27" i="401"/>
  <c r="S26" i="401"/>
  <c r="S25" i="401"/>
  <c r="S28" i="401" s="1"/>
  <c r="S21" i="401"/>
  <c r="R21" i="401"/>
  <c r="C26" i="401" s="1"/>
  <c r="C27" i="401" s="1"/>
  <c r="S28" i="400"/>
  <c r="S24" i="400"/>
  <c r="S30" i="400"/>
  <c r="S29" i="400"/>
  <c r="R24" i="400"/>
  <c r="C29" i="400" s="1"/>
  <c r="C30" i="400" s="1"/>
  <c r="S17" i="398"/>
  <c r="S16" i="398"/>
  <c r="R15" i="399"/>
  <c r="C20" i="399" s="1"/>
  <c r="C21" i="399" s="1"/>
  <c r="S11" i="398"/>
  <c r="S15" i="398"/>
  <c r="S18" i="398" s="1"/>
  <c r="R11" i="398"/>
  <c r="C16" i="398" s="1"/>
  <c r="C17" i="398" s="1"/>
  <c r="R10" i="397"/>
  <c r="C15" i="397" s="1"/>
  <c r="C16" i="397" s="1"/>
  <c r="S17" i="396"/>
  <c r="S13" i="396"/>
  <c r="S19" i="396"/>
  <c r="S18" i="396"/>
  <c r="R13" i="396"/>
  <c r="C18" i="396" s="1"/>
  <c r="C19" i="396" s="1"/>
  <c r="S15" i="395"/>
  <c r="S11" i="395"/>
  <c r="S17" i="395"/>
  <c r="S16" i="395"/>
  <c r="R11" i="395"/>
  <c r="C16" i="395" s="1"/>
  <c r="C17" i="395" s="1"/>
  <c r="R41" i="394"/>
  <c r="C46" i="394" s="1"/>
  <c r="C47" i="394" s="1"/>
  <c r="S16" i="393"/>
  <c r="S19" i="393" s="1"/>
  <c r="S18" i="393"/>
  <c r="S17" i="393"/>
  <c r="S12" i="393"/>
  <c r="R12" i="393"/>
  <c r="C17" i="393" s="1"/>
  <c r="C18" i="393" s="1"/>
  <c r="S18" i="392"/>
  <c r="S14" i="392"/>
  <c r="S20" i="392"/>
  <c r="S19" i="392"/>
  <c r="R14" i="392"/>
  <c r="C19" i="392" s="1"/>
  <c r="C20" i="392" s="1"/>
  <c r="S15" i="391"/>
  <c r="S21" i="391"/>
  <c r="S20" i="391"/>
  <c r="S19" i="391"/>
  <c r="R15" i="391"/>
  <c r="C20" i="391" s="1"/>
  <c r="C21" i="391" s="1"/>
  <c r="R41" i="390"/>
  <c r="C46" i="390" s="1"/>
  <c r="C47" i="390" s="1"/>
  <c r="S41" i="390"/>
  <c r="S46" i="390"/>
  <c r="S47" i="390"/>
  <c r="S45" i="390"/>
  <c r="S10" i="388"/>
  <c r="R10" i="388"/>
  <c r="S29" i="389"/>
  <c r="S31" i="389"/>
  <c r="S30" i="389"/>
  <c r="S25" i="389"/>
  <c r="R25" i="389"/>
  <c r="C30" i="389" s="1"/>
  <c r="C31" i="389" s="1"/>
  <c r="R15" i="388"/>
  <c r="C20" i="388" s="1"/>
  <c r="C21" i="388" s="1"/>
  <c r="S19" i="388"/>
  <c r="S15" i="388"/>
  <c r="S21" i="388"/>
  <c r="S20" i="388"/>
  <c r="R32" i="387"/>
  <c r="C37" i="387" s="1"/>
  <c r="C38" i="387" s="1"/>
  <c r="S36" i="387"/>
  <c r="S32" i="387"/>
  <c r="S38" i="387"/>
  <c r="S37" i="387"/>
  <c r="S138" i="386"/>
  <c r="S134" i="386"/>
  <c r="S140" i="386"/>
  <c r="S139" i="386"/>
  <c r="R134" i="386"/>
  <c r="C139" i="386" s="1"/>
  <c r="C140" i="386" s="1"/>
  <c r="S144" i="385"/>
  <c r="S150" i="385"/>
  <c r="S149" i="385"/>
  <c r="S148" i="385"/>
  <c r="R144" i="385"/>
  <c r="C149" i="385" s="1"/>
  <c r="C150" i="385" s="1"/>
  <c r="S103" i="384"/>
  <c r="S99" i="384"/>
  <c r="S105" i="384"/>
  <c r="S104" i="384"/>
  <c r="R99" i="384"/>
  <c r="C104" i="384" s="1"/>
  <c r="C105" i="384" s="1"/>
  <c r="S10" i="383"/>
  <c r="S6" i="383"/>
  <c r="S12" i="383"/>
  <c r="S11" i="383"/>
  <c r="R6" i="383"/>
  <c r="C11" i="383" s="1"/>
  <c r="C12" i="383" s="1"/>
  <c r="S282" i="382"/>
  <c r="S278" i="382"/>
  <c r="S284" i="382"/>
  <c r="S283" i="382"/>
  <c r="R278" i="382"/>
  <c r="C283" i="382" s="1"/>
  <c r="C284" i="382" s="1"/>
  <c r="J1338" i="353"/>
  <c r="J1338" i="379"/>
  <c r="C1342" i="379" s="1"/>
  <c r="S228" i="405" l="1"/>
  <c r="S285" i="382"/>
  <c r="S36" i="404"/>
  <c r="C228" i="405"/>
  <c r="B228" i="405" s="1"/>
  <c r="B227" i="405"/>
  <c r="C36" i="404"/>
  <c r="B36" i="404" s="1"/>
  <c r="B35" i="404"/>
  <c r="S14" i="403"/>
  <c r="C14" i="403"/>
  <c r="B14" i="403" s="1"/>
  <c r="B13" i="403"/>
  <c r="C230" i="402"/>
  <c r="B230" i="402" s="1"/>
  <c r="B229" i="402"/>
  <c r="S230" i="402"/>
  <c r="S31" i="400"/>
  <c r="C28" i="401"/>
  <c r="B28" i="401" s="1"/>
  <c r="B27" i="401"/>
  <c r="C31" i="400"/>
  <c r="B31" i="400" s="1"/>
  <c r="B30" i="400"/>
  <c r="C22" i="399"/>
  <c r="B22" i="399" s="1"/>
  <c r="B21" i="399"/>
  <c r="S19" i="399"/>
  <c r="S22" i="399" s="1"/>
  <c r="S15" i="399"/>
  <c r="S21" i="399"/>
  <c r="S20" i="399"/>
  <c r="C18" i="398"/>
  <c r="B18" i="398" s="1"/>
  <c r="B17" i="398"/>
  <c r="S20" i="396"/>
  <c r="C17" i="397"/>
  <c r="B17" i="397" s="1"/>
  <c r="B16" i="397"/>
  <c r="S14" i="397"/>
  <c r="S10" i="397"/>
  <c r="S16" i="397"/>
  <c r="S15" i="397"/>
  <c r="C20" i="396"/>
  <c r="B20" i="396" s="1"/>
  <c r="B19" i="396"/>
  <c r="S18" i="395"/>
  <c r="C18" i="395"/>
  <c r="B18" i="395" s="1"/>
  <c r="B17" i="395"/>
  <c r="C48" i="394"/>
  <c r="B48" i="394" s="1"/>
  <c r="B47" i="394"/>
  <c r="S45" i="394"/>
  <c r="S47" i="394"/>
  <c r="S46" i="394"/>
  <c r="S41" i="394"/>
  <c r="C19" i="393"/>
  <c r="B19" i="393" s="1"/>
  <c r="B18" i="393"/>
  <c r="S22" i="391"/>
  <c r="C21" i="392"/>
  <c r="B21" i="392" s="1"/>
  <c r="B20" i="392"/>
  <c r="S21" i="392"/>
  <c r="S48" i="390"/>
  <c r="C22" i="391"/>
  <c r="B22" i="391" s="1"/>
  <c r="B21" i="391"/>
  <c r="S32" i="389"/>
  <c r="C48" i="390"/>
  <c r="B48" i="390" s="1"/>
  <c r="B47" i="390"/>
  <c r="C32" i="389"/>
  <c r="B32" i="389" s="1"/>
  <c r="B31" i="389"/>
  <c r="S22" i="388"/>
  <c r="C22" i="388"/>
  <c r="B22" i="388" s="1"/>
  <c r="B21" i="388"/>
  <c r="S39" i="387"/>
  <c r="C39" i="387"/>
  <c r="B39" i="387" s="1"/>
  <c r="B38" i="387"/>
  <c r="C141" i="386"/>
  <c r="B141" i="386" s="1"/>
  <c r="B140" i="386"/>
  <c r="S141" i="386"/>
  <c r="S151" i="385"/>
  <c r="S106" i="384"/>
  <c r="C151" i="385"/>
  <c r="B151" i="385" s="1"/>
  <c r="B150" i="385"/>
  <c r="S13" i="383"/>
  <c r="C106" i="384"/>
  <c r="B106" i="384" s="1"/>
  <c r="B105" i="384"/>
  <c r="C13" i="383"/>
  <c r="B13" i="383" s="1"/>
  <c r="B12" i="383"/>
  <c r="C285" i="382"/>
  <c r="B285" i="382" s="1"/>
  <c r="B284" i="382"/>
  <c r="S1342" i="379"/>
  <c r="S1338" i="379"/>
  <c r="S1344" i="379"/>
  <c r="S1343" i="379"/>
  <c r="R1338" i="379"/>
  <c r="C1343" i="379" s="1"/>
  <c r="C1344" i="379" s="1"/>
  <c r="M5" i="353"/>
  <c r="N5" i="353"/>
  <c r="S17" i="397" l="1"/>
  <c r="S48" i="394"/>
  <c r="C1345" i="379"/>
  <c r="B1344" i="379"/>
  <c r="S1345" i="379"/>
  <c r="O5" i="353"/>
  <c r="Q5" i="353" l="1"/>
  <c r="R5" i="353" s="1"/>
  <c r="S5" i="353" s="1"/>
  <c r="C1347" i="379"/>
  <c r="B1345" i="379"/>
  <c r="M6" i="353"/>
  <c r="M7" i="353"/>
  <c r="M8" i="353"/>
  <c r="M9" i="353"/>
  <c r="M10" i="353"/>
  <c r="M11" i="353"/>
  <c r="M12" i="353"/>
  <c r="M13" i="353"/>
  <c r="M14" i="353"/>
  <c r="M15" i="353"/>
  <c r="M16" i="353"/>
  <c r="M17" i="353"/>
  <c r="M18" i="353"/>
  <c r="M19" i="353"/>
  <c r="M20" i="353"/>
  <c r="M21" i="353"/>
  <c r="M22" i="353"/>
  <c r="M23" i="353"/>
  <c r="M24" i="353"/>
  <c r="M25" i="353"/>
  <c r="M26" i="353"/>
  <c r="M27" i="353"/>
  <c r="M28" i="353"/>
  <c r="M29" i="353"/>
  <c r="M30" i="353"/>
  <c r="M31" i="353"/>
  <c r="M32" i="353"/>
  <c r="M33" i="353"/>
  <c r="M34" i="353"/>
  <c r="M35" i="353"/>
  <c r="M36" i="353"/>
  <c r="M37" i="353"/>
  <c r="M38" i="353"/>
  <c r="M39" i="353"/>
  <c r="M40" i="353"/>
  <c r="M41" i="353"/>
  <c r="M42" i="353"/>
  <c r="M43" i="353"/>
  <c r="M44" i="353"/>
  <c r="M45" i="353"/>
  <c r="M46" i="353"/>
  <c r="M47" i="353"/>
  <c r="M48" i="353"/>
  <c r="M49" i="353"/>
  <c r="M50" i="353"/>
  <c r="M51" i="353"/>
  <c r="M52" i="353"/>
  <c r="M53" i="353"/>
  <c r="M54" i="353"/>
  <c r="M55" i="353"/>
  <c r="M56" i="353"/>
  <c r="M57" i="353"/>
  <c r="M58" i="353"/>
  <c r="M59" i="353"/>
  <c r="M60" i="353"/>
  <c r="M61" i="353"/>
  <c r="M62" i="353"/>
  <c r="M63" i="353"/>
  <c r="M64" i="353"/>
  <c r="M65" i="353"/>
  <c r="M66" i="353"/>
  <c r="M67" i="353"/>
  <c r="M68" i="353"/>
  <c r="M69" i="353"/>
  <c r="M70" i="353"/>
  <c r="M71" i="353"/>
  <c r="M72" i="353"/>
  <c r="M73" i="353"/>
  <c r="M74" i="353"/>
  <c r="M75" i="353"/>
  <c r="M76" i="353"/>
  <c r="M77" i="353"/>
  <c r="M78" i="353"/>
  <c r="M79" i="353"/>
  <c r="M80" i="353"/>
  <c r="M81" i="353"/>
  <c r="M82" i="353"/>
  <c r="M83" i="353"/>
  <c r="M84" i="353"/>
  <c r="M85" i="353"/>
  <c r="M86" i="353"/>
  <c r="M87" i="353"/>
  <c r="M88" i="353"/>
  <c r="M89" i="353"/>
  <c r="M90" i="353"/>
  <c r="M91" i="353"/>
  <c r="M92" i="353"/>
  <c r="M93" i="353"/>
  <c r="M94" i="353"/>
  <c r="M95" i="353"/>
  <c r="M96" i="353"/>
  <c r="M97" i="353"/>
  <c r="M98" i="353"/>
  <c r="M99" i="353"/>
  <c r="M100" i="353"/>
  <c r="M101" i="353"/>
  <c r="M102" i="353"/>
  <c r="M103" i="353"/>
  <c r="M104" i="353"/>
  <c r="M105" i="353"/>
  <c r="M106" i="353"/>
  <c r="M107" i="353"/>
  <c r="M108" i="353"/>
  <c r="M109" i="353"/>
  <c r="M110" i="353"/>
  <c r="M111" i="353"/>
  <c r="M112" i="353"/>
  <c r="M113" i="353"/>
  <c r="M114" i="353"/>
  <c r="M115" i="353"/>
  <c r="M116" i="353"/>
  <c r="M117" i="353"/>
  <c r="M118" i="353"/>
  <c r="M119" i="353"/>
  <c r="M120" i="353"/>
  <c r="M121" i="353"/>
  <c r="M122" i="353"/>
  <c r="M123" i="353"/>
  <c r="M124" i="353"/>
  <c r="M125" i="353"/>
  <c r="M126" i="353"/>
  <c r="M127" i="353"/>
  <c r="M128" i="353"/>
  <c r="M129" i="353"/>
  <c r="M130" i="353"/>
  <c r="M131" i="353"/>
  <c r="M132" i="353"/>
  <c r="M133" i="353"/>
  <c r="M134" i="353"/>
  <c r="M135" i="353"/>
  <c r="M136" i="353"/>
  <c r="M137" i="353"/>
  <c r="M138" i="353"/>
  <c r="M139" i="353"/>
  <c r="M140" i="353"/>
  <c r="M141" i="353"/>
  <c r="M142" i="353"/>
  <c r="M143" i="353"/>
  <c r="M144" i="353"/>
  <c r="M145" i="353"/>
  <c r="M146" i="353"/>
  <c r="M147" i="353"/>
  <c r="M148" i="353"/>
  <c r="M149" i="353"/>
  <c r="M150" i="353"/>
  <c r="M151" i="353"/>
  <c r="M152" i="353"/>
  <c r="M153" i="353"/>
  <c r="M154" i="353"/>
  <c r="M155" i="353"/>
  <c r="M156" i="353"/>
  <c r="M157" i="353"/>
  <c r="M158" i="353"/>
  <c r="M159" i="353"/>
  <c r="M160" i="353"/>
  <c r="M161" i="353"/>
  <c r="M162" i="353"/>
  <c r="M163" i="353"/>
  <c r="M164" i="353"/>
  <c r="M165" i="353"/>
  <c r="M166" i="353"/>
  <c r="M167" i="353"/>
  <c r="M168" i="353"/>
  <c r="M169" i="353"/>
  <c r="M170" i="353"/>
  <c r="M171" i="353"/>
  <c r="M172" i="353"/>
  <c r="M173" i="353"/>
  <c r="M174" i="353"/>
  <c r="M175" i="353"/>
  <c r="M176" i="353"/>
  <c r="M177" i="353"/>
  <c r="M178" i="353"/>
  <c r="M179" i="353"/>
  <c r="M180" i="353"/>
  <c r="M181" i="353"/>
  <c r="M182" i="353"/>
  <c r="M183" i="353"/>
  <c r="M184" i="353"/>
  <c r="M185" i="353"/>
  <c r="M186" i="353"/>
  <c r="M187" i="353"/>
  <c r="M188" i="353"/>
  <c r="M189" i="353"/>
  <c r="M190" i="353"/>
  <c r="M191" i="353"/>
  <c r="M192" i="353"/>
  <c r="M193" i="353"/>
  <c r="M194" i="353"/>
  <c r="M195" i="353"/>
  <c r="M196" i="353"/>
  <c r="M197" i="353"/>
  <c r="M198" i="353"/>
  <c r="M199" i="353"/>
  <c r="M200" i="353"/>
  <c r="M201" i="353"/>
  <c r="M202" i="353"/>
  <c r="M203" i="353"/>
  <c r="M204" i="353"/>
  <c r="M205" i="353"/>
  <c r="M206" i="353"/>
  <c r="M207" i="353"/>
  <c r="M208" i="353"/>
  <c r="M209" i="353"/>
  <c r="M210" i="353"/>
  <c r="M211" i="353"/>
  <c r="M212" i="353"/>
  <c r="M213" i="353"/>
  <c r="M214" i="353"/>
  <c r="M215" i="353"/>
  <c r="M216" i="353"/>
  <c r="M217" i="353"/>
  <c r="M218" i="353"/>
  <c r="M219" i="353"/>
  <c r="M220" i="353"/>
  <c r="M221" i="353"/>
  <c r="M222" i="353"/>
  <c r="M223" i="353"/>
  <c r="M224" i="353"/>
  <c r="M225" i="353"/>
  <c r="M226" i="353"/>
  <c r="M227" i="353"/>
  <c r="M228" i="353"/>
  <c r="M229" i="353"/>
  <c r="M230" i="353"/>
  <c r="M231" i="353"/>
  <c r="M232" i="353"/>
  <c r="M233" i="353"/>
  <c r="M234" i="353"/>
  <c r="M235" i="353"/>
  <c r="M236" i="353"/>
  <c r="M237" i="353"/>
  <c r="M238" i="353"/>
  <c r="M239" i="353"/>
  <c r="M240" i="353"/>
  <c r="M241" i="353"/>
  <c r="M242" i="353"/>
  <c r="M243" i="353"/>
  <c r="M244" i="353"/>
  <c r="M245" i="353"/>
  <c r="M246" i="353"/>
  <c r="M247" i="353"/>
  <c r="M248" i="353"/>
  <c r="M249" i="353"/>
  <c r="M250" i="353"/>
  <c r="M251" i="353"/>
  <c r="M252" i="353"/>
  <c r="M253" i="353"/>
  <c r="M254" i="353"/>
  <c r="M255" i="353"/>
  <c r="M256" i="353"/>
  <c r="M257" i="353"/>
  <c r="M258" i="353"/>
  <c r="M259" i="353"/>
  <c r="M260" i="353"/>
  <c r="M261" i="353"/>
  <c r="M262" i="353"/>
  <c r="M263" i="353"/>
  <c r="M264" i="353"/>
  <c r="M265" i="353"/>
  <c r="M266" i="353"/>
  <c r="M267" i="353"/>
  <c r="M268" i="353"/>
  <c r="M269" i="353"/>
  <c r="M270" i="353"/>
  <c r="M271" i="353"/>
  <c r="M272" i="353"/>
  <c r="M273" i="353"/>
  <c r="M274" i="353"/>
  <c r="M275" i="353"/>
  <c r="M276" i="353"/>
  <c r="M277" i="353"/>
  <c r="M278" i="353"/>
  <c r="M279" i="353"/>
  <c r="M280" i="353"/>
  <c r="M281" i="353"/>
  <c r="M282" i="353"/>
  <c r="M283" i="353"/>
  <c r="M284" i="353"/>
  <c r="M285" i="353"/>
  <c r="M286" i="353"/>
  <c r="M287" i="353"/>
  <c r="M288" i="353"/>
  <c r="M289" i="353"/>
  <c r="M290" i="353"/>
  <c r="M291" i="353"/>
  <c r="M292" i="353"/>
  <c r="M293" i="353"/>
  <c r="M294" i="353"/>
  <c r="M295" i="353"/>
  <c r="M296" i="353"/>
  <c r="M297" i="353"/>
  <c r="M298" i="353"/>
  <c r="M299" i="353"/>
  <c r="M300" i="353"/>
  <c r="M301" i="353"/>
  <c r="M302" i="353"/>
  <c r="M303" i="353"/>
  <c r="M304" i="353"/>
  <c r="M305" i="353"/>
  <c r="M306" i="353"/>
  <c r="M307" i="353"/>
  <c r="M308" i="353"/>
  <c r="M309" i="353"/>
  <c r="M310" i="353"/>
  <c r="M311" i="353"/>
  <c r="M312" i="353"/>
  <c r="M313" i="353"/>
  <c r="M314" i="353"/>
  <c r="M315" i="353"/>
  <c r="M316" i="353"/>
  <c r="M317" i="353"/>
  <c r="M318" i="353"/>
  <c r="M319" i="353"/>
  <c r="M320" i="353"/>
  <c r="M321" i="353"/>
  <c r="M322" i="353"/>
  <c r="M323" i="353"/>
  <c r="M324" i="353"/>
  <c r="M325" i="353"/>
  <c r="M326" i="353"/>
  <c r="M327" i="353"/>
  <c r="M328" i="353"/>
  <c r="M329" i="353"/>
  <c r="M330" i="353"/>
  <c r="M331" i="353"/>
  <c r="M332" i="353"/>
  <c r="M333" i="353"/>
  <c r="M334" i="353"/>
  <c r="M335" i="353"/>
  <c r="M336" i="353"/>
  <c r="M337" i="353"/>
  <c r="M338" i="353"/>
  <c r="M339" i="353"/>
  <c r="M340" i="353"/>
  <c r="M342" i="353"/>
  <c r="M343" i="353"/>
  <c r="M344" i="353"/>
  <c r="M345" i="353"/>
  <c r="M346" i="353"/>
  <c r="M347" i="353"/>
  <c r="M348" i="353"/>
  <c r="M349" i="353"/>
  <c r="M350" i="353"/>
  <c r="M351" i="353"/>
  <c r="M352" i="353"/>
  <c r="M353" i="353"/>
  <c r="M354" i="353"/>
  <c r="M355" i="353"/>
  <c r="M356" i="353"/>
  <c r="M357" i="353"/>
  <c r="M358" i="353"/>
  <c r="M359" i="353"/>
  <c r="M360" i="353"/>
  <c r="M361" i="353"/>
  <c r="M362" i="353"/>
  <c r="M363" i="353"/>
  <c r="M364" i="353"/>
  <c r="M365" i="353"/>
  <c r="M366" i="353"/>
  <c r="M367" i="353"/>
  <c r="M368" i="353"/>
  <c r="M369" i="353"/>
  <c r="M370" i="353"/>
  <c r="M371" i="353"/>
  <c r="M372" i="353"/>
  <c r="M373" i="353"/>
  <c r="M374" i="353"/>
  <c r="M375" i="353"/>
  <c r="M376" i="353"/>
  <c r="M377" i="353"/>
  <c r="M378" i="353"/>
  <c r="M379" i="353"/>
  <c r="M380" i="353"/>
  <c r="M381" i="353"/>
  <c r="M382" i="353"/>
  <c r="M383" i="353"/>
  <c r="M384" i="353"/>
  <c r="M385" i="353"/>
  <c r="M386" i="353"/>
  <c r="M387" i="353"/>
  <c r="M388" i="353"/>
  <c r="M389" i="353"/>
  <c r="M390" i="353"/>
  <c r="M391" i="353"/>
  <c r="M392" i="353"/>
  <c r="M393" i="353"/>
  <c r="M394" i="353"/>
  <c r="M395" i="353"/>
  <c r="M396" i="353"/>
  <c r="M397" i="353"/>
  <c r="M398" i="353"/>
  <c r="M399" i="353"/>
  <c r="M400" i="353"/>
  <c r="M401" i="353"/>
  <c r="M402" i="353"/>
  <c r="M403" i="353"/>
  <c r="M404" i="353"/>
  <c r="M405" i="353"/>
  <c r="M406" i="353"/>
  <c r="M407" i="353"/>
  <c r="M408" i="353"/>
  <c r="M409" i="353"/>
  <c r="M410" i="353"/>
  <c r="M411" i="353"/>
  <c r="M412" i="353"/>
  <c r="M413" i="353"/>
  <c r="M414" i="353"/>
  <c r="M415" i="353"/>
  <c r="M416" i="353"/>
  <c r="M417" i="353"/>
  <c r="M418" i="353"/>
  <c r="M419" i="353"/>
  <c r="M420" i="353"/>
  <c r="M421" i="353"/>
  <c r="M422" i="353"/>
  <c r="M423" i="353"/>
  <c r="M424" i="353"/>
  <c r="M425" i="353"/>
  <c r="M426" i="353"/>
  <c r="M427" i="353"/>
  <c r="M428" i="353"/>
  <c r="M429" i="353"/>
  <c r="M430" i="353"/>
  <c r="M431" i="353"/>
  <c r="M432" i="353"/>
  <c r="M433" i="353"/>
  <c r="M434" i="353"/>
  <c r="M435" i="353"/>
  <c r="M436" i="353"/>
  <c r="M437" i="353"/>
  <c r="M438" i="353"/>
  <c r="M439" i="353"/>
  <c r="M440" i="353"/>
  <c r="M441" i="353"/>
  <c r="M442" i="353"/>
  <c r="M443" i="353"/>
  <c r="M444" i="353"/>
  <c r="M445" i="353"/>
  <c r="M446" i="353"/>
  <c r="M447" i="353"/>
  <c r="M448" i="353"/>
  <c r="M449" i="353"/>
  <c r="M450" i="353"/>
  <c r="M451" i="353"/>
  <c r="M452" i="353"/>
  <c r="M453" i="353"/>
  <c r="M454" i="353"/>
  <c r="M455" i="353"/>
  <c r="M456" i="353"/>
  <c r="M457" i="353"/>
  <c r="M458" i="353"/>
  <c r="M459" i="353"/>
  <c r="M460" i="353"/>
  <c r="M461" i="353"/>
  <c r="M462" i="353"/>
  <c r="M463" i="353"/>
  <c r="M464" i="353"/>
  <c r="M465" i="353"/>
  <c r="M466" i="353"/>
  <c r="M467" i="353"/>
  <c r="M468" i="353"/>
  <c r="M469" i="353"/>
  <c r="M470" i="353"/>
  <c r="M471" i="353"/>
  <c r="M472" i="353"/>
  <c r="M473" i="353"/>
  <c r="M474" i="353"/>
  <c r="M475" i="353"/>
  <c r="M476" i="353"/>
  <c r="M477" i="353"/>
  <c r="M478" i="353"/>
  <c r="M479" i="353"/>
  <c r="M480" i="353"/>
  <c r="M481" i="353"/>
  <c r="M482" i="353"/>
  <c r="M483" i="353"/>
  <c r="M484" i="353"/>
  <c r="M485" i="353"/>
  <c r="M486" i="353"/>
  <c r="M487" i="353"/>
  <c r="M488" i="353"/>
  <c r="M489" i="353"/>
  <c r="M490" i="353"/>
  <c r="M491" i="353"/>
  <c r="M492" i="353"/>
  <c r="M493" i="353"/>
  <c r="M494" i="353"/>
  <c r="M495" i="353"/>
  <c r="M496" i="353"/>
  <c r="M497" i="353"/>
  <c r="M498" i="353"/>
  <c r="M499" i="353"/>
  <c r="M500" i="353"/>
  <c r="M501" i="353"/>
  <c r="M502" i="353"/>
  <c r="M503" i="353"/>
  <c r="M504" i="353"/>
  <c r="M505" i="353"/>
  <c r="M506" i="353"/>
  <c r="M507" i="353"/>
  <c r="M508" i="353"/>
  <c r="M509" i="353"/>
  <c r="M510" i="353"/>
  <c r="M511" i="353"/>
  <c r="M512" i="353"/>
  <c r="M513" i="353"/>
  <c r="M514" i="353"/>
  <c r="M515" i="353"/>
  <c r="M516" i="353"/>
  <c r="M517" i="353"/>
  <c r="M518" i="353"/>
  <c r="M519" i="353"/>
  <c r="M520" i="353"/>
  <c r="M521" i="353"/>
  <c r="M522" i="353"/>
  <c r="M523" i="353"/>
  <c r="M524" i="353"/>
  <c r="M525" i="353"/>
  <c r="M526" i="353"/>
  <c r="M527" i="353"/>
  <c r="M528" i="353"/>
  <c r="M529" i="353"/>
  <c r="M530" i="353"/>
  <c r="M531" i="353"/>
  <c r="M532" i="353"/>
  <c r="M533" i="353"/>
  <c r="M534" i="353"/>
  <c r="M535" i="353"/>
  <c r="M536" i="353"/>
  <c r="M537" i="353"/>
  <c r="M538" i="353"/>
  <c r="M539" i="353"/>
  <c r="M540" i="353"/>
  <c r="M541" i="353"/>
  <c r="M542" i="353"/>
  <c r="M543" i="353"/>
  <c r="M544" i="353"/>
  <c r="M545" i="353"/>
  <c r="M546" i="353"/>
  <c r="M547" i="353"/>
  <c r="M548" i="353"/>
  <c r="M549" i="353"/>
  <c r="M550" i="353"/>
  <c r="M551" i="353"/>
  <c r="M552" i="353"/>
  <c r="M553" i="353"/>
  <c r="M554" i="353"/>
  <c r="M555" i="353"/>
  <c r="M556" i="353"/>
  <c r="M557" i="353"/>
  <c r="M558" i="353"/>
  <c r="M559" i="353"/>
  <c r="M560" i="353"/>
  <c r="M561" i="353"/>
  <c r="M562" i="353"/>
  <c r="M563" i="353"/>
  <c r="M564" i="353"/>
  <c r="M565" i="353"/>
  <c r="M566" i="353"/>
  <c r="M567" i="353"/>
  <c r="M568" i="353"/>
  <c r="M569" i="353"/>
  <c r="M570" i="353"/>
  <c r="M571" i="353"/>
  <c r="M572" i="353"/>
  <c r="M573" i="353"/>
  <c r="M574" i="353"/>
  <c r="M575" i="353"/>
  <c r="M576" i="353"/>
  <c r="M577" i="353"/>
  <c r="M578" i="353"/>
  <c r="M579" i="353"/>
  <c r="M580" i="353"/>
  <c r="M581" i="353"/>
  <c r="M582" i="353"/>
  <c r="M583" i="353"/>
  <c r="M584" i="353"/>
  <c r="M585" i="353"/>
  <c r="M586" i="353"/>
  <c r="M587" i="353"/>
  <c r="M588" i="353"/>
  <c r="M589" i="353"/>
  <c r="M590" i="353"/>
  <c r="M591" i="353"/>
  <c r="M592" i="353"/>
  <c r="M593" i="353"/>
  <c r="M594" i="353"/>
  <c r="M595" i="353"/>
  <c r="M596" i="353"/>
  <c r="M597" i="353"/>
  <c r="M598" i="353"/>
  <c r="M599" i="353"/>
  <c r="M600" i="353"/>
  <c r="M601" i="353"/>
  <c r="M602" i="353"/>
  <c r="M603" i="353"/>
  <c r="M604" i="353"/>
  <c r="M605" i="353"/>
  <c r="M606" i="353"/>
  <c r="M607" i="353"/>
  <c r="M608" i="353"/>
  <c r="M609" i="353"/>
  <c r="M610" i="353"/>
  <c r="M611" i="353"/>
  <c r="M612" i="353"/>
  <c r="M613" i="353"/>
  <c r="M614" i="353"/>
  <c r="M615" i="353"/>
  <c r="M616" i="353"/>
  <c r="M617" i="353"/>
  <c r="M618" i="353"/>
  <c r="M619" i="353"/>
  <c r="M620" i="353"/>
  <c r="M621" i="353"/>
  <c r="M622" i="353"/>
  <c r="M623" i="353"/>
  <c r="M624" i="353"/>
  <c r="M625" i="353"/>
  <c r="M626" i="353"/>
  <c r="M627" i="353"/>
  <c r="M628" i="353"/>
  <c r="M629" i="353"/>
  <c r="M630" i="353"/>
  <c r="M631" i="353"/>
  <c r="M632" i="353"/>
  <c r="M633" i="353"/>
  <c r="M634" i="353"/>
  <c r="M635" i="353"/>
  <c r="M636" i="353"/>
  <c r="M637" i="353"/>
  <c r="M638" i="353"/>
  <c r="M639" i="353"/>
  <c r="M640" i="353"/>
  <c r="M641" i="353"/>
  <c r="M642" i="353"/>
  <c r="M643" i="353"/>
  <c r="M644" i="353"/>
  <c r="M645" i="353"/>
  <c r="M646" i="353"/>
  <c r="M647" i="353"/>
  <c r="M648" i="353"/>
  <c r="M649" i="353"/>
  <c r="M650" i="353"/>
  <c r="M651" i="353"/>
  <c r="M652" i="353"/>
  <c r="M653" i="353"/>
  <c r="M654" i="353"/>
  <c r="M655" i="353"/>
  <c r="M656" i="353"/>
  <c r="M657" i="353"/>
  <c r="M658" i="353"/>
  <c r="M659" i="353"/>
  <c r="M660" i="353"/>
  <c r="M661" i="353"/>
  <c r="M662" i="353"/>
  <c r="M663" i="353"/>
  <c r="M664" i="353"/>
  <c r="M665" i="353"/>
  <c r="M666" i="353"/>
  <c r="M667" i="353"/>
  <c r="M668" i="353"/>
  <c r="M669" i="353"/>
  <c r="M670" i="353"/>
  <c r="M671" i="353"/>
  <c r="M672" i="353"/>
  <c r="M673" i="353"/>
  <c r="M674" i="353"/>
  <c r="M675" i="353"/>
  <c r="M676" i="353"/>
  <c r="M677" i="353"/>
  <c r="M678" i="353"/>
  <c r="M679" i="353"/>
  <c r="M680" i="353"/>
  <c r="M681" i="353"/>
  <c r="M682" i="353"/>
  <c r="M683" i="353"/>
  <c r="M684" i="353"/>
  <c r="M685" i="353"/>
  <c r="M686" i="353"/>
  <c r="M687" i="353"/>
  <c r="M688" i="353"/>
  <c r="M689" i="353"/>
  <c r="M690" i="353"/>
  <c r="M691" i="353"/>
  <c r="M692" i="353"/>
  <c r="M693" i="353"/>
  <c r="M694" i="353"/>
  <c r="M695" i="353"/>
  <c r="M696" i="353"/>
  <c r="M697" i="353"/>
  <c r="M698" i="353"/>
  <c r="M699" i="353"/>
  <c r="M700" i="353"/>
  <c r="M701" i="353"/>
  <c r="M702" i="353"/>
  <c r="M703" i="353"/>
  <c r="M704" i="353"/>
  <c r="M705" i="353"/>
  <c r="M706" i="353"/>
  <c r="M707" i="353"/>
  <c r="M708" i="353"/>
  <c r="M709" i="353"/>
  <c r="M710" i="353"/>
  <c r="M711" i="353"/>
  <c r="M712" i="353"/>
  <c r="M713" i="353"/>
  <c r="M714" i="353"/>
  <c r="M715" i="353"/>
  <c r="M716" i="353"/>
  <c r="M717" i="353"/>
  <c r="M718" i="353"/>
  <c r="M719" i="353"/>
  <c r="M720" i="353"/>
  <c r="M721" i="353"/>
  <c r="M722" i="353"/>
  <c r="M723" i="353"/>
  <c r="M724" i="353"/>
  <c r="M725" i="353"/>
  <c r="M726" i="353"/>
  <c r="M727" i="353"/>
  <c r="M728" i="353"/>
  <c r="M729" i="353"/>
  <c r="M730" i="353"/>
  <c r="M731" i="353"/>
  <c r="M732" i="353"/>
  <c r="M733" i="353"/>
  <c r="M734" i="353"/>
  <c r="M735" i="353"/>
  <c r="M736" i="353"/>
  <c r="M737" i="353"/>
  <c r="M738" i="353"/>
  <c r="M739" i="353"/>
  <c r="M740" i="353"/>
  <c r="M741" i="353"/>
  <c r="M742" i="353"/>
  <c r="M743" i="353"/>
  <c r="M744" i="353"/>
  <c r="M745" i="353"/>
  <c r="M746" i="353"/>
  <c r="M747" i="353"/>
  <c r="M748" i="353"/>
  <c r="M749" i="353"/>
  <c r="M750" i="353"/>
  <c r="M751" i="353"/>
  <c r="M752" i="353"/>
  <c r="M753" i="353"/>
  <c r="M754" i="353"/>
  <c r="M755" i="353"/>
  <c r="M756" i="353"/>
  <c r="M757" i="353"/>
  <c r="M758" i="353"/>
  <c r="M759" i="353"/>
  <c r="M760" i="353"/>
  <c r="M761" i="353"/>
  <c r="M762" i="353"/>
  <c r="M763" i="353"/>
  <c r="M764" i="353"/>
  <c r="M765" i="353"/>
  <c r="M766" i="353"/>
  <c r="M767" i="353"/>
  <c r="M768" i="353"/>
  <c r="M769" i="353"/>
  <c r="M770" i="353"/>
  <c r="M771" i="353"/>
  <c r="M772" i="353"/>
  <c r="M773" i="353"/>
  <c r="M774" i="353"/>
  <c r="M775" i="353"/>
  <c r="M776" i="353"/>
  <c r="M777" i="353"/>
  <c r="M778" i="353"/>
  <c r="M779" i="353"/>
  <c r="M780" i="353"/>
  <c r="M781" i="353"/>
  <c r="M782" i="353"/>
  <c r="M783" i="353"/>
  <c r="M784" i="353"/>
  <c r="M785" i="353"/>
  <c r="M786" i="353"/>
  <c r="M787" i="353"/>
  <c r="M788" i="353"/>
  <c r="M789" i="353"/>
  <c r="M790" i="353"/>
  <c r="M791" i="353"/>
  <c r="M792" i="353"/>
  <c r="M793" i="353"/>
  <c r="M794" i="353"/>
  <c r="M795" i="353"/>
  <c r="M796" i="353"/>
  <c r="M797" i="353"/>
  <c r="M798" i="353"/>
  <c r="M799" i="353"/>
  <c r="M800" i="353"/>
  <c r="M801" i="353"/>
  <c r="M802" i="353"/>
  <c r="M803" i="353"/>
  <c r="M804" i="353"/>
  <c r="M805" i="353"/>
  <c r="M806" i="353"/>
  <c r="M807" i="353"/>
  <c r="M808" i="353"/>
  <c r="M809" i="353"/>
  <c r="M810" i="353"/>
  <c r="M811" i="353"/>
  <c r="M812" i="353"/>
  <c r="M813" i="353"/>
  <c r="M814" i="353"/>
  <c r="M815" i="353"/>
  <c r="M816" i="353"/>
  <c r="M817" i="353"/>
  <c r="M818" i="353"/>
  <c r="M819" i="353"/>
  <c r="M820" i="353"/>
  <c r="M821" i="353"/>
  <c r="M822" i="353"/>
  <c r="M823" i="353"/>
  <c r="M824" i="353"/>
  <c r="M825" i="353"/>
  <c r="M826" i="353"/>
  <c r="M827" i="353"/>
  <c r="M828" i="353"/>
  <c r="M829" i="353"/>
  <c r="M830" i="353"/>
  <c r="M831" i="353"/>
  <c r="M832" i="353"/>
  <c r="M833" i="353"/>
  <c r="M834" i="353"/>
  <c r="M835" i="353"/>
  <c r="M836" i="353"/>
  <c r="M837" i="353"/>
  <c r="M838" i="353"/>
  <c r="M839" i="353"/>
  <c r="M840" i="353"/>
  <c r="M841" i="353"/>
  <c r="M842" i="353"/>
  <c r="M843" i="353"/>
  <c r="M844" i="353"/>
  <c r="M845" i="353"/>
  <c r="M846" i="353"/>
  <c r="M847" i="353"/>
  <c r="M848" i="353"/>
  <c r="M849" i="353"/>
  <c r="M850" i="353"/>
  <c r="M851" i="353"/>
  <c r="M852" i="353"/>
  <c r="M853" i="353"/>
  <c r="M854" i="353"/>
  <c r="M855" i="353"/>
  <c r="M856" i="353"/>
  <c r="M857" i="353"/>
  <c r="M858" i="353"/>
  <c r="M859" i="353"/>
  <c r="M860" i="353"/>
  <c r="M861" i="353"/>
  <c r="M862" i="353"/>
  <c r="M863" i="353"/>
  <c r="M864" i="353"/>
  <c r="M865" i="353"/>
  <c r="M866" i="353"/>
  <c r="M867" i="353"/>
  <c r="M868" i="353"/>
  <c r="M869" i="353"/>
  <c r="M870" i="353"/>
  <c r="M871" i="353"/>
  <c r="M872" i="353"/>
  <c r="M873" i="353"/>
  <c r="M874" i="353"/>
  <c r="M875" i="353"/>
  <c r="M876" i="353"/>
  <c r="M877" i="353"/>
  <c r="M878" i="353"/>
  <c r="M879" i="353"/>
  <c r="M880" i="353"/>
  <c r="M881" i="353"/>
  <c r="M882" i="353"/>
  <c r="M883" i="353"/>
  <c r="M884" i="353"/>
  <c r="M885" i="353"/>
  <c r="M886" i="353"/>
  <c r="M887" i="353"/>
  <c r="M888" i="353"/>
  <c r="M889" i="353"/>
  <c r="M890" i="353"/>
  <c r="M891" i="353"/>
  <c r="M892" i="353"/>
  <c r="M893" i="353"/>
  <c r="M894" i="353"/>
  <c r="M895" i="353"/>
  <c r="M896" i="353"/>
  <c r="M897" i="353"/>
  <c r="M898" i="353"/>
  <c r="M899" i="353"/>
  <c r="M900" i="353"/>
  <c r="M901" i="353"/>
  <c r="M902" i="353"/>
  <c r="M903" i="353"/>
  <c r="M904" i="353"/>
  <c r="M905" i="353"/>
  <c r="M906" i="353"/>
  <c r="M907" i="353"/>
  <c r="M908" i="353"/>
  <c r="M909" i="353"/>
  <c r="M910" i="353"/>
  <c r="M911" i="353"/>
  <c r="M912" i="353"/>
  <c r="M913" i="353"/>
  <c r="M914" i="353"/>
  <c r="M915" i="353"/>
  <c r="M916" i="353"/>
  <c r="M917" i="353"/>
  <c r="M918" i="353"/>
  <c r="M919" i="353"/>
  <c r="M920" i="353"/>
  <c r="M921" i="353"/>
  <c r="M922" i="353"/>
  <c r="M923" i="353"/>
  <c r="M924" i="353"/>
  <c r="M925" i="353"/>
  <c r="M926" i="353"/>
  <c r="M927" i="353"/>
  <c r="M928" i="353"/>
  <c r="M929" i="353"/>
  <c r="M930" i="353"/>
  <c r="M931" i="353"/>
  <c r="M932" i="353"/>
  <c r="M933" i="353"/>
  <c r="M934" i="353"/>
  <c r="M935" i="353"/>
  <c r="M936" i="353"/>
  <c r="M937" i="353"/>
  <c r="M938" i="353"/>
  <c r="M939" i="353"/>
  <c r="M940" i="353"/>
  <c r="M941" i="353"/>
  <c r="M942" i="353"/>
  <c r="M943" i="353"/>
  <c r="M944" i="353"/>
  <c r="M945" i="353"/>
  <c r="M946" i="353"/>
  <c r="M947" i="353"/>
  <c r="M948" i="353"/>
  <c r="M949" i="353"/>
  <c r="M950" i="353"/>
  <c r="M951" i="353"/>
  <c r="M952" i="353"/>
  <c r="M953" i="353"/>
  <c r="M954" i="353"/>
  <c r="M955" i="353"/>
  <c r="M956" i="353"/>
  <c r="M957" i="353"/>
  <c r="M958" i="353"/>
  <c r="M959" i="353"/>
  <c r="M960" i="353"/>
  <c r="M961" i="353"/>
  <c r="M962" i="353"/>
  <c r="M963" i="353"/>
  <c r="M964" i="353"/>
  <c r="M965" i="353"/>
  <c r="M966" i="353"/>
  <c r="M967" i="353"/>
  <c r="M968" i="353"/>
  <c r="M969" i="353"/>
  <c r="M970" i="353"/>
  <c r="M971" i="353"/>
  <c r="M972" i="353"/>
  <c r="M973" i="353"/>
  <c r="M974" i="353"/>
  <c r="M975" i="353"/>
  <c r="M976" i="353"/>
  <c r="M977" i="353"/>
  <c r="M978" i="353"/>
  <c r="M979" i="353"/>
  <c r="M980" i="353"/>
  <c r="M981" i="353"/>
  <c r="M982" i="353"/>
  <c r="M983" i="353"/>
  <c r="M984" i="353"/>
  <c r="M985" i="353"/>
  <c r="M986" i="353"/>
  <c r="M987" i="353"/>
  <c r="M988" i="353"/>
  <c r="M989" i="353"/>
  <c r="M990" i="353"/>
  <c r="M991" i="353"/>
  <c r="M992" i="353"/>
  <c r="M993" i="353"/>
  <c r="M994" i="353"/>
  <c r="M995" i="353"/>
  <c r="M996" i="353"/>
  <c r="M997" i="353"/>
  <c r="M998" i="353"/>
  <c r="M999" i="353"/>
  <c r="M1000" i="353"/>
  <c r="M1001" i="353"/>
  <c r="M1002" i="353"/>
  <c r="M1003" i="353"/>
  <c r="M1004" i="353"/>
  <c r="M1005" i="353"/>
  <c r="M1006" i="353"/>
  <c r="M1007" i="353"/>
  <c r="M1008" i="353"/>
  <c r="M1009" i="353"/>
  <c r="M1010" i="353"/>
  <c r="M1011" i="353"/>
  <c r="M1012" i="353"/>
  <c r="M1013" i="353"/>
  <c r="M1014" i="353"/>
  <c r="M1015" i="353"/>
  <c r="M1016" i="353"/>
  <c r="M1017" i="353"/>
  <c r="M1018" i="353"/>
  <c r="M1019" i="353"/>
  <c r="M1020" i="353"/>
  <c r="M1021" i="353"/>
  <c r="M1022" i="353"/>
  <c r="M1023" i="353"/>
  <c r="M1024" i="353"/>
  <c r="M1025" i="353"/>
  <c r="M1026" i="353"/>
  <c r="M1027" i="353"/>
  <c r="M1028" i="353"/>
  <c r="M1029" i="353"/>
  <c r="M1030" i="353"/>
  <c r="M1031" i="353"/>
  <c r="M1032" i="353"/>
  <c r="M1033" i="353"/>
  <c r="M1034" i="353"/>
  <c r="M1035" i="353"/>
  <c r="M1036" i="353"/>
  <c r="M1037" i="353"/>
  <c r="M1038" i="353"/>
  <c r="M1039" i="353"/>
  <c r="M1040" i="353"/>
  <c r="M1041" i="353"/>
  <c r="M1042" i="353"/>
  <c r="M1043" i="353"/>
  <c r="M1044" i="353"/>
  <c r="M1045" i="353"/>
  <c r="M1046" i="353"/>
  <c r="M1047" i="353"/>
  <c r="M1048" i="353"/>
  <c r="M1049" i="353"/>
  <c r="M1050" i="353"/>
  <c r="M1051" i="353"/>
  <c r="M1052" i="353"/>
  <c r="N6" i="353"/>
  <c r="N7" i="353"/>
  <c r="N8" i="353"/>
  <c r="N9" i="353"/>
  <c r="N10" i="353"/>
  <c r="N11" i="353"/>
  <c r="N12" i="353"/>
  <c r="N13" i="353"/>
  <c r="N14" i="353"/>
  <c r="N15" i="353"/>
  <c r="N16" i="353"/>
  <c r="N17" i="353"/>
  <c r="N18" i="353"/>
  <c r="N19" i="353"/>
  <c r="N20" i="353"/>
  <c r="N21" i="353"/>
  <c r="N22" i="353"/>
  <c r="N23" i="353"/>
  <c r="N24" i="353"/>
  <c r="N25" i="353"/>
  <c r="N26" i="353"/>
  <c r="N27" i="353"/>
  <c r="N28" i="353"/>
  <c r="N29" i="353"/>
  <c r="N30" i="353"/>
  <c r="N31" i="353"/>
  <c r="N32" i="353"/>
  <c r="N33" i="353"/>
  <c r="N34" i="353"/>
  <c r="N35" i="353"/>
  <c r="N36" i="353"/>
  <c r="N37" i="353"/>
  <c r="N38" i="353"/>
  <c r="N39" i="353"/>
  <c r="N40" i="353"/>
  <c r="N41" i="353"/>
  <c r="N42" i="353"/>
  <c r="N43" i="353"/>
  <c r="N44" i="353"/>
  <c r="N45" i="353"/>
  <c r="N46" i="353"/>
  <c r="N47" i="353"/>
  <c r="N48" i="353"/>
  <c r="N49" i="353"/>
  <c r="N50" i="353"/>
  <c r="N51" i="353"/>
  <c r="N52" i="353"/>
  <c r="N53" i="353"/>
  <c r="N54" i="353"/>
  <c r="N55" i="353"/>
  <c r="N56" i="353"/>
  <c r="N57" i="353"/>
  <c r="N58" i="353"/>
  <c r="N59" i="353"/>
  <c r="N60" i="353"/>
  <c r="N61" i="353"/>
  <c r="N62" i="353"/>
  <c r="N63" i="353"/>
  <c r="N64" i="353"/>
  <c r="N65" i="353"/>
  <c r="N66" i="353"/>
  <c r="N67" i="353"/>
  <c r="N68" i="353"/>
  <c r="N69" i="353"/>
  <c r="N70" i="353"/>
  <c r="N71" i="353"/>
  <c r="N72" i="353"/>
  <c r="N73" i="353"/>
  <c r="N74" i="353"/>
  <c r="N75" i="353"/>
  <c r="N76" i="353"/>
  <c r="N77" i="353"/>
  <c r="N78" i="353"/>
  <c r="N79" i="353"/>
  <c r="N80" i="353"/>
  <c r="N81" i="353"/>
  <c r="N82" i="353"/>
  <c r="N83" i="353"/>
  <c r="N84" i="353"/>
  <c r="N85" i="353"/>
  <c r="N86" i="353"/>
  <c r="N87" i="353"/>
  <c r="N88" i="353"/>
  <c r="N89" i="353"/>
  <c r="N90" i="353"/>
  <c r="N91" i="353"/>
  <c r="N92" i="353"/>
  <c r="N93" i="353"/>
  <c r="N94" i="353"/>
  <c r="N95" i="353"/>
  <c r="N96" i="353"/>
  <c r="N97" i="353"/>
  <c r="N98" i="353"/>
  <c r="N99" i="353"/>
  <c r="N100" i="353"/>
  <c r="N101" i="353"/>
  <c r="N102" i="353"/>
  <c r="N103" i="353"/>
  <c r="N104" i="353"/>
  <c r="N105" i="353"/>
  <c r="N106" i="353"/>
  <c r="N107" i="353"/>
  <c r="N108" i="353"/>
  <c r="N109" i="353"/>
  <c r="N110" i="353"/>
  <c r="N111" i="353"/>
  <c r="N112" i="353"/>
  <c r="N113" i="353"/>
  <c r="N114" i="353"/>
  <c r="N115" i="353"/>
  <c r="N116" i="353"/>
  <c r="N117" i="353"/>
  <c r="N118" i="353"/>
  <c r="N119" i="353"/>
  <c r="N120" i="353"/>
  <c r="N121" i="353"/>
  <c r="N122" i="353"/>
  <c r="N123" i="353"/>
  <c r="N124" i="353"/>
  <c r="N125" i="353"/>
  <c r="N126" i="353"/>
  <c r="N127" i="353"/>
  <c r="N128" i="353"/>
  <c r="N129" i="353"/>
  <c r="N130" i="353"/>
  <c r="N131" i="353"/>
  <c r="N132" i="353"/>
  <c r="N133" i="353"/>
  <c r="N134" i="353"/>
  <c r="N135" i="353"/>
  <c r="N136" i="353"/>
  <c r="N137" i="353"/>
  <c r="N138" i="353"/>
  <c r="N139" i="353"/>
  <c r="N140" i="353"/>
  <c r="N141" i="353"/>
  <c r="N142" i="353"/>
  <c r="N143" i="353"/>
  <c r="N144" i="353"/>
  <c r="N145" i="353"/>
  <c r="N146" i="353"/>
  <c r="N147" i="353"/>
  <c r="N148" i="353"/>
  <c r="N149" i="353"/>
  <c r="N150" i="353"/>
  <c r="N151" i="353"/>
  <c r="N152" i="353"/>
  <c r="N153" i="353"/>
  <c r="N154" i="353"/>
  <c r="N155" i="353"/>
  <c r="N156" i="353"/>
  <c r="N157" i="353"/>
  <c r="N158" i="353"/>
  <c r="N159" i="353"/>
  <c r="N160" i="353"/>
  <c r="N161" i="353"/>
  <c r="N162" i="353"/>
  <c r="N163" i="353"/>
  <c r="N164" i="353"/>
  <c r="N165" i="353"/>
  <c r="N166" i="353"/>
  <c r="N167" i="353"/>
  <c r="N168" i="353"/>
  <c r="N169" i="353"/>
  <c r="N170" i="353"/>
  <c r="N171" i="353"/>
  <c r="N172" i="353"/>
  <c r="N173" i="353"/>
  <c r="N174" i="353"/>
  <c r="N175" i="353"/>
  <c r="N176" i="353"/>
  <c r="N177" i="353"/>
  <c r="N178" i="353"/>
  <c r="N179" i="353"/>
  <c r="N180" i="353"/>
  <c r="N181" i="353"/>
  <c r="N182" i="353"/>
  <c r="N183" i="353"/>
  <c r="N184" i="353"/>
  <c r="N185" i="353"/>
  <c r="N186" i="353"/>
  <c r="N187" i="353"/>
  <c r="N188" i="353"/>
  <c r="N189" i="353"/>
  <c r="N190" i="353"/>
  <c r="N191" i="353"/>
  <c r="N192" i="353"/>
  <c r="N193" i="353"/>
  <c r="N194" i="353"/>
  <c r="N195" i="353"/>
  <c r="N196" i="353"/>
  <c r="N197" i="353"/>
  <c r="N198" i="353"/>
  <c r="N199" i="353"/>
  <c r="N200" i="353"/>
  <c r="N201" i="353"/>
  <c r="N202" i="353"/>
  <c r="N203" i="353"/>
  <c r="N204" i="353"/>
  <c r="N205" i="353"/>
  <c r="N206" i="353"/>
  <c r="N207" i="353"/>
  <c r="N208" i="353"/>
  <c r="N209" i="353"/>
  <c r="N210" i="353"/>
  <c r="N211" i="353"/>
  <c r="N212" i="353"/>
  <c r="N213" i="353"/>
  <c r="N214" i="353"/>
  <c r="N215" i="353"/>
  <c r="N216" i="353"/>
  <c r="N217" i="353"/>
  <c r="N218" i="353"/>
  <c r="N219" i="353"/>
  <c r="N220" i="353"/>
  <c r="N221" i="353"/>
  <c r="N222" i="353"/>
  <c r="N223" i="353"/>
  <c r="N224" i="353"/>
  <c r="N225" i="353"/>
  <c r="N226" i="353"/>
  <c r="N227" i="353"/>
  <c r="N228" i="353"/>
  <c r="N229" i="353"/>
  <c r="N230" i="353"/>
  <c r="N231" i="353"/>
  <c r="N232" i="353"/>
  <c r="N233" i="353"/>
  <c r="N234" i="353"/>
  <c r="N235" i="353"/>
  <c r="N236" i="353"/>
  <c r="N237" i="353"/>
  <c r="N238" i="353"/>
  <c r="N239" i="353"/>
  <c r="N240" i="353"/>
  <c r="N241" i="353"/>
  <c r="N242" i="353"/>
  <c r="N243" i="353"/>
  <c r="N244" i="353"/>
  <c r="N245" i="353"/>
  <c r="N246" i="353"/>
  <c r="N247" i="353"/>
  <c r="N248" i="353"/>
  <c r="N249" i="353"/>
  <c r="N250" i="353"/>
  <c r="N251" i="353"/>
  <c r="N252" i="353"/>
  <c r="N253" i="353"/>
  <c r="N254" i="353"/>
  <c r="N255" i="353"/>
  <c r="N256" i="353"/>
  <c r="N257" i="353"/>
  <c r="N258" i="353"/>
  <c r="N259" i="353"/>
  <c r="N260" i="353"/>
  <c r="N261" i="353"/>
  <c r="N262" i="353"/>
  <c r="N263" i="353"/>
  <c r="N264" i="353"/>
  <c r="N265" i="353"/>
  <c r="N266" i="353"/>
  <c r="N267" i="353"/>
  <c r="N268" i="353"/>
  <c r="N269" i="353"/>
  <c r="N270" i="353"/>
  <c r="N271" i="353"/>
  <c r="N272" i="353"/>
  <c r="N273" i="353"/>
  <c r="N274" i="353"/>
  <c r="N275" i="353"/>
  <c r="N276" i="353"/>
  <c r="N277" i="353"/>
  <c r="N278" i="353"/>
  <c r="N279" i="353"/>
  <c r="N280" i="353"/>
  <c r="N281" i="353"/>
  <c r="N282" i="353"/>
  <c r="N283" i="353"/>
  <c r="N284" i="353"/>
  <c r="N285" i="353"/>
  <c r="N286" i="353"/>
  <c r="N287" i="353"/>
  <c r="N288" i="353"/>
  <c r="N289" i="353"/>
  <c r="N290" i="353"/>
  <c r="N291" i="353"/>
  <c r="N292" i="353"/>
  <c r="N293" i="353"/>
  <c r="N294" i="353"/>
  <c r="N295" i="353"/>
  <c r="N296" i="353"/>
  <c r="N297" i="353"/>
  <c r="N298" i="353"/>
  <c r="N299" i="353"/>
  <c r="N300" i="353"/>
  <c r="N301" i="353"/>
  <c r="N302" i="353"/>
  <c r="N303" i="353"/>
  <c r="N304" i="353"/>
  <c r="N305" i="353"/>
  <c r="N306" i="353"/>
  <c r="N307" i="353"/>
  <c r="N308" i="353"/>
  <c r="N309" i="353"/>
  <c r="N310" i="353"/>
  <c r="N311" i="353"/>
  <c r="N312" i="353"/>
  <c r="N313" i="353"/>
  <c r="N314" i="353"/>
  <c r="N315" i="353"/>
  <c r="N316" i="353"/>
  <c r="N317" i="353"/>
  <c r="N318" i="353"/>
  <c r="N319" i="353"/>
  <c r="N320" i="353"/>
  <c r="N321" i="353"/>
  <c r="N322" i="353"/>
  <c r="N323" i="353"/>
  <c r="N324" i="353"/>
  <c r="N325" i="353"/>
  <c r="N326" i="353"/>
  <c r="N327" i="353"/>
  <c r="N328" i="353"/>
  <c r="N329" i="353"/>
  <c r="N330" i="353"/>
  <c r="N331" i="353"/>
  <c r="N332" i="353"/>
  <c r="N333" i="353"/>
  <c r="N334" i="353"/>
  <c r="N335" i="353"/>
  <c r="N336" i="353"/>
  <c r="N337" i="353"/>
  <c r="N338" i="353"/>
  <c r="N339" i="353"/>
  <c r="N340" i="353"/>
  <c r="N342" i="353"/>
  <c r="N343" i="353"/>
  <c r="N344" i="353"/>
  <c r="N345" i="353"/>
  <c r="N346" i="353"/>
  <c r="N347" i="353"/>
  <c r="N348" i="353"/>
  <c r="N349" i="353"/>
  <c r="N350" i="353"/>
  <c r="N351" i="353"/>
  <c r="N352" i="353"/>
  <c r="N353" i="353"/>
  <c r="N354" i="353"/>
  <c r="N355" i="353"/>
  <c r="N356" i="353"/>
  <c r="N357" i="353"/>
  <c r="N358" i="353"/>
  <c r="N359" i="353"/>
  <c r="N360" i="353"/>
  <c r="N361" i="353"/>
  <c r="N362" i="353"/>
  <c r="N363" i="353"/>
  <c r="N364" i="353"/>
  <c r="N365" i="353"/>
  <c r="N366" i="353"/>
  <c r="N367" i="353"/>
  <c r="N368" i="353"/>
  <c r="N369" i="353"/>
  <c r="N370" i="353"/>
  <c r="N371" i="353"/>
  <c r="N372" i="353"/>
  <c r="N373" i="353"/>
  <c r="N374" i="353"/>
  <c r="N375" i="353"/>
  <c r="N376" i="353"/>
  <c r="N377" i="353"/>
  <c r="N378" i="353"/>
  <c r="N379" i="353"/>
  <c r="N380" i="353"/>
  <c r="N381" i="353"/>
  <c r="N382" i="353"/>
  <c r="N383" i="353"/>
  <c r="N384" i="353"/>
  <c r="N385" i="353"/>
  <c r="N386" i="353"/>
  <c r="N387" i="353"/>
  <c r="N388" i="353"/>
  <c r="N389" i="353"/>
  <c r="N390" i="353"/>
  <c r="N391" i="353"/>
  <c r="N392" i="353"/>
  <c r="N393" i="353"/>
  <c r="N394" i="353"/>
  <c r="N395" i="353"/>
  <c r="N396" i="353"/>
  <c r="N397" i="353"/>
  <c r="N398" i="353"/>
  <c r="N399" i="353"/>
  <c r="N400" i="353"/>
  <c r="N401" i="353"/>
  <c r="N402" i="353"/>
  <c r="N403" i="353"/>
  <c r="N404" i="353"/>
  <c r="N405" i="353"/>
  <c r="N406" i="353"/>
  <c r="N407" i="353"/>
  <c r="N408" i="353"/>
  <c r="N409" i="353"/>
  <c r="N410" i="353"/>
  <c r="N411" i="353"/>
  <c r="N412" i="353"/>
  <c r="N413" i="353"/>
  <c r="N414" i="353"/>
  <c r="N415" i="353"/>
  <c r="N416" i="353"/>
  <c r="N417" i="353"/>
  <c r="N418" i="353"/>
  <c r="N419" i="353"/>
  <c r="N420" i="353"/>
  <c r="N421" i="353"/>
  <c r="N422" i="353"/>
  <c r="N423" i="353"/>
  <c r="N424" i="353"/>
  <c r="N425" i="353"/>
  <c r="N426" i="353"/>
  <c r="N427" i="353"/>
  <c r="N428" i="353"/>
  <c r="N429" i="353"/>
  <c r="N430" i="353"/>
  <c r="N431" i="353"/>
  <c r="N432" i="353"/>
  <c r="N433" i="353"/>
  <c r="N434" i="353"/>
  <c r="N435" i="353"/>
  <c r="N436" i="353"/>
  <c r="N437" i="353"/>
  <c r="N438" i="353"/>
  <c r="N439" i="353"/>
  <c r="N440" i="353"/>
  <c r="N441" i="353"/>
  <c r="N442" i="353"/>
  <c r="N443" i="353"/>
  <c r="N444" i="353"/>
  <c r="N445" i="353"/>
  <c r="N446" i="353"/>
  <c r="N447" i="353"/>
  <c r="N448" i="353"/>
  <c r="N449" i="353"/>
  <c r="N450" i="353"/>
  <c r="N451" i="353"/>
  <c r="N452" i="353"/>
  <c r="N453" i="353"/>
  <c r="N454" i="353"/>
  <c r="N455" i="353"/>
  <c r="N456" i="353"/>
  <c r="N457" i="353"/>
  <c r="N458" i="353"/>
  <c r="N459" i="353"/>
  <c r="N460" i="353"/>
  <c r="N461" i="353"/>
  <c r="N462" i="353"/>
  <c r="N463" i="353"/>
  <c r="N464" i="353"/>
  <c r="N465" i="353"/>
  <c r="N466" i="353"/>
  <c r="N467" i="353"/>
  <c r="N468" i="353"/>
  <c r="N469" i="353"/>
  <c r="N470" i="353"/>
  <c r="N471" i="353"/>
  <c r="N472" i="353"/>
  <c r="N473" i="353"/>
  <c r="N474" i="353"/>
  <c r="N475" i="353"/>
  <c r="N476" i="353"/>
  <c r="N477" i="353"/>
  <c r="N478" i="353"/>
  <c r="N479" i="353"/>
  <c r="N480" i="353"/>
  <c r="N481" i="353"/>
  <c r="N482" i="353"/>
  <c r="N483" i="353"/>
  <c r="N484" i="353"/>
  <c r="N485" i="353"/>
  <c r="N486" i="353"/>
  <c r="N487" i="353"/>
  <c r="N488" i="353"/>
  <c r="N489" i="353"/>
  <c r="N490" i="353"/>
  <c r="N491" i="353"/>
  <c r="N492" i="353"/>
  <c r="N493" i="353"/>
  <c r="N494" i="353"/>
  <c r="N495" i="353"/>
  <c r="N496" i="353"/>
  <c r="N497" i="353"/>
  <c r="N498" i="353"/>
  <c r="N499" i="353"/>
  <c r="N500" i="353"/>
  <c r="N501" i="353"/>
  <c r="N502" i="353"/>
  <c r="N503" i="353"/>
  <c r="N504" i="353"/>
  <c r="N505" i="353"/>
  <c r="N506" i="353"/>
  <c r="N507" i="353"/>
  <c r="N508" i="353"/>
  <c r="N509" i="353"/>
  <c r="N510" i="353"/>
  <c r="N511" i="353"/>
  <c r="N512" i="353"/>
  <c r="N513" i="353"/>
  <c r="N514" i="353"/>
  <c r="N515" i="353"/>
  <c r="N516" i="353"/>
  <c r="N517" i="353"/>
  <c r="N518" i="353"/>
  <c r="N519" i="353"/>
  <c r="N520" i="353"/>
  <c r="N521" i="353"/>
  <c r="N522" i="353"/>
  <c r="N523" i="353"/>
  <c r="N524" i="353"/>
  <c r="N525" i="353"/>
  <c r="N526" i="353"/>
  <c r="N527" i="353"/>
  <c r="N528" i="353"/>
  <c r="N529" i="353"/>
  <c r="N530" i="353"/>
  <c r="N531" i="353"/>
  <c r="N532" i="353"/>
  <c r="N533" i="353"/>
  <c r="N534" i="353"/>
  <c r="N535" i="353"/>
  <c r="N536" i="353"/>
  <c r="N537" i="353"/>
  <c r="N538" i="353"/>
  <c r="N539" i="353"/>
  <c r="N540" i="353"/>
  <c r="N541" i="353"/>
  <c r="N542" i="353"/>
  <c r="N543" i="353"/>
  <c r="N544" i="353"/>
  <c r="N545" i="353"/>
  <c r="N546" i="353"/>
  <c r="N547" i="353"/>
  <c r="N548" i="353"/>
  <c r="N549" i="353"/>
  <c r="N550" i="353"/>
  <c r="N551" i="353"/>
  <c r="N552" i="353"/>
  <c r="N553" i="353"/>
  <c r="N554" i="353"/>
  <c r="N555" i="353"/>
  <c r="N556" i="353"/>
  <c r="N557" i="353"/>
  <c r="N558" i="353"/>
  <c r="N559" i="353"/>
  <c r="N560" i="353"/>
  <c r="N561" i="353"/>
  <c r="N562" i="353"/>
  <c r="N563" i="353"/>
  <c r="N564" i="353"/>
  <c r="N565" i="353"/>
  <c r="N566" i="353"/>
  <c r="N567" i="353"/>
  <c r="N568" i="353"/>
  <c r="N569" i="353"/>
  <c r="N570" i="353"/>
  <c r="N571" i="353"/>
  <c r="N572" i="353"/>
  <c r="N573" i="353"/>
  <c r="N574" i="353"/>
  <c r="N575" i="353"/>
  <c r="N576" i="353"/>
  <c r="N577" i="353"/>
  <c r="N578" i="353"/>
  <c r="N579" i="353"/>
  <c r="N580" i="353"/>
  <c r="N581" i="353"/>
  <c r="N582" i="353"/>
  <c r="N583" i="353"/>
  <c r="N584" i="353"/>
  <c r="N585" i="353"/>
  <c r="N586" i="353"/>
  <c r="N587" i="353"/>
  <c r="N588" i="353"/>
  <c r="N589" i="353"/>
  <c r="N590" i="353"/>
  <c r="N591" i="353"/>
  <c r="N592" i="353"/>
  <c r="N593" i="353"/>
  <c r="N594" i="353"/>
  <c r="N595" i="353"/>
  <c r="N596" i="353"/>
  <c r="N597" i="353"/>
  <c r="N598" i="353"/>
  <c r="N599" i="353"/>
  <c r="N600" i="353"/>
  <c r="N601" i="353"/>
  <c r="N602" i="353"/>
  <c r="N603" i="353"/>
  <c r="N604" i="353"/>
  <c r="N605" i="353"/>
  <c r="N606" i="353"/>
  <c r="N607" i="353"/>
  <c r="N608" i="353"/>
  <c r="N609" i="353"/>
  <c r="N610" i="353"/>
  <c r="N611" i="353"/>
  <c r="N612" i="353"/>
  <c r="N613" i="353"/>
  <c r="N614" i="353"/>
  <c r="N615" i="353"/>
  <c r="N616" i="353"/>
  <c r="N617" i="353"/>
  <c r="N618" i="353"/>
  <c r="N619" i="353"/>
  <c r="N620" i="353"/>
  <c r="N621" i="353"/>
  <c r="N622" i="353"/>
  <c r="N623" i="353"/>
  <c r="N624" i="353"/>
  <c r="N625" i="353"/>
  <c r="N626" i="353"/>
  <c r="N627" i="353"/>
  <c r="N628" i="353"/>
  <c r="N629" i="353"/>
  <c r="N630" i="353"/>
  <c r="N631" i="353"/>
  <c r="N632" i="353"/>
  <c r="N633" i="353"/>
  <c r="N634" i="353"/>
  <c r="N635" i="353"/>
  <c r="N636" i="353"/>
  <c r="N637" i="353"/>
  <c r="N638" i="353"/>
  <c r="N639" i="353"/>
  <c r="N640" i="353"/>
  <c r="N641" i="353"/>
  <c r="N642" i="353"/>
  <c r="N643" i="353"/>
  <c r="N644" i="353"/>
  <c r="N645" i="353"/>
  <c r="N646" i="353"/>
  <c r="N647" i="353"/>
  <c r="N648" i="353"/>
  <c r="N649" i="353"/>
  <c r="N650" i="353"/>
  <c r="N651" i="353"/>
  <c r="N652" i="353"/>
  <c r="N653" i="353"/>
  <c r="N654" i="353"/>
  <c r="N655" i="353"/>
  <c r="N656" i="353"/>
  <c r="N657" i="353"/>
  <c r="N658" i="353"/>
  <c r="N659" i="353"/>
  <c r="N660" i="353"/>
  <c r="N661" i="353"/>
  <c r="N662" i="353"/>
  <c r="N663" i="353"/>
  <c r="N664" i="353"/>
  <c r="N665" i="353"/>
  <c r="N666" i="353"/>
  <c r="N667" i="353"/>
  <c r="N668" i="353"/>
  <c r="N669" i="353"/>
  <c r="N670" i="353"/>
  <c r="N671" i="353"/>
  <c r="N672" i="353"/>
  <c r="N673" i="353"/>
  <c r="N674" i="353"/>
  <c r="N675" i="353"/>
  <c r="N676" i="353"/>
  <c r="N677" i="353"/>
  <c r="N678" i="353"/>
  <c r="N679" i="353"/>
  <c r="N680" i="353"/>
  <c r="N681" i="353"/>
  <c r="N682" i="353"/>
  <c r="N683" i="353"/>
  <c r="N684" i="353"/>
  <c r="N685" i="353"/>
  <c r="N686" i="353"/>
  <c r="N687" i="353"/>
  <c r="N688" i="353"/>
  <c r="N689" i="353"/>
  <c r="N690" i="353"/>
  <c r="N691" i="353"/>
  <c r="N692" i="353"/>
  <c r="N693" i="353"/>
  <c r="N694" i="353"/>
  <c r="N695" i="353"/>
  <c r="N696" i="353"/>
  <c r="N697" i="353"/>
  <c r="N698" i="353"/>
  <c r="N699" i="353"/>
  <c r="N700" i="353"/>
  <c r="N701" i="353"/>
  <c r="N702" i="353"/>
  <c r="N703" i="353"/>
  <c r="N704" i="353"/>
  <c r="N705" i="353"/>
  <c r="N706" i="353"/>
  <c r="N707" i="353"/>
  <c r="N708" i="353"/>
  <c r="N709" i="353"/>
  <c r="N710" i="353"/>
  <c r="N711" i="353"/>
  <c r="N712" i="353"/>
  <c r="N713" i="353"/>
  <c r="N714" i="353"/>
  <c r="N715" i="353"/>
  <c r="N716" i="353"/>
  <c r="N717" i="353"/>
  <c r="N718" i="353"/>
  <c r="N719" i="353"/>
  <c r="N720" i="353"/>
  <c r="N721" i="353"/>
  <c r="N722" i="353"/>
  <c r="N723" i="353"/>
  <c r="N724" i="353"/>
  <c r="N725" i="353"/>
  <c r="N726" i="353"/>
  <c r="N727" i="353"/>
  <c r="N728" i="353"/>
  <c r="N729" i="353"/>
  <c r="N730" i="353"/>
  <c r="N731" i="353"/>
  <c r="N732" i="353"/>
  <c r="N733" i="353"/>
  <c r="N734" i="353"/>
  <c r="N735" i="353"/>
  <c r="N736" i="353"/>
  <c r="N737" i="353"/>
  <c r="N738" i="353"/>
  <c r="N739" i="353"/>
  <c r="N740" i="353"/>
  <c r="N741" i="353"/>
  <c r="N742" i="353"/>
  <c r="N743" i="353"/>
  <c r="N744" i="353"/>
  <c r="N745" i="353"/>
  <c r="N746" i="353"/>
  <c r="N747" i="353"/>
  <c r="N748" i="353"/>
  <c r="N749" i="353"/>
  <c r="N750" i="353"/>
  <c r="N751" i="353"/>
  <c r="N752" i="353"/>
  <c r="N753" i="353"/>
  <c r="N754" i="353"/>
  <c r="N755" i="353"/>
  <c r="N756" i="353"/>
  <c r="N757" i="353"/>
  <c r="N758" i="353"/>
  <c r="N759" i="353"/>
  <c r="N760" i="353"/>
  <c r="N761" i="353"/>
  <c r="N762" i="353"/>
  <c r="N763" i="353"/>
  <c r="N764" i="353"/>
  <c r="N765" i="353"/>
  <c r="N766" i="353"/>
  <c r="N767" i="353"/>
  <c r="N768" i="353"/>
  <c r="N769" i="353"/>
  <c r="N770" i="353"/>
  <c r="N771" i="353"/>
  <c r="N772" i="353"/>
  <c r="N773" i="353"/>
  <c r="N774" i="353"/>
  <c r="N775" i="353"/>
  <c r="N776" i="353"/>
  <c r="N777" i="353"/>
  <c r="N778" i="353"/>
  <c r="N779" i="353"/>
  <c r="N780" i="353"/>
  <c r="N781" i="353"/>
  <c r="N782" i="353"/>
  <c r="N783" i="353"/>
  <c r="N784" i="353"/>
  <c r="N785" i="353"/>
  <c r="N786" i="353"/>
  <c r="N787" i="353"/>
  <c r="N788" i="353"/>
  <c r="N789" i="353"/>
  <c r="N790" i="353"/>
  <c r="N791" i="353"/>
  <c r="N792" i="353"/>
  <c r="N793" i="353"/>
  <c r="N794" i="353"/>
  <c r="N795" i="353"/>
  <c r="N796" i="353"/>
  <c r="N797" i="353"/>
  <c r="N798" i="353"/>
  <c r="N799" i="353"/>
  <c r="N800" i="353"/>
  <c r="N801" i="353"/>
  <c r="N802" i="353"/>
  <c r="N803" i="353"/>
  <c r="N804" i="353"/>
  <c r="N805" i="353"/>
  <c r="N806" i="353"/>
  <c r="N807" i="353"/>
  <c r="N808" i="353"/>
  <c r="N809" i="353"/>
  <c r="N810" i="353"/>
  <c r="N811" i="353"/>
  <c r="N812" i="353"/>
  <c r="N813" i="353"/>
  <c r="N814" i="353"/>
  <c r="N815" i="353"/>
  <c r="N816" i="353"/>
  <c r="N817" i="353"/>
  <c r="N818" i="353"/>
  <c r="N819" i="353"/>
  <c r="N820" i="353"/>
  <c r="N821" i="353"/>
  <c r="N822" i="353"/>
  <c r="N823" i="353"/>
  <c r="N824" i="353"/>
  <c r="N825" i="353"/>
  <c r="N826" i="353"/>
  <c r="N827" i="353"/>
  <c r="N828" i="353"/>
  <c r="N829" i="353"/>
  <c r="N830" i="353"/>
  <c r="N831" i="353"/>
  <c r="N832" i="353"/>
  <c r="N833" i="353"/>
  <c r="N834" i="353"/>
  <c r="N835" i="353"/>
  <c r="N836" i="353"/>
  <c r="N837" i="353"/>
  <c r="N838" i="353"/>
  <c r="N839" i="353"/>
  <c r="N840" i="353"/>
  <c r="N841" i="353"/>
  <c r="N842" i="353"/>
  <c r="N843" i="353"/>
  <c r="N844" i="353"/>
  <c r="N845" i="353"/>
  <c r="N846" i="353"/>
  <c r="N847" i="353"/>
  <c r="N848" i="353"/>
  <c r="N849" i="353"/>
  <c r="N850" i="353"/>
  <c r="N851" i="353"/>
  <c r="N852" i="353"/>
  <c r="N853" i="353"/>
  <c r="N854" i="353"/>
  <c r="N855" i="353"/>
  <c r="N856" i="353"/>
  <c r="N857" i="353"/>
  <c r="N858" i="353"/>
  <c r="N859" i="353"/>
  <c r="N860" i="353"/>
  <c r="N861" i="353"/>
  <c r="N862" i="353"/>
  <c r="N863" i="353"/>
  <c r="N864" i="353"/>
  <c r="N865" i="353"/>
  <c r="N866" i="353"/>
  <c r="N867" i="353"/>
  <c r="N868" i="353"/>
  <c r="N869" i="353"/>
  <c r="N870" i="353"/>
  <c r="N871" i="353"/>
  <c r="N872" i="353"/>
  <c r="N873" i="353"/>
  <c r="N874" i="353"/>
  <c r="N875" i="353"/>
  <c r="N876" i="353"/>
  <c r="N877" i="353"/>
  <c r="N878" i="353"/>
  <c r="N879" i="353"/>
  <c r="N880" i="353"/>
  <c r="N881" i="353"/>
  <c r="N882" i="353"/>
  <c r="N883" i="353"/>
  <c r="N884" i="353"/>
  <c r="N885" i="353"/>
  <c r="N886" i="353"/>
  <c r="N887" i="353"/>
  <c r="N888" i="353"/>
  <c r="N889" i="353"/>
  <c r="N890" i="353"/>
  <c r="N891" i="353"/>
  <c r="N892" i="353"/>
  <c r="N893" i="353"/>
  <c r="N894" i="353"/>
  <c r="N895" i="353"/>
  <c r="N896" i="353"/>
  <c r="N897" i="353"/>
  <c r="N898" i="353"/>
  <c r="N899" i="353"/>
  <c r="N900" i="353"/>
  <c r="N901" i="353"/>
  <c r="N902" i="353"/>
  <c r="N903" i="353"/>
  <c r="N904" i="353"/>
  <c r="N905" i="353"/>
  <c r="N906" i="353"/>
  <c r="N907" i="353"/>
  <c r="N908" i="353"/>
  <c r="N909" i="353"/>
  <c r="N910" i="353"/>
  <c r="N911" i="353"/>
  <c r="N912" i="353"/>
  <c r="N913" i="353"/>
  <c r="N914" i="353"/>
  <c r="N915" i="353"/>
  <c r="N916" i="353"/>
  <c r="N917" i="353"/>
  <c r="N918" i="353"/>
  <c r="N919" i="353"/>
  <c r="N920" i="353"/>
  <c r="N921" i="353"/>
  <c r="N922" i="353"/>
  <c r="N923" i="353"/>
  <c r="N924" i="353"/>
  <c r="N925" i="353"/>
  <c r="N926" i="353"/>
  <c r="N927" i="353"/>
  <c r="N928" i="353"/>
  <c r="N929" i="353"/>
  <c r="N930" i="353"/>
  <c r="N931" i="353"/>
  <c r="N932" i="353"/>
  <c r="N933" i="353"/>
  <c r="N934" i="353"/>
  <c r="N935" i="353"/>
  <c r="N936" i="353"/>
  <c r="N937" i="353"/>
  <c r="N938" i="353"/>
  <c r="N939" i="353"/>
  <c r="N940" i="353"/>
  <c r="N941" i="353"/>
  <c r="N942" i="353"/>
  <c r="N943" i="353"/>
  <c r="N944" i="353"/>
  <c r="N945" i="353"/>
  <c r="N946" i="353"/>
  <c r="N947" i="353"/>
  <c r="N948" i="353"/>
  <c r="N949" i="353"/>
  <c r="N950" i="353"/>
  <c r="N951" i="353"/>
  <c r="N952" i="353"/>
  <c r="N953" i="353"/>
  <c r="N954" i="353"/>
  <c r="N955" i="353"/>
  <c r="N956" i="353"/>
  <c r="N957" i="353"/>
  <c r="N958" i="353"/>
  <c r="N959" i="353"/>
  <c r="N960" i="353"/>
  <c r="N961" i="353"/>
  <c r="N962" i="353"/>
  <c r="N963" i="353"/>
  <c r="N964" i="353"/>
  <c r="N965" i="353"/>
  <c r="N966" i="353"/>
  <c r="N967" i="353"/>
  <c r="N968" i="353"/>
  <c r="N969" i="353"/>
  <c r="N970" i="353"/>
  <c r="N971" i="353"/>
  <c r="N972" i="353"/>
  <c r="N973" i="353"/>
  <c r="N974" i="353"/>
  <c r="N975" i="353"/>
  <c r="N976" i="353"/>
  <c r="N977" i="353"/>
  <c r="N978" i="353"/>
  <c r="N979" i="353"/>
  <c r="N980" i="353"/>
  <c r="N981" i="353"/>
  <c r="N982" i="353"/>
  <c r="N983" i="353"/>
  <c r="N984" i="353"/>
  <c r="N985" i="353"/>
  <c r="N986" i="353"/>
  <c r="N987" i="353"/>
  <c r="N988" i="353"/>
  <c r="N989" i="353"/>
  <c r="N990" i="353"/>
  <c r="N991" i="353"/>
  <c r="N992" i="353"/>
  <c r="N993" i="353"/>
  <c r="N994" i="353"/>
  <c r="N995" i="353"/>
  <c r="N996" i="353"/>
  <c r="N997" i="353"/>
  <c r="N998" i="353"/>
  <c r="N999" i="353"/>
  <c r="N1000" i="353"/>
  <c r="N1001" i="353"/>
  <c r="N1002" i="353"/>
  <c r="N1003" i="353"/>
  <c r="N1004" i="353"/>
  <c r="N1005" i="353"/>
  <c r="N1006" i="353"/>
  <c r="N1007" i="353"/>
  <c r="N1008" i="353"/>
  <c r="N1009" i="353"/>
  <c r="N1010" i="353"/>
  <c r="N1011" i="353"/>
  <c r="N1012" i="353"/>
  <c r="N1013" i="353"/>
  <c r="N1014" i="353"/>
  <c r="N1015" i="353"/>
  <c r="N1016" i="353"/>
  <c r="N1017" i="353"/>
  <c r="N1018" i="353"/>
  <c r="N1019" i="353"/>
  <c r="N1020" i="353"/>
  <c r="N1021" i="353"/>
  <c r="N1022" i="353"/>
  <c r="N1023" i="353"/>
  <c r="N1024" i="353"/>
  <c r="N1025" i="353"/>
  <c r="N1026" i="353"/>
  <c r="N1027" i="353"/>
  <c r="N1028" i="353"/>
  <c r="N1029" i="353"/>
  <c r="N1030" i="353"/>
  <c r="N1031" i="353"/>
  <c r="N1032" i="353"/>
  <c r="N1033" i="353"/>
  <c r="N1034" i="353"/>
  <c r="N1035" i="353"/>
  <c r="N1036" i="353"/>
  <c r="N1037" i="353"/>
  <c r="N1038" i="353"/>
  <c r="N1039" i="353"/>
  <c r="N1040" i="353"/>
  <c r="N1041" i="353"/>
  <c r="N1042" i="353"/>
  <c r="N1043" i="353"/>
  <c r="N1044" i="353"/>
  <c r="N1045" i="353"/>
  <c r="N1046" i="353"/>
  <c r="N1047" i="353"/>
  <c r="N1048" i="353"/>
  <c r="N1049" i="353"/>
  <c r="N1050" i="353"/>
  <c r="N1051" i="353"/>
  <c r="N1052" i="353"/>
  <c r="M1053" i="353"/>
  <c r="M1054" i="353"/>
  <c r="M1055" i="353"/>
  <c r="M1056" i="353"/>
  <c r="M1057" i="353"/>
  <c r="M1058" i="353"/>
  <c r="M1059" i="353"/>
  <c r="M1060" i="353"/>
  <c r="M1061" i="353"/>
  <c r="M1062" i="353"/>
  <c r="M1063" i="353"/>
  <c r="M1064" i="353"/>
  <c r="M1065" i="353"/>
  <c r="M1066" i="353"/>
  <c r="M1067" i="353"/>
  <c r="M1068" i="353"/>
  <c r="M1069" i="353"/>
  <c r="M1070" i="353"/>
  <c r="M1071" i="353"/>
  <c r="M1072" i="353"/>
  <c r="M1073" i="353"/>
  <c r="M1074" i="353"/>
  <c r="M1075" i="353"/>
  <c r="M1076" i="353"/>
  <c r="M1077" i="353"/>
  <c r="M1078" i="353"/>
  <c r="M1079" i="353"/>
  <c r="M1080" i="353"/>
  <c r="M1081" i="353"/>
  <c r="M1082" i="353"/>
  <c r="M1083" i="353"/>
  <c r="M1084" i="353"/>
  <c r="M1085" i="353"/>
  <c r="M1086" i="353"/>
  <c r="M1087" i="353"/>
  <c r="M1088" i="353"/>
  <c r="M1089" i="353"/>
  <c r="M1090" i="353"/>
  <c r="M1091" i="353"/>
  <c r="M1092" i="353"/>
  <c r="M1093" i="353"/>
  <c r="M1094" i="353"/>
  <c r="M1095" i="353"/>
  <c r="M1096" i="353"/>
  <c r="M1097" i="353"/>
  <c r="M1098" i="353"/>
  <c r="M1099" i="353"/>
  <c r="M1100" i="353"/>
  <c r="M1101" i="353"/>
  <c r="M1102" i="353"/>
  <c r="M1103" i="353"/>
  <c r="M1104" i="353"/>
  <c r="M1105" i="353"/>
  <c r="M1106" i="353"/>
  <c r="M1107" i="353"/>
  <c r="M1108" i="353"/>
  <c r="M1109" i="353"/>
  <c r="M1110" i="353"/>
  <c r="M1111" i="353"/>
  <c r="M1112" i="353"/>
  <c r="M1113" i="353"/>
  <c r="M1114" i="353"/>
  <c r="M1115" i="353"/>
  <c r="M1116" i="353"/>
  <c r="M1117" i="353"/>
  <c r="M1118" i="353"/>
  <c r="M1119" i="353"/>
  <c r="M1120" i="353"/>
  <c r="M1121" i="353"/>
  <c r="M1122" i="353"/>
  <c r="M1123" i="353"/>
  <c r="M1124" i="353"/>
  <c r="M1125" i="353"/>
  <c r="M1126" i="353"/>
  <c r="M1127" i="353"/>
  <c r="M1128" i="353"/>
  <c r="M1129" i="353"/>
  <c r="M1130" i="353"/>
  <c r="M1131" i="353"/>
  <c r="M1132" i="353"/>
  <c r="M1133" i="353"/>
  <c r="M1134" i="353"/>
  <c r="M1135" i="353"/>
  <c r="M1136" i="353"/>
  <c r="M1137" i="353"/>
  <c r="M1138" i="353"/>
  <c r="M1139" i="353"/>
  <c r="M1140" i="353"/>
  <c r="M1141" i="353"/>
  <c r="M1142" i="353"/>
  <c r="M1143" i="353"/>
  <c r="M1144" i="353"/>
  <c r="M1145" i="353"/>
  <c r="M1146" i="353"/>
  <c r="M1147" i="353"/>
  <c r="M1148" i="353"/>
  <c r="M1149" i="353"/>
  <c r="M1150" i="353"/>
  <c r="M1151" i="353"/>
  <c r="M1152" i="353"/>
  <c r="M1153" i="353"/>
  <c r="M1154" i="353"/>
  <c r="M1155" i="353"/>
  <c r="M1156" i="353"/>
  <c r="M1157" i="353"/>
  <c r="M1158" i="353"/>
  <c r="M1159" i="353"/>
  <c r="M1160" i="353"/>
  <c r="M1161" i="353"/>
  <c r="M1162" i="353"/>
  <c r="M1163" i="353"/>
  <c r="M1164" i="353"/>
  <c r="M1165" i="353"/>
  <c r="M1166" i="353"/>
  <c r="M1167" i="353"/>
  <c r="M1168" i="353"/>
  <c r="M1169" i="353"/>
  <c r="M1170" i="353"/>
  <c r="M1171" i="353"/>
  <c r="M1172" i="353"/>
  <c r="M1173" i="353"/>
  <c r="M1174" i="353"/>
  <c r="M1175" i="353"/>
  <c r="M1176" i="353"/>
  <c r="M1177" i="353"/>
  <c r="M1178" i="353"/>
  <c r="M1179" i="353"/>
  <c r="M1180" i="353"/>
  <c r="M1181" i="353"/>
  <c r="M1182" i="353"/>
  <c r="M1183" i="353"/>
  <c r="M1184" i="353"/>
  <c r="M1185" i="353"/>
  <c r="M1186" i="353"/>
  <c r="M1187" i="353"/>
  <c r="M1188" i="353"/>
  <c r="M1189" i="353"/>
  <c r="M1190" i="353"/>
  <c r="M1191" i="353"/>
  <c r="M1192" i="353"/>
  <c r="M1193" i="353"/>
  <c r="M1194" i="353"/>
  <c r="M1195" i="353"/>
  <c r="M1196" i="353"/>
  <c r="M1197" i="353"/>
  <c r="M1198" i="353"/>
  <c r="M1199" i="353"/>
  <c r="M1200" i="353"/>
  <c r="M1201" i="353"/>
  <c r="M1202" i="353"/>
  <c r="M1203" i="353"/>
  <c r="M1204" i="353"/>
  <c r="M1205" i="353"/>
  <c r="M1206" i="353"/>
  <c r="M1207" i="353"/>
  <c r="M1208" i="353"/>
  <c r="M1209" i="353"/>
  <c r="M1210" i="353"/>
  <c r="M1211" i="353"/>
  <c r="M1212" i="353"/>
  <c r="M1213" i="353"/>
  <c r="M1214" i="353"/>
  <c r="M1215" i="353"/>
  <c r="M1216" i="353"/>
  <c r="M1217" i="353"/>
  <c r="M1218" i="353"/>
  <c r="M1219" i="353"/>
  <c r="M1220" i="353"/>
  <c r="M1221" i="353"/>
  <c r="M1222" i="353"/>
  <c r="M1223" i="353"/>
  <c r="M1224" i="353"/>
  <c r="M1225" i="353"/>
  <c r="M1226" i="353"/>
  <c r="M1227" i="353"/>
  <c r="M1228" i="353"/>
  <c r="M1229" i="353"/>
  <c r="M1230" i="353"/>
  <c r="M1231" i="353"/>
  <c r="M1232" i="353"/>
  <c r="M1233" i="353"/>
  <c r="M1234" i="353"/>
  <c r="M1235" i="353"/>
  <c r="M1236" i="353"/>
  <c r="M1237" i="353"/>
  <c r="M1238" i="353"/>
  <c r="M1239" i="353"/>
  <c r="M1240" i="353"/>
  <c r="M1241" i="353"/>
  <c r="M1242" i="353"/>
  <c r="M1243" i="353"/>
  <c r="M1244" i="353"/>
  <c r="M1245" i="353"/>
  <c r="M1246" i="353"/>
  <c r="M1247" i="353"/>
  <c r="M1248" i="353"/>
  <c r="M1249" i="353"/>
  <c r="M1250" i="353"/>
  <c r="M1251" i="353"/>
  <c r="M1252" i="353"/>
  <c r="M1253" i="353"/>
  <c r="M1254" i="353"/>
  <c r="M1255" i="353"/>
  <c r="M1256" i="353"/>
  <c r="M1257" i="353"/>
  <c r="M1258" i="353"/>
  <c r="M1259" i="353"/>
  <c r="M1260" i="353"/>
  <c r="M1261" i="353"/>
  <c r="M1262" i="353"/>
  <c r="M1263" i="353"/>
  <c r="M1264" i="353"/>
  <c r="M1265" i="353"/>
  <c r="M1266" i="353"/>
  <c r="M1267" i="353"/>
  <c r="M1268" i="353"/>
  <c r="M1269" i="353"/>
  <c r="M1270" i="353"/>
  <c r="M1271" i="353"/>
  <c r="M1272" i="353"/>
  <c r="M1273" i="353"/>
  <c r="M1274" i="353"/>
  <c r="M1275" i="353"/>
  <c r="M1276" i="353"/>
  <c r="M1277" i="353"/>
  <c r="M1278" i="353"/>
  <c r="M1279" i="353"/>
  <c r="M1280" i="353"/>
  <c r="M1281" i="353"/>
  <c r="M1282" i="353"/>
  <c r="M1283" i="353"/>
  <c r="M1284" i="353"/>
  <c r="M1285" i="353"/>
  <c r="M1286" i="353"/>
  <c r="M1287" i="353"/>
  <c r="M1288" i="353"/>
  <c r="M1289" i="353"/>
  <c r="M1290" i="353"/>
  <c r="M1291" i="353"/>
  <c r="M1292" i="353"/>
  <c r="M1293" i="353"/>
  <c r="M1294" i="353"/>
  <c r="M1295" i="353"/>
  <c r="M1296" i="353"/>
  <c r="M1297" i="353"/>
  <c r="M1298" i="353"/>
  <c r="M1299" i="353"/>
  <c r="M1300" i="353"/>
  <c r="M1301" i="353"/>
  <c r="M1302" i="353"/>
  <c r="M1303" i="353"/>
  <c r="M1304" i="353"/>
  <c r="M1305" i="353"/>
  <c r="M1306" i="353"/>
  <c r="M1307" i="353"/>
  <c r="M1308" i="353"/>
  <c r="M1309" i="353"/>
  <c r="M1310" i="353"/>
  <c r="M1311" i="353"/>
  <c r="M1312" i="353"/>
  <c r="M1313" i="353"/>
  <c r="M1314" i="353"/>
  <c r="M1315" i="353"/>
  <c r="M1316" i="353"/>
  <c r="M1317" i="353"/>
  <c r="M1318" i="353"/>
  <c r="M1319" i="353"/>
  <c r="M1320" i="353"/>
  <c r="M1321" i="353"/>
  <c r="M1322" i="353"/>
  <c r="M1323" i="353"/>
  <c r="M1324" i="353"/>
  <c r="M1325" i="353"/>
  <c r="M1326" i="353"/>
  <c r="M1327" i="353"/>
  <c r="M1328" i="353"/>
  <c r="M1329" i="353"/>
  <c r="M1330" i="353"/>
  <c r="M1331" i="353"/>
  <c r="M1332" i="353"/>
  <c r="M1333" i="353"/>
  <c r="M1334" i="353"/>
  <c r="M1335" i="353"/>
  <c r="M1336" i="353"/>
  <c r="M1337" i="353"/>
  <c r="N1053" i="353"/>
  <c r="N1054" i="353"/>
  <c r="N1055" i="353"/>
  <c r="N1056" i="353"/>
  <c r="N1057" i="353"/>
  <c r="N1058" i="353"/>
  <c r="N1059" i="353"/>
  <c r="N1060" i="353"/>
  <c r="N1061" i="353"/>
  <c r="N1062" i="353"/>
  <c r="N1063" i="353"/>
  <c r="N1064" i="353"/>
  <c r="N1065" i="353"/>
  <c r="N1066" i="353"/>
  <c r="N1067" i="353"/>
  <c r="N1068" i="353"/>
  <c r="N1069" i="353"/>
  <c r="N1070" i="353"/>
  <c r="N1071" i="353"/>
  <c r="N1072" i="353"/>
  <c r="N1073" i="353"/>
  <c r="N1074" i="353"/>
  <c r="N1075" i="353"/>
  <c r="N1076" i="353"/>
  <c r="N1077" i="353"/>
  <c r="N1078" i="353"/>
  <c r="N1079" i="353"/>
  <c r="N1080" i="353"/>
  <c r="N1081" i="353"/>
  <c r="N1082" i="353"/>
  <c r="N1083" i="353"/>
  <c r="N1084" i="353"/>
  <c r="N1085" i="353"/>
  <c r="N1086" i="353"/>
  <c r="N1087" i="353"/>
  <c r="N1088" i="353"/>
  <c r="N1089" i="353"/>
  <c r="N1090" i="353"/>
  <c r="N1091" i="353"/>
  <c r="N1092" i="353"/>
  <c r="N1093" i="353"/>
  <c r="N1094" i="353"/>
  <c r="N1095" i="353"/>
  <c r="N1096" i="353"/>
  <c r="N1097" i="353"/>
  <c r="N1098" i="353"/>
  <c r="N1099" i="353"/>
  <c r="N1100" i="353"/>
  <c r="N1101" i="353"/>
  <c r="N1102" i="353"/>
  <c r="N1103" i="353"/>
  <c r="N1104" i="353"/>
  <c r="N1105" i="353"/>
  <c r="N1106" i="353"/>
  <c r="N1107" i="353"/>
  <c r="N1108" i="353"/>
  <c r="N1109" i="353"/>
  <c r="N1110" i="353"/>
  <c r="N1111" i="353"/>
  <c r="N1112" i="353"/>
  <c r="N1113" i="353"/>
  <c r="N1114" i="353"/>
  <c r="N1115" i="353"/>
  <c r="N1116" i="353"/>
  <c r="N1117" i="353"/>
  <c r="N1118" i="353"/>
  <c r="N1119" i="353"/>
  <c r="N1120" i="353"/>
  <c r="N1121" i="353"/>
  <c r="N1122" i="353"/>
  <c r="N1123" i="353"/>
  <c r="N1124" i="353"/>
  <c r="N1125" i="353"/>
  <c r="N1126" i="353"/>
  <c r="N1127" i="353"/>
  <c r="N1128" i="353"/>
  <c r="N1129" i="353"/>
  <c r="N1130" i="353"/>
  <c r="N1131" i="353"/>
  <c r="N1132" i="353"/>
  <c r="N1133" i="353"/>
  <c r="N1134" i="353"/>
  <c r="N1135" i="353"/>
  <c r="N1136" i="353"/>
  <c r="N1137" i="353"/>
  <c r="N1138" i="353"/>
  <c r="N1139" i="353"/>
  <c r="N1140" i="353"/>
  <c r="N1141" i="353"/>
  <c r="N1142" i="353"/>
  <c r="N1143" i="353"/>
  <c r="N1144" i="353"/>
  <c r="N1145" i="353"/>
  <c r="N1146" i="353"/>
  <c r="N1147" i="353"/>
  <c r="N1148" i="353"/>
  <c r="N1149" i="353"/>
  <c r="N1150" i="353"/>
  <c r="N1151" i="353"/>
  <c r="N1152" i="353"/>
  <c r="N1153" i="353"/>
  <c r="N1154" i="353"/>
  <c r="N1155" i="353"/>
  <c r="N1156" i="353"/>
  <c r="N1157" i="353"/>
  <c r="N1158" i="353"/>
  <c r="N1159" i="353"/>
  <c r="N1160" i="353"/>
  <c r="N1161" i="353"/>
  <c r="N1162" i="353"/>
  <c r="N1163" i="353"/>
  <c r="N1164" i="353"/>
  <c r="N1165" i="353"/>
  <c r="N1166" i="353"/>
  <c r="N1167" i="353"/>
  <c r="N1168" i="353"/>
  <c r="N1169" i="353"/>
  <c r="N1170" i="353"/>
  <c r="N1171" i="353"/>
  <c r="N1172" i="353"/>
  <c r="N1173" i="353"/>
  <c r="N1174" i="353"/>
  <c r="N1175" i="353"/>
  <c r="N1176" i="353"/>
  <c r="N1177" i="353"/>
  <c r="N1178" i="353"/>
  <c r="N1179" i="353"/>
  <c r="N1180" i="353"/>
  <c r="N1181" i="353"/>
  <c r="N1182" i="353"/>
  <c r="N1183" i="353"/>
  <c r="N1184" i="353"/>
  <c r="N1185" i="353"/>
  <c r="N1186" i="353"/>
  <c r="N1187" i="353"/>
  <c r="N1188" i="353"/>
  <c r="N1189" i="353"/>
  <c r="N1190" i="353"/>
  <c r="N1191" i="353"/>
  <c r="N1192" i="353"/>
  <c r="N1193" i="353"/>
  <c r="N1194" i="353"/>
  <c r="N1195" i="353"/>
  <c r="N1196" i="353"/>
  <c r="N1197" i="353"/>
  <c r="N1198" i="353"/>
  <c r="N1199" i="353"/>
  <c r="N1200" i="353"/>
  <c r="N1201" i="353"/>
  <c r="N1202" i="353"/>
  <c r="N1203" i="353"/>
  <c r="N1204" i="353"/>
  <c r="N1205" i="353"/>
  <c r="N1206" i="353"/>
  <c r="N1207" i="353"/>
  <c r="N1208" i="353"/>
  <c r="N1209" i="353"/>
  <c r="N1210" i="353"/>
  <c r="N1211" i="353"/>
  <c r="N1212" i="353"/>
  <c r="N1213" i="353"/>
  <c r="N1214" i="353"/>
  <c r="N1215" i="353"/>
  <c r="N1216" i="353"/>
  <c r="N1217" i="353"/>
  <c r="N1218" i="353"/>
  <c r="N1219" i="353"/>
  <c r="N1220" i="353"/>
  <c r="N1221" i="353"/>
  <c r="N1222" i="353"/>
  <c r="N1223" i="353"/>
  <c r="N1224" i="353"/>
  <c r="N1225" i="353"/>
  <c r="N1226" i="353"/>
  <c r="N1227" i="353"/>
  <c r="N1228" i="353"/>
  <c r="N1229" i="353"/>
  <c r="N1230" i="353"/>
  <c r="N1231" i="353"/>
  <c r="N1232" i="353"/>
  <c r="N1233" i="353"/>
  <c r="N1234" i="353"/>
  <c r="N1235" i="353"/>
  <c r="N1236" i="353"/>
  <c r="N1237" i="353"/>
  <c r="N1238" i="353"/>
  <c r="N1239" i="353"/>
  <c r="N1240" i="353"/>
  <c r="N1241" i="353"/>
  <c r="N1242" i="353"/>
  <c r="N1243" i="353"/>
  <c r="N1244" i="353"/>
  <c r="N1245" i="353"/>
  <c r="N1246" i="353"/>
  <c r="N1247" i="353"/>
  <c r="N1248" i="353"/>
  <c r="N1249" i="353"/>
  <c r="N1250" i="353"/>
  <c r="N1251" i="353"/>
  <c r="N1252" i="353"/>
  <c r="N1253" i="353"/>
  <c r="N1254" i="353"/>
  <c r="N1255" i="353"/>
  <c r="N1256" i="353"/>
  <c r="N1257" i="353"/>
  <c r="N1258" i="353"/>
  <c r="N1259" i="353"/>
  <c r="N1260" i="353"/>
  <c r="N1261" i="353"/>
  <c r="N1262" i="353"/>
  <c r="N1263" i="353"/>
  <c r="N1264" i="353"/>
  <c r="N1265" i="353"/>
  <c r="N1266" i="353"/>
  <c r="N1267" i="353"/>
  <c r="N1268" i="353"/>
  <c r="N1269" i="353"/>
  <c r="N1270" i="353"/>
  <c r="N1271" i="353"/>
  <c r="N1272" i="353"/>
  <c r="N1273" i="353"/>
  <c r="N1274" i="353"/>
  <c r="N1275" i="353"/>
  <c r="N1276" i="353"/>
  <c r="N1277" i="353"/>
  <c r="N1278" i="353"/>
  <c r="N1279" i="353"/>
  <c r="N1280" i="353"/>
  <c r="N1281" i="353"/>
  <c r="N1282" i="353"/>
  <c r="N1283" i="353"/>
  <c r="N1284" i="353"/>
  <c r="N1285" i="353"/>
  <c r="N1286" i="353"/>
  <c r="N1287" i="353"/>
  <c r="N1288" i="353"/>
  <c r="N1289" i="353"/>
  <c r="N1290" i="353"/>
  <c r="N1291" i="353"/>
  <c r="N1292" i="353"/>
  <c r="N1293" i="353"/>
  <c r="N1294" i="353"/>
  <c r="N1295" i="353"/>
  <c r="N1296" i="353"/>
  <c r="N1297" i="353"/>
  <c r="N1298" i="353"/>
  <c r="N1299" i="353"/>
  <c r="N1300" i="353"/>
  <c r="N1301" i="353"/>
  <c r="N1302" i="353"/>
  <c r="N1303" i="353"/>
  <c r="N1304" i="353"/>
  <c r="N1305" i="353"/>
  <c r="N1306" i="353"/>
  <c r="N1307" i="353"/>
  <c r="N1308" i="353"/>
  <c r="N1309" i="353"/>
  <c r="N1310" i="353"/>
  <c r="N1311" i="353"/>
  <c r="N1312" i="353"/>
  <c r="N1313" i="353"/>
  <c r="N1314" i="353"/>
  <c r="N1315" i="353"/>
  <c r="N1316" i="353"/>
  <c r="N1317" i="353"/>
  <c r="N1318" i="353"/>
  <c r="N1319" i="353"/>
  <c r="N1320" i="353"/>
  <c r="N1321" i="353"/>
  <c r="N1322" i="353"/>
  <c r="N1323" i="353"/>
  <c r="N1324" i="353"/>
  <c r="N1325" i="353"/>
  <c r="N1326" i="353"/>
  <c r="N1327" i="353"/>
  <c r="N1328" i="353"/>
  <c r="N1329" i="353"/>
  <c r="N1330" i="353"/>
  <c r="N1331" i="353"/>
  <c r="N1332" i="353"/>
  <c r="N1333" i="353"/>
  <c r="N1334" i="353"/>
  <c r="N1335" i="353"/>
  <c r="N1336" i="353"/>
  <c r="N1337" i="353"/>
  <c r="O1042" i="353" l="1"/>
  <c r="O1026" i="353"/>
  <c r="O986" i="353"/>
  <c r="O970" i="353"/>
  <c r="O955" i="353"/>
  <c r="O923" i="353"/>
  <c r="O915" i="353"/>
  <c r="O907" i="353"/>
  <c r="O899" i="353"/>
  <c r="O875" i="353"/>
  <c r="O845" i="353"/>
  <c r="O814" i="353"/>
  <c r="O782" i="353"/>
  <c r="O774" i="353"/>
  <c r="O750" i="353"/>
  <c r="O742" i="353"/>
  <c r="O711" i="353"/>
  <c r="O679" i="353"/>
  <c r="O665" i="353"/>
  <c r="O1337" i="353"/>
  <c r="O1298" i="353"/>
  <c r="O1253" i="353"/>
  <c r="O1190" i="353"/>
  <c r="O1182" i="353"/>
  <c r="O1119" i="353"/>
  <c r="O1079" i="353"/>
  <c r="O1055" i="353"/>
  <c r="O890" i="353"/>
  <c r="O797" i="353"/>
  <c r="O953" i="353"/>
  <c r="O945" i="353"/>
  <c r="O615" i="353"/>
  <c r="O497" i="353"/>
  <c r="O449" i="353"/>
  <c r="O328" i="353"/>
  <c r="O265" i="353"/>
  <c r="O241" i="353"/>
  <c r="O217" i="353"/>
  <c r="O185" i="353"/>
  <c r="O177" i="353"/>
  <c r="O137" i="353"/>
  <c r="O129" i="353"/>
  <c r="O93" i="353"/>
  <c r="O77" i="353"/>
  <c r="O55" i="353"/>
  <c r="O32" i="353"/>
  <c r="O560" i="353"/>
  <c r="O448" i="353"/>
  <c r="O368" i="353"/>
  <c r="O360" i="353"/>
  <c r="O295" i="353"/>
  <c r="O264" i="353"/>
  <c r="O240" i="353"/>
  <c r="O224" i="353"/>
  <c r="O192" i="353"/>
  <c r="O176" i="353"/>
  <c r="O76" i="353"/>
  <c r="O47" i="353"/>
  <c r="O31" i="353"/>
  <c r="O7" i="353"/>
  <c r="O621" i="353"/>
  <c r="O559" i="353"/>
  <c r="O6" i="353"/>
  <c r="O1336" i="353"/>
  <c r="O1304" i="353"/>
  <c r="O1276" i="353"/>
  <c r="O1268" i="353"/>
  <c r="O1181" i="353"/>
  <c r="O1150" i="353"/>
  <c r="O1142" i="353"/>
  <c r="O1126" i="353"/>
  <c r="O1054" i="353"/>
  <c r="O722" i="353"/>
  <c r="O1044" i="353"/>
  <c r="O1036" i="353"/>
  <c r="O996" i="353"/>
  <c r="O925" i="353"/>
  <c r="O909" i="353"/>
  <c r="O877" i="353"/>
  <c r="O760" i="353"/>
  <c r="O729" i="353"/>
  <c r="O697" i="353"/>
  <c r="O689" i="353"/>
  <c r="O635" i="353"/>
  <c r="O619" i="353"/>
  <c r="O597" i="353"/>
  <c r="O581" i="353"/>
  <c r="O549" i="353"/>
  <c r="O533" i="353"/>
  <c r="O501" i="353"/>
  <c r="O485" i="353"/>
  <c r="O421" i="353"/>
  <c r="O397" i="353"/>
  <c r="O332" i="353"/>
  <c r="O316" i="353"/>
  <c r="O292" i="353"/>
  <c r="O277" i="353"/>
  <c r="O245" i="353"/>
  <c r="O213" i="353"/>
  <c r="O165" i="353"/>
  <c r="O149" i="353"/>
  <c r="O141" i="353"/>
  <c r="O125" i="353"/>
  <c r="O81" i="353"/>
  <c r="O59" i="353"/>
  <c r="O1043" i="353"/>
  <c r="O1027" i="353"/>
  <c r="O995" i="353"/>
  <c r="O987" i="353"/>
  <c r="O979" i="353"/>
  <c r="O971" i="353"/>
  <c r="O963" i="353"/>
  <c r="O924" i="353"/>
  <c r="O908" i="353"/>
  <c r="O884" i="353"/>
  <c r="O876" i="353"/>
  <c r="O846" i="353"/>
  <c r="O815" i="353"/>
  <c r="O807" i="353"/>
  <c r="O783" i="353"/>
  <c r="O775" i="353"/>
  <c r="O759" i="353"/>
  <c r="O743" i="353"/>
  <c r="O728" i="353"/>
  <c r="O712" i="353"/>
  <c r="O696" i="353"/>
  <c r="O680" i="353"/>
  <c r="O666" i="353"/>
  <c r="O658" i="353"/>
  <c r="O618" i="353"/>
  <c r="O603" i="353"/>
  <c r="O1049" i="353"/>
  <c r="O1041" i="353"/>
  <c r="O1033" i="353"/>
  <c r="O1025" i="353"/>
  <c r="O1017" i="353"/>
  <c r="O1009" i="353"/>
  <c r="O1001" i="353"/>
  <c r="O993" i="353"/>
  <c r="O985" i="353"/>
  <c r="O977" i="353"/>
  <c r="O969" i="353"/>
  <c r="O961" i="353"/>
  <c r="O954" i="353"/>
  <c r="O946" i="353"/>
  <c r="O938" i="353"/>
  <c r="O930" i="353"/>
  <c r="O922" i="353"/>
  <c r="O914" i="353"/>
  <c r="O906" i="353"/>
  <c r="O898" i="353"/>
  <c r="O882" i="353"/>
  <c r="O874" i="353"/>
  <c r="O867" i="353"/>
  <c r="O860" i="353"/>
  <c r="O852" i="353"/>
  <c r="O844" i="353"/>
  <c r="O836" i="353"/>
  <c r="O828" i="353"/>
  <c r="O821" i="353"/>
  <c r="O813" i="353"/>
  <c r="O805" i="353"/>
  <c r="O789" i="353"/>
  <c r="O781" i="353"/>
  <c r="O773" i="353"/>
  <c r="O765" i="353"/>
  <c r="O757" i="353"/>
  <c r="O749" i="353"/>
  <c r="O741" i="353"/>
  <c r="O734" i="353"/>
  <c r="O726" i="353"/>
  <c r="O718" i="353"/>
  <c r="O710" i="353"/>
  <c r="O702" i="353"/>
  <c r="O694" i="353"/>
  <c r="O686" i="353"/>
  <c r="O678" i="353"/>
  <c r="O671" i="353"/>
  <c r="O664" i="353"/>
  <c r="O656" i="353"/>
  <c r="O648" i="353"/>
  <c r="O640" i="353"/>
  <c r="O632" i="353"/>
  <c r="O624" i="353"/>
  <c r="O616" i="353"/>
  <c r="O609" i="353"/>
  <c r="O601" i="353"/>
  <c r="O594" i="353"/>
  <c r="O586" i="353"/>
  <c r="O578" i="353"/>
  <c r="O570" i="353"/>
  <c r="O562" i="353"/>
  <c r="O554" i="353"/>
  <c r="O546" i="353"/>
  <c r="O538" i="353"/>
  <c r="O530" i="353"/>
  <c r="O522" i="353"/>
  <c r="O514" i="353"/>
  <c r="O506" i="353"/>
  <c r="O498" i="353"/>
  <c r="O490" i="353"/>
  <c r="O482" i="353"/>
  <c r="O474" i="353"/>
  <c r="O466" i="353"/>
  <c r="O458" i="353"/>
  <c r="O450" i="353"/>
  <c r="O442" i="353"/>
  <c r="O434" i="353"/>
  <c r="O426" i="353"/>
  <c r="O418" i="353"/>
  <c r="O410" i="353"/>
  <c r="O402" i="353"/>
  <c r="O394" i="353"/>
  <c r="O386" i="353"/>
  <c r="O378" i="353"/>
  <c r="O370" i="353"/>
  <c r="O362" i="353"/>
  <c r="O354" i="353"/>
  <c r="O346" i="353"/>
  <c r="O337" i="353"/>
  <c r="O329" i="353"/>
  <c r="O321" i="353"/>
  <c r="O313" i="353"/>
  <c r="O305" i="353"/>
  <c r="O297" i="353"/>
  <c r="O290" i="353"/>
  <c r="O282" i="353"/>
  <c r="O274" i="353"/>
  <c r="O266" i="353"/>
  <c r="O258" i="353"/>
  <c r="O250" i="353"/>
  <c r="O242" i="353"/>
  <c r="O234" i="353"/>
  <c r="O226" i="353"/>
  <c r="O218" i="353"/>
  <c r="O210" i="353"/>
  <c r="O202" i="353"/>
  <c r="O194" i="353"/>
  <c r="O186" i="353"/>
  <c r="O178" i="353"/>
  <c r="O170" i="353"/>
  <c r="O162" i="353"/>
  <c r="O154" i="353"/>
  <c r="O146" i="353"/>
  <c r="O138" i="353"/>
  <c r="O130" i="353"/>
  <c r="O122" i="353"/>
  <c r="O115" i="353"/>
  <c r="O107" i="353"/>
  <c r="O101" i="353"/>
  <c r="O94" i="353"/>
  <c r="O86" i="353"/>
  <c r="O78" i="353"/>
  <c r="O70" i="353"/>
  <c r="O56" i="353"/>
  <c r="O49" i="353"/>
  <c r="O41" i="353"/>
  <c r="O33" i="353"/>
  <c r="O25" i="353"/>
  <c r="O17" i="353"/>
  <c r="O9" i="353"/>
  <c r="O1032" i="353"/>
  <c r="O1008" i="353"/>
  <c r="O968" i="353"/>
  <c r="O921" i="353"/>
  <c r="O889" i="353"/>
  <c r="O859" i="353"/>
  <c r="O820" i="353"/>
  <c r="O819" i="353"/>
  <c r="O1048" i="353"/>
  <c r="O1024" i="353"/>
  <c r="O992" i="353"/>
  <c r="O976" i="353"/>
  <c r="O929" i="353"/>
  <c r="O897" i="353"/>
  <c r="O866" i="353"/>
  <c r="O843" i="353"/>
  <c r="O827" i="353"/>
  <c r="O804" i="353"/>
  <c r="O788" i="353"/>
  <c r="O780" i="353"/>
  <c r="O756" i="353"/>
  <c r="O1047" i="353"/>
  <c r="O1031" i="353"/>
  <c r="O1007" i="353"/>
  <c r="O983" i="353"/>
  <c r="O959" i="353"/>
  <c r="O944" i="353"/>
  <c r="O920" i="353"/>
  <c r="O904" i="353"/>
  <c r="O888" i="353"/>
  <c r="O865" i="353"/>
  <c r="O850" i="353"/>
  <c r="O834" i="353"/>
  <c r="O811" i="353"/>
  <c r="O795" i="353"/>
  <c r="O771" i="353"/>
  <c r="O1040" i="353"/>
  <c r="O1016" i="353"/>
  <c r="O1000" i="353"/>
  <c r="O984" i="353"/>
  <c r="O937" i="353"/>
  <c r="O913" i="353"/>
  <c r="O873" i="353"/>
  <c r="O851" i="353"/>
  <c r="O835" i="353"/>
  <c r="O812" i="353"/>
  <c r="O796" i="353"/>
  <c r="O772" i="353"/>
  <c r="O764" i="353"/>
  <c r="O1039" i="353"/>
  <c r="O1015" i="353"/>
  <c r="O991" i="353"/>
  <c r="O975" i="353"/>
  <c r="O952" i="353"/>
  <c r="O936" i="353"/>
  <c r="O912" i="353"/>
  <c r="O896" i="353"/>
  <c r="O880" i="353"/>
  <c r="O872" i="353"/>
  <c r="O858" i="353"/>
  <c r="O826" i="353"/>
  <c r="O803" i="353"/>
  <c r="O787" i="353"/>
  <c r="O779" i="353"/>
  <c r="O881" i="353"/>
  <c r="O1023" i="353"/>
  <c r="O999" i="353"/>
  <c r="O967" i="353"/>
  <c r="O928" i="353"/>
  <c r="O842" i="353"/>
  <c r="O748" i="353"/>
  <c r="O740" i="353"/>
  <c r="O733" i="353"/>
  <c r="O725" i="353"/>
  <c r="O717" i="353"/>
  <c r="O709" i="353"/>
  <c r="O701" i="353"/>
  <c r="O693" i="353"/>
  <c r="O685" i="353"/>
  <c r="O677" i="353"/>
  <c r="O663" i="353"/>
  <c r="O655" i="353"/>
  <c r="O647" i="353"/>
  <c r="O631" i="353"/>
  <c r="O623" i="353"/>
  <c r="O608" i="353"/>
  <c r="O600" i="353"/>
  <c r="O593" i="353"/>
  <c r="O585" i="353"/>
  <c r="O569" i="353"/>
  <c r="O561" i="353"/>
  <c r="O553" i="353"/>
  <c r="O529" i="353"/>
  <c r="O521" i="353"/>
  <c r="O505" i="353"/>
  <c r="O489" i="353"/>
  <c r="O473" i="353"/>
  <c r="O465" i="353"/>
  <c r="O457" i="353"/>
  <c r="O441" i="353"/>
  <c r="O425" i="353"/>
  <c r="O417" i="353"/>
  <c r="O401" i="353"/>
  <c r="O393" i="353"/>
  <c r="O385" i="353"/>
  <c r="O377" i="353"/>
  <c r="O369" i="353"/>
  <c r="O361" i="353"/>
  <c r="O353" i="353"/>
  <c r="O336" i="353"/>
  <c r="O320" i="353"/>
  <c r="O312" i="353"/>
  <c r="O304" i="353"/>
  <c r="O296" i="353"/>
  <c r="O289" i="353"/>
  <c r="O273" i="353"/>
  <c r="O233" i="353"/>
  <c r="O225" i="353"/>
  <c r="O209" i="353"/>
  <c r="O169" i="353"/>
  <c r="O145" i="353"/>
  <c r="O106" i="353"/>
  <c r="O100" i="353"/>
  <c r="O85" i="353"/>
  <c r="O48" i="353"/>
  <c r="O40" i="353"/>
  <c r="O24" i="353"/>
  <c r="O763" i="353"/>
  <c r="O755" i="353"/>
  <c r="O747" i="353"/>
  <c r="O739" i="353"/>
  <c r="O732" i="353"/>
  <c r="O724" i="353"/>
  <c r="O716" i="353"/>
  <c r="O708" i="353"/>
  <c r="O700" i="353"/>
  <c r="O692" i="353"/>
  <c r="O684" i="353"/>
  <c r="O676" i="353"/>
  <c r="O669" i="353"/>
  <c r="O662" i="353"/>
  <c r="O654" i="353"/>
  <c r="O646" i="353"/>
  <c r="O638" i="353"/>
  <c r="O630" i="353"/>
  <c r="O622" i="353"/>
  <c r="O614" i="353"/>
  <c r="O607" i="353"/>
  <c r="O599" i="353"/>
  <c r="O592" i="353"/>
  <c r="O584" i="353"/>
  <c r="O576" i="353"/>
  <c r="O568" i="353"/>
  <c r="O552" i="353"/>
  <c r="O544" i="353"/>
  <c r="O536" i="353"/>
  <c r="O528" i="353"/>
  <c r="O520" i="353"/>
  <c r="O512" i="353"/>
  <c r="O504" i="353"/>
  <c r="O496" i="353"/>
  <c r="O488" i="353"/>
  <c r="O480" i="353"/>
  <c r="O472" i="353"/>
  <c r="O464" i="353"/>
  <c r="O456" i="353"/>
  <c r="O440" i="353"/>
  <c r="O432" i="353"/>
  <c r="O424" i="353"/>
  <c r="O416" i="353"/>
  <c r="O408" i="353"/>
  <c r="O400" i="353"/>
  <c r="O392" i="353"/>
  <c r="O384" i="353"/>
  <c r="O376" i="353"/>
  <c r="O352" i="353"/>
  <c r="O344" i="353"/>
  <c r="O335" i="353"/>
  <c r="O327" i="353"/>
  <c r="O319" i="353"/>
  <c r="O311" i="353"/>
  <c r="O303" i="353"/>
  <c r="O288" i="353"/>
  <c r="O280" i="353"/>
  <c r="O272" i="353"/>
  <c r="O256" i="353"/>
  <c r="O248" i="353"/>
  <c r="O232" i="353"/>
  <c r="O216" i="353"/>
  <c r="O208" i="353"/>
  <c r="O200" i="353"/>
  <c r="O184" i="353"/>
  <c r="O168" i="353"/>
  <c r="O160" i="353"/>
  <c r="O152" i="353"/>
  <c r="O144" i="353"/>
  <c r="O136" i="353"/>
  <c r="O128" i="353"/>
  <c r="O121" i="353"/>
  <c r="O113" i="353"/>
  <c r="O99" i="353"/>
  <c r="O92" i="353"/>
  <c r="O84" i="353"/>
  <c r="O62" i="353"/>
  <c r="O39" i="353"/>
  <c r="O23" i="353"/>
  <c r="O15" i="353"/>
  <c r="O1046" i="353"/>
  <c r="O1038" i="353"/>
  <c r="O1030" i="353"/>
  <c r="O1022" i="353"/>
  <c r="O1014" i="353"/>
  <c r="O1006" i="353"/>
  <c r="O998" i="353"/>
  <c r="O990" i="353"/>
  <c r="O982" i="353"/>
  <c r="O974" i="353"/>
  <c r="O966" i="353"/>
  <c r="O958" i="353"/>
  <c r="O951" i="353"/>
  <c r="O943" i="353"/>
  <c r="O935" i="353"/>
  <c r="O927" i="353"/>
  <c r="O919" i="353"/>
  <c r="O911" i="353"/>
  <c r="O903" i="353"/>
  <c r="O895" i="353"/>
  <c r="O887" i="353"/>
  <c r="O857" i="353"/>
  <c r="O833" i="353"/>
  <c r="O794" i="353"/>
  <c r="O762" i="353"/>
  <c r="O731" i="353"/>
  <c r="O707" i="353"/>
  <c r="O606" i="353"/>
  <c r="O575" i="353"/>
  <c r="O471" i="353"/>
  <c r="O455" i="353"/>
  <c r="O447" i="353"/>
  <c r="O431" i="353"/>
  <c r="O399" i="353"/>
  <c r="O343" i="353"/>
  <c r="O294" i="353"/>
  <c r="O263" i="353"/>
  <c r="O215" i="353"/>
  <c r="O191" i="353"/>
  <c r="O175" i="353"/>
  <c r="O143" i="353"/>
  <c r="O30" i="353"/>
  <c r="O1328" i="353"/>
  <c r="O1320" i="353"/>
  <c r="O1312" i="353"/>
  <c r="O1290" i="353"/>
  <c r="O1283" i="353"/>
  <c r="O1260" i="353"/>
  <c r="O1252" i="353"/>
  <c r="O1244" i="353"/>
  <c r="O1236" i="353"/>
  <c r="O1228" i="353"/>
  <c r="O1221" i="353"/>
  <c r="O1213" i="353"/>
  <c r="O1205" i="353"/>
  <c r="O1197" i="353"/>
  <c r="O1189" i="353"/>
  <c r="O1173" i="353"/>
  <c r="O1165" i="353"/>
  <c r="O1157" i="353"/>
  <c r="O1134" i="353"/>
  <c r="O1118" i="353"/>
  <c r="O1110" i="353"/>
  <c r="O1102" i="353"/>
  <c r="O1094" i="353"/>
  <c r="O1086" i="353"/>
  <c r="O1078" i="353"/>
  <c r="O1070" i="353"/>
  <c r="O1062" i="353"/>
  <c r="O848" i="353"/>
  <c r="O801" i="353"/>
  <c r="O675" i="353"/>
  <c r="O628" i="353"/>
  <c r="O550" i="353"/>
  <c r="O502" i="353"/>
  <c r="O470" i="353"/>
  <c r="O446" i="353"/>
  <c r="O430" i="353"/>
  <c r="O398" i="353"/>
  <c r="O333" i="353"/>
  <c r="O309" i="353"/>
  <c r="O293" i="353"/>
  <c r="O278" i="353"/>
  <c r="O214" i="353"/>
  <c r="O174" i="353"/>
  <c r="O142" i="353"/>
  <c r="O53" i="353"/>
  <c r="O641" i="353"/>
  <c r="O1314" i="353"/>
  <c r="O1330" i="353"/>
  <c r="O1322" i="353"/>
  <c r="O1306" i="353"/>
  <c r="O1292" i="353"/>
  <c r="O1278" i="353"/>
  <c r="O1262" i="353"/>
  <c r="O1246" i="353"/>
  <c r="O1238" i="353"/>
  <c r="O1223" i="353"/>
  <c r="O1215" i="353"/>
  <c r="O1199" i="353"/>
  <c r="O1285" i="353"/>
  <c r="O1270" i="353"/>
  <c r="O1254" i="353"/>
  <c r="O1230" i="353"/>
  <c r="O1207" i="353"/>
  <c r="O1329" i="353"/>
  <c r="O1321" i="353"/>
  <c r="O1313" i="353"/>
  <c r="O1305" i="353"/>
  <c r="O1291" i="353"/>
  <c r="O1284" i="353"/>
  <c r="O1277" i="353"/>
  <c r="O1269" i="353"/>
  <c r="O1261" i="353"/>
  <c r="O1245" i="353"/>
  <c r="O1237" i="353"/>
  <c r="O1229" i="353"/>
  <c r="O1222" i="353"/>
  <c r="O1214" i="353"/>
  <c r="O1206" i="353"/>
  <c r="O1198" i="353"/>
  <c r="O1174" i="353"/>
  <c r="O1166" i="353"/>
  <c r="O1158" i="353"/>
  <c r="O1151" i="353"/>
  <c r="O1143" i="353"/>
  <c r="O1135" i="353"/>
  <c r="O1127" i="353"/>
  <c r="O1111" i="353"/>
  <c r="O1103" i="353"/>
  <c r="O1095" i="353"/>
  <c r="O1087" i="353"/>
  <c r="O1071" i="353"/>
  <c r="O1063" i="353"/>
  <c r="O1326" i="353"/>
  <c r="O1318" i="353"/>
  <c r="O1302" i="353"/>
  <c r="O1296" i="353"/>
  <c r="O1288" i="353"/>
  <c r="O1281" i="353"/>
  <c r="O1266" i="353"/>
  <c r="O1258" i="353"/>
  <c r="O1242" i="353"/>
  <c r="O1234" i="353"/>
  <c r="O1226" i="353"/>
  <c r="O1219" i="353"/>
  <c r="O1203" i="353"/>
  <c r="O1195" i="353"/>
  <c r="O1179" i="353"/>
  <c r="O1171" i="353"/>
  <c r="O1163" i="353"/>
  <c r="O1155" i="353"/>
  <c r="O1140" i="353"/>
  <c r="O1132" i="353"/>
  <c r="O1116" i="353"/>
  <c r="O1108" i="353"/>
  <c r="O1100" i="353"/>
  <c r="O1092" i="353"/>
  <c r="O1076" i="353"/>
  <c r="O1068" i="353"/>
  <c r="O1013" i="353"/>
  <c r="O997" i="353"/>
  <c r="O926" i="353"/>
  <c r="O894" i="353"/>
  <c r="O878" i="353"/>
  <c r="O1191" i="353"/>
  <c r="O1183" i="353"/>
  <c r="O1175" i="353"/>
  <c r="O1167" i="353"/>
  <c r="O1159" i="353"/>
  <c r="O1144" i="353"/>
  <c r="O1136" i="353"/>
  <c r="O1128" i="353"/>
  <c r="O1120" i="353"/>
  <c r="O1112" i="353"/>
  <c r="O1104" i="353"/>
  <c r="O1096" i="353"/>
  <c r="O1088" i="353"/>
  <c r="O1080" i="353"/>
  <c r="O1072" i="353"/>
  <c r="O1064" i="353"/>
  <c r="O1056" i="353"/>
  <c r="O960" i="353"/>
  <c r="O905" i="353"/>
  <c r="O670" i="353"/>
  <c r="O577" i="353"/>
  <c r="O513" i="353"/>
  <c r="O433" i="353"/>
  <c r="O281" i="353"/>
  <c r="O1327" i="353"/>
  <c r="O1319" i="353"/>
  <c r="O1311" i="353"/>
  <c r="O1303" i="353"/>
  <c r="O1289" i="353"/>
  <c r="O1282" i="353"/>
  <c r="O1267" i="353"/>
  <c r="O1259" i="353"/>
  <c r="O1251" i="353"/>
  <c r="O1243" i="353"/>
  <c r="O1227" i="353"/>
  <c r="O1220" i="353"/>
  <c r="O1204" i="353"/>
  <c r="O1196" i="353"/>
  <c r="O1188" i="353"/>
  <c r="O1180" i="353"/>
  <c r="O1164" i="353"/>
  <c r="O1156" i="353"/>
  <c r="O1141" i="353"/>
  <c r="O1133" i="353"/>
  <c r="O1125" i="353"/>
  <c r="O1117" i="353"/>
  <c r="O1101" i="353"/>
  <c r="O1093" i="353"/>
  <c r="O1077" i="353"/>
  <c r="O1069" i="353"/>
  <c r="O1061" i="353"/>
  <c r="O1053" i="353"/>
  <c r="O639" i="353"/>
  <c r="O545" i="353"/>
  <c r="O537" i="353"/>
  <c r="O481" i="353"/>
  <c r="O409" i="353"/>
  <c r="O345" i="353"/>
  <c r="O257" i="353"/>
  <c r="O249" i="353"/>
  <c r="O201" i="353"/>
  <c r="O193" i="353"/>
  <c r="O161" i="353"/>
  <c r="O153" i="353"/>
  <c r="O114" i="353"/>
  <c r="O69" i="353"/>
  <c r="O63" i="353"/>
  <c r="O16" i="353"/>
  <c r="O8" i="353"/>
  <c r="O825" i="353"/>
  <c r="O645" i="353"/>
  <c r="O535" i="353"/>
  <c r="O367" i="353"/>
  <c r="O231" i="353"/>
  <c r="O199" i="353"/>
  <c r="O75" i="353"/>
  <c r="O864" i="353"/>
  <c r="O832" i="353"/>
  <c r="O730" i="353"/>
  <c r="O698" i="353"/>
  <c r="O690" i="353"/>
  <c r="O644" i="353"/>
  <c r="O620" i="353"/>
  <c r="O534" i="353"/>
  <c r="O366" i="353"/>
  <c r="O317" i="353"/>
  <c r="O246" i="353"/>
  <c r="O190" i="353"/>
  <c r="O126" i="353"/>
  <c r="O60" i="353"/>
  <c r="O29" i="353"/>
  <c r="O580" i="353"/>
  <c r="O657" i="353"/>
  <c r="O1317" i="353"/>
  <c r="O1257" i="353"/>
  <c r="O1233" i="353"/>
  <c r="O1218" i="353"/>
  <c r="O1194" i="353"/>
  <c r="O1083" i="353"/>
  <c r="O981" i="353"/>
  <c r="O942" i="353"/>
  <c r="O793" i="353"/>
  <c r="O761" i="353"/>
  <c r="O1052" i="353"/>
  <c r="O1028" i="353"/>
  <c r="O1020" i="353"/>
  <c r="O1012" i="353"/>
  <c r="O1004" i="353"/>
  <c r="O988" i="353"/>
  <c r="O980" i="353"/>
  <c r="O972" i="353"/>
  <c r="O964" i="353"/>
  <c r="O956" i="353"/>
  <c r="O949" i="353"/>
  <c r="O941" i="353"/>
  <c r="O933" i="353"/>
  <c r="O917" i="353"/>
  <c r="O901" i="353"/>
  <c r="O893" i="353"/>
  <c r="O885" i="353"/>
  <c r="O869" i="353"/>
  <c r="O863" i="353"/>
  <c r="O855" i="353"/>
  <c r="O847" i="353"/>
  <c r="O839" i="353"/>
  <c r="O831" i="353"/>
  <c r="O824" i="353"/>
  <c r="O816" i="353"/>
  <c r="O808" i="353"/>
  <c r="O800" i="353"/>
  <c r="O792" i="353"/>
  <c r="O784" i="353"/>
  <c r="O776" i="353"/>
  <c r="O768" i="353"/>
  <c r="O752" i="353"/>
  <c r="O721" i="353"/>
  <c r="O667" i="353"/>
  <c r="O589" i="353"/>
  <c r="O565" i="353"/>
  <c r="O469" i="353"/>
  <c r="O437" i="353"/>
  <c r="O413" i="353"/>
  <c r="O405" i="353"/>
  <c r="O381" i="353"/>
  <c r="O349" i="353"/>
  <c r="O308" i="353"/>
  <c r="O229" i="353"/>
  <c r="O181" i="353"/>
  <c r="O157" i="353"/>
  <c r="O66" i="353"/>
  <c r="O44" i="353"/>
  <c r="O1051" i="353"/>
  <c r="O1035" i="353"/>
  <c r="O932" i="353"/>
  <c r="O916" i="353"/>
  <c r="O900" i="353"/>
  <c r="O854" i="353"/>
  <c r="O838" i="353"/>
  <c r="O823" i="353"/>
  <c r="O791" i="353"/>
  <c r="O751" i="353"/>
  <c r="O720" i="353"/>
  <c r="O688" i="353"/>
  <c r="O548" i="353"/>
  <c r="O1050" i="353"/>
  <c r="O1034" i="353"/>
  <c r="O1018" i="353"/>
  <c r="O978" i="353"/>
  <c r="O962" i="353"/>
  <c r="O868" i="353"/>
  <c r="O837" i="353"/>
  <c r="O806" i="353"/>
  <c r="O719" i="353"/>
  <c r="O687" i="353"/>
  <c r="O879" i="353"/>
  <c r="O871" i="353"/>
  <c r="O849" i="353"/>
  <c r="O841" i="353"/>
  <c r="O818" i="353"/>
  <c r="O810" i="353"/>
  <c r="O802" i="353"/>
  <c r="O786" i="353"/>
  <c r="O778" i="353"/>
  <c r="O770" i="353"/>
  <c r="O754" i="353"/>
  <c r="O746" i="353"/>
  <c r="O738" i="353"/>
  <c r="O723" i="353"/>
  <c r="O715" i="353"/>
  <c r="O699" i="353"/>
  <c r="O691" i="353"/>
  <c r="O683" i="353"/>
  <c r="O668" i="353"/>
  <c r="O661" i="353"/>
  <c r="O653" i="353"/>
  <c r="O637" i="353"/>
  <c r="O629" i="353"/>
  <c r="O613" i="353"/>
  <c r="O591" i="353"/>
  <c r="O583" i="353"/>
  <c r="O567" i="353"/>
  <c r="O551" i="353"/>
  <c r="O543" i="353"/>
  <c r="O527" i="353"/>
  <c r="O519" i="353"/>
  <c r="O511" i="353"/>
  <c r="O503" i="353"/>
  <c r="O495" i="353"/>
  <c r="O487" i="353"/>
  <c r="O479" i="353"/>
  <c r="O463" i="353"/>
  <c r="O439" i="353"/>
  <c r="O423" i="353"/>
  <c r="O415" i="353"/>
  <c r="O407" i="353"/>
  <c r="O391" i="353"/>
  <c r="O383" i="353"/>
  <c r="O375" i="353"/>
  <c r="O359" i="353"/>
  <c r="O351" i="353"/>
  <c r="O334" i="353"/>
  <c r="O326" i="353"/>
  <c r="O318" i="353"/>
  <c r="O310" i="353"/>
  <c r="O302" i="353"/>
  <c r="O287" i="353"/>
  <c r="O279" i="353"/>
  <c r="O271" i="353"/>
  <c r="O255" i="353"/>
  <c r="O247" i="353"/>
  <c r="O239" i="353"/>
  <c r="O223" i="353"/>
  <c r="O207" i="353"/>
  <c r="O183" i="353"/>
  <c r="O167" i="353"/>
  <c r="O159" i="353"/>
  <c r="O151" i="353"/>
  <c r="O135" i="353"/>
  <c r="O127" i="353"/>
  <c r="O120" i="353"/>
  <c r="O112" i="353"/>
  <c r="O98" i="353"/>
  <c r="O91" i="353"/>
  <c r="O83" i="353"/>
  <c r="O68" i="353"/>
  <c r="O61" i="353"/>
  <c r="O54" i="353"/>
  <c r="O46" i="353"/>
  <c r="O38" i="353"/>
  <c r="O22" i="353"/>
  <c r="O14" i="353"/>
  <c r="O1045" i="353"/>
  <c r="O1037" i="353"/>
  <c r="O1029" i="353"/>
  <c r="O1021" i="353"/>
  <c r="O1005" i="353"/>
  <c r="O989" i="353"/>
  <c r="O973" i="353"/>
  <c r="O965" i="353"/>
  <c r="O957" i="353"/>
  <c r="O950" i="353"/>
  <c r="O934" i="353"/>
  <c r="O918" i="353"/>
  <c r="O910" i="353"/>
  <c r="O902" i="353"/>
  <c r="O886" i="353"/>
  <c r="O870" i="353"/>
  <c r="O856" i="353"/>
  <c r="O840" i="353"/>
  <c r="O817" i="353"/>
  <c r="O809" i="353"/>
  <c r="O785" i="353"/>
  <c r="O777" i="353"/>
  <c r="O769" i="353"/>
  <c r="O753" i="353"/>
  <c r="O745" i="353"/>
  <c r="O714" i="353"/>
  <c r="O706" i="353"/>
  <c r="O682" i="353"/>
  <c r="O660" i="353"/>
  <c r="O652" i="353"/>
  <c r="O636" i="353"/>
  <c r="O612" i="353"/>
  <c r="O605" i="353"/>
  <c r="O598" i="353"/>
  <c r="O590" i="353"/>
  <c r="O582" i="353"/>
  <c r="O574" i="353"/>
  <c r="O566" i="353"/>
  <c r="O558" i="353"/>
  <c r="O542" i="353"/>
  <c r="O526" i="353"/>
  <c r="O518" i="353"/>
  <c r="O510" i="353"/>
  <c r="O494" i="353"/>
  <c r="O486" i="353"/>
  <c r="O478" i="353"/>
  <c r="O462" i="353"/>
  <c r="O454" i="353"/>
  <c r="O438" i="353"/>
  <c r="O422" i="353"/>
  <c r="O414" i="353"/>
  <c r="O406" i="353"/>
  <c r="O390" i="353"/>
  <c r="O382" i="353"/>
  <c r="O374" i="353"/>
  <c r="O358" i="353"/>
  <c r="O350" i="353"/>
  <c r="O342" i="353"/>
  <c r="O325" i="353"/>
  <c r="O301" i="353"/>
  <c r="O286" i="353"/>
  <c r="O270" i="353"/>
  <c r="O262" i="353"/>
  <c r="O254" i="353"/>
  <c r="O238" i="353"/>
  <c r="O230" i="353"/>
  <c r="O222" i="353"/>
  <c r="O206" i="353"/>
  <c r="O198" i="353"/>
  <c r="O182" i="353"/>
  <c r="O166" i="353"/>
  <c r="O158" i="353"/>
  <c r="O150" i="353"/>
  <c r="O134" i="353"/>
  <c r="O119" i="353"/>
  <c r="O111" i="353"/>
  <c r="O105" i="353"/>
  <c r="O97" i="353"/>
  <c r="O90" i="353"/>
  <c r="O82" i="353"/>
  <c r="O74" i="353"/>
  <c r="O67" i="353"/>
  <c r="O45" i="353"/>
  <c r="O37" i="353"/>
  <c r="O21" i="353"/>
  <c r="O13" i="353"/>
  <c r="O744" i="353"/>
  <c r="O737" i="353"/>
  <c r="O713" i="353"/>
  <c r="O705" i="353"/>
  <c r="O681" i="353"/>
  <c r="O674" i="353"/>
  <c r="O659" i="353"/>
  <c r="O651" i="353"/>
  <c r="O643" i="353"/>
  <c r="O627" i="353"/>
  <c r="O611" i="353"/>
  <c r="O604" i="353"/>
  <c r="O573" i="353"/>
  <c r="O557" i="353"/>
  <c r="O541" i="353"/>
  <c r="O525" i="353"/>
  <c r="O517" i="353"/>
  <c r="O509" i="353"/>
  <c r="O493" i="353"/>
  <c r="O477" i="353"/>
  <c r="O461" i="353"/>
  <c r="O453" i="353"/>
  <c r="O445" i="353"/>
  <c r="O429" i="353"/>
  <c r="O389" i="353"/>
  <c r="O373" i="353"/>
  <c r="O365" i="353"/>
  <c r="O357" i="353"/>
  <c r="O340" i="353"/>
  <c r="O324" i="353"/>
  <c r="O300" i="353"/>
  <c r="O285" i="353"/>
  <c r="O269" i="353"/>
  <c r="O261" i="353"/>
  <c r="O253" i="353"/>
  <c r="O237" i="353"/>
  <c r="O221" i="353"/>
  <c r="O205" i="353"/>
  <c r="O197" i="353"/>
  <c r="O189" i="353"/>
  <c r="O173" i="353"/>
  <c r="O133" i="353"/>
  <c r="O118" i="353"/>
  <c r="O110" i="353"/>
  <c r="O104" i="353"/>
  <c r="O89" i="353"/>
  <c r="O73" i="353"/>
  <c r="O52" i="353"/>
  <c r="O36" i="353"/>
  <c r="O28" i="353"/>
  <c r="O20" i="353"/>
  <c r="O12" i="353"/>
  <c r="O1019" i="353"/>
  <c r="O1011" i="353"/>
  <c r="O1003" i="353"/>
  <c r="O948" i="353"/>
  <c r="O940" i="353"/>
  <c r="O892" i="353"/>
  <c r="O862" i="353"/>
  <c r="O830" i="353"/>
  <c r="O799" i="353"/>
  <c r="O767" i="353"/>
  <c r="O736" i="353"/>
  <c r="O704" i="353"/>
  <c r="O673" i="353"/>
  <c r="O650" i="353"/>
  <c r="O642" i="353"/>
  <c r="O634" i="353"/>
  <c r="O626" i="353"/>
  <c r="O610" i="353"/>
  <c r="O596" i="353"/>
  <c r="O588" i="353"/>
  <c r="O572" i="353"/>
  <c r="O564" i="353"/>
  <c r="O556" i="353"/>
  <c r="O540" i="353"/>
  <c r="O532" i="353"/>
  <c r="O524" i="353"/>
  <c r="O516" i="353"/>
  <c r="O508" i="353"/>
  <c r="O500" i="353"/>
  <c r="O492" i="353"/>
  <c r="O484" i="353"/>
  <c r="O476" i="353"/>
  <c r="O468" i="353"/>
  <c r="O460" i="353"/>
  <c r="O452" i="353"/>
  <c r="O444" i="353"/>
  <c r="O436" i="353"/>
  <c r="O428" i="353"/>
  <c r="O420" i="353"/>
  <c r="O412" i="353"/>
  <c r="O404" i="353"/>
  <c r="O396" i="353"/>
  <c r="O388" i="353"/>
  <c r="O380" i="353"/>
  <c r="O372" i="353"/>
  <c r="O364" i="353"/>
  <c r="O356" i="353"/>
  <c r="O348" i="353"/>
  <c r="O339" i="353"/>
  <c r="O331" i="353"/>
  <c r="O323" i="353"/>
  <c r="O315" i="353"/>
  <c r="O307" i="353"/>
  <c r="O299" i="353"/>
  <c r="O284" i="353"/>
  <c r="O276" i="353"/>
  <c r="O268" i="353"/>
  <c r="O260" i="353"/>
  <c r="O252" i="353"/>
  <c r="O244" i="353"/>
  <c r="O236" i="353"/>
  <c r="O228" i="353"/>
  <c r="O220" i="353"/>
  <c r="O212" i="353"/>
  <c r="O204" i="353"/>
  <c r="O196" i="353"/>
  <c r="O188" i="353"/>
  <c r="O180" i="353"/>
  <c r="O172" i="353"/>
  <c r="O164" i="353"/>
  <c r="O156" i="353"/>
  <c r="O148" i="353"/>
  <c r="O140" i="353"/>
  <c r="O132" i="353"/>
  <c r="O124" i="353"/>
  <c r="O117" i="353"/>
  <c r="O109" i="353"/>
  <c r="O103" i="353"/>
  <c r="O96" i="353"/>
  <c r="O88" i="353"/>
  <c r="O80" i="353"/>
  <c r="O72" i="353"/>
  <c r="O65" i="353"/>
  <c r="O58" i="353"/>
  <c r="O51" i="353"/>
  <c r="O43" i="353"/>
  <c r="O35" i="353"/>
  <c r="O27" i="353"/>
  <c r="O19" i="353"/>
  <c r="O11" i="353"/>
  <c r="O1010" i="353"/>
  <c r="O1002" i="353"/>
  <c r="O994" i="353"/>
  <c r="O947" i="353"/>
  <c r="O939" i="353"/>
  <c r="O931" i="353"/>
  <c r="O891" i="353"/>
  <c r="O883" i="353"/>
  <c r="O861" i="353"/>
  <c r="O853" i="353"/>
  <c r="O829" i="353"/>
  <c r="O822" i="353"/>
  <c r="O798" i="353"/>
  <c r="O790" i="353"/>
  <c r="O766" i="353"/>
  <c r="O758" i="353"/>
  <c r="O735" i="353"/>
  <c r="O727" i="353"/>
  <c r="O703" i="353"/>
  <c r="O695" i="353"/>
  <c r="O672" i="353"/>
  <c r="O649" i="353"/>
  <c r="O633" i="353"/>
  <c r="O625" i="353"/>
  <c r="O617" i="353"/>
  <c r="O602" i="353"/>
  <c r="O595" i="353"/>
  <c r="O587" i="353"/>
  <c r="O579" i="353"/>
  <c r="O571" i="353"/>
  <c r="O563" i="353"/>
  <c r="O555" i="353"/>
  <c r="O547" i="353"/>
  <c r="O539" i="353"/>
  <c r="O531" i="353"/>
  <c r="O523" i="353"/>
  <c r="O515" i="353"/>
  <c r="O507" i="353"/>
  <c r="O499" i="353"/>
  <c r="O491" i="353"/>
  <c r="O483" i="353"/>
  <c r="O475" i="353"/>
  <c r="O467" i="353"/>
  <c r="O459" i="353"/>
  <c r="O451" i="353"/>
  <c r="O443" i="353"/>
  <c r="O435" i="353"/>
  <c r="O427" i="353"/>
  <c r="O419" i="353"/>
  <c r="O411" i="353"/>
  <c r="O403" i="353"/>
  <c r="O395" i="353"/>
  <c r="O387" i="353"/>
  <c r="O379" i="353"/>
  <c r="O371" i="353"/>
  <c r="O363" i="353"/>
  <c r="O355" i="353"/>
  <c r="O347" i="353"/>
  <c r="O338" i="353"/>
  <c r="O330" i="353"/>
  <c r="O322" i="353"/>
  <c r="O314" i="353"/>
  <c r="O306" i="353"/>
  <c r="O298" i="353"/>
  <c r="O291" i="353"/>
  <c r="O283" i="353"/>
  <c r="O275" i="353"/>
  <c r="O267" i="353"/>
  <c r="O259" i="353"/>
  <c r="O251" i="353"/>
  <c r="O243" i="353"/>
  <c r="O235" i="353"/>
  <c r="O227" i="353"/>
  <c r="O219" i="353"/>
  <c r="O211" i="353"/>
  <c r="O203" i="353"/>
  <c r="O195" i="353"/>
  <c r="O187" i="353"/>
  <c r="O179" i="353"/>
  <c r="O171" i="353"/>
  <c r="O163" i="353"/>
  <c r="O155" i="353"/>
  <c r="O147" i="353"/>
  <c r="O139" i="353"/>
  <c r="O131" i="353"/>
  <c r="O123" i="353"/>
  <c r="O116" i="353"/>
  <c r="O108" i="353"/>
  <c r="O102" i="353"/>
  <c r="O95" i="353"/>
  <c r="O87" i="353"/>
  <c r="O79" i="353"/>
  <c r="O71" i="353"/>
  <c r="O64" i="353"/>
  <c r="O57" i="353"/>
  <c r="O50" i="353"/>
  <c r="O42" i="353"/>
  <c r="O34" i="353"/>
  <c r="O26" i="353"/>
  <c r="O18" i="353"/>
  <c r="O10" i="353"/>
  <c r="O1325" i="353"/>
  <c r="O1301" i="353"/>
  <c r="O1273" i="353"/>
  <c r="O1241" i="353"/>
  <c r="O1210" i="353"/>
  <c r="O1170" i="353"/>
  <c r="O1075" i="353"/>
  <c r="O1334" i="353"/>
  <c r="O1310" i="353"/>
  <c r="O1274" i="353"/>
  <c r="O1250" i="353"/>
  <c r="O1211" i="353"/>
  <c r="O1187" i="353"/>
  <c r="O1148" i="353"/>
  <c r="O1124" i="353"/>
  <c r="O1084" i="353"/>
  <c r="O1060" i="353"/>
  <c r="O1333" i="353"/>
  <c r="O1309" i="353"/>
  <c r="O1295" i="353"/>
  <c r="O1287" i="353"/>
  <c r="O1265" i="353"/>
  <c r="O1249" i="353"/>
  <c r="O1225" i="353"/>
  <c r="O1202" i="353"/>
  <c r="O1186" i="353"/>
  <c r="O1178" i="353"/>
  <c r="O1162" i="353"/>
  <c r="O1154" i="353"/>
  <c r="O1147" i="353"/>
  <c r="O1139" i="353"/>
  <c r="O1131" i="353"/>
  <c r="O1123" i="353"/>
  <c r="O1115" i="353"/>
  <c r="O1107" i="353"/>
  <c r="O1099" i="353"/>
  <c r="O1091" i="353"/>
  <c r="O1067" i="353"/>
  <c r="O1059" i="353"/>
  <c r="O1332" i="353"/>
  <c r="O1324" i="353"/>
  <c r="O1316" i="353"/>
  <c r="O1308" i="353"/>
  <c r="O1300" i="353"/>
  <c r="O1294" i="353"/>
  <c r="O1280" i="353"/>
  <c r="O1272" i="353"/>
  <c r="O1264" i="353"/>
  <c r="O1256" i="353"/>
  <c r="O1248" i="353"/>
  <c r="O1240" i="353"/>
  <c r="O1232" i="353"/>
  <c r="O1224" i="353"/>
  <c r="O1217" i="353"/>
  <c r="O1209" i="353"/>
  <c r="O1201" i="353"/>
  <c r="O1193" i="353"/>
  <c r="O1185" i="353"/>
  <c r="O1177" i="353"/>
  <c r="O1169" i="353"/>
  <c r="O1161" i="353"/>
  <c r="O1153" i="353"/>
  <c r="O1146" i="353"/>
  <c r="O1138" i="353"/>
  <c r="O1130" i="353"/>
  <c r="O1122" i="353"/>
  <c r="O1114" i="353"/>
  <c r="O1106" i="353"/>
  <c r="O1098" i="353"/>
  <c r="O1090" i="353"/>
  <c r="O1082" i="353"/>
  <c r="O1074" i="353"/>
  <c r="O1066" i="353"/>
  <c r="O1058" i="353"/>
  <c r="O1331" i="353"/>
  <c r="O1323" i="353"/>
  <c r="O1315" i="353"/>
  <c r="O1307" i="353"/>
  <c r="O1299" i="353"/>
  <c r="O1293" i="353"/>
  <c r="O1286" i="353"/>
  <c r="O1279" i="353"/>
  <c r="O1271" i="353"/>
  <c r="O1263" i="353"/>
  <c r="O1255" i="353"/>
  <c r="O1247" i="353"/>
  <c r="O1239" i="353"/>
  <c r="O1231" i="353"/>
  <c r="O1216" i="353"/>
  <c r="O1208" i="353"/>
  <c r="O1200" i="353"/>
  <c r="O1192" i="353"/>
  <c r="O1184" i="353"/>
  <c r="O1176" i="353"/>
  <c r="O1168" i="353"/>
  <c r="O1160" i="353"/>
  <c r="O1152" i="353"/>
  <c r="O1145" i="353"/>
  <c r="O1137" i="353"/>
  <c r="O1129" i="353"/>
  <c r="O1121" i="353"/>
  <c r="O1113" i="353"/>
  <c r="O1105" i="353"/>
  <c r="O1097" i="353"/>
  <c r="O1089" i="353"/>
  <c r="O1081" i="353"/>
  <c r="O1073" i="353"/>
  <c r="O1065" i="353"/>
  <c r="O1057" i="353"/>
  <c r="O1335" i="353"/>
  <c r="O1297" i="353"/>
  <c r="O1275" i="353"/>
  <c r="O1235" i="353"/>
  <c r="O1212" i="353"/>
  <c r="O1172" i="353"/>
  <c r="O1149" i="353"/>
  <c r="O1109" i="353"/>
  <c r="O1085" i="353"/>
  <c r="N4" i="353"/>
  <c r="M4" i="353"/>
  <c r="Q1275" i="353" l="1"/>
  <c r="R1275" i="353" s="1"/>
  <c r="Q1152" i="353"/>
  <c r="R1152" i="353" s="1"/>
  <c r="S1152" i="353" s="1"/>
  <c r="Q1193" i="353"/>
  <c r="R1193" i="353" s="1"/>
  <c r="S1193" i="353" s="1"/>
  <c r="Q1324" i="353"/>
  <c r="R1324" i="353" s="1"/>
  <c r="S1324" i="353" s="1"/>
  <c r="Q1225" i="353"/>
  <c r="R1225" i="353" s="1"/>
  <c r="S1225" i="353" s="1"/>
  <c r="Q1187" i="353"/>
  <c r="R1187" i="353" s="1"/>
  <c r="S1187" i="353" s="1"/>
  <c r="Q79" i="353"/>
  <c r="R79" i="353" s="1"/>
  <c r="Q267" i="353"/>
  <c r="R267" i="353" s="1"/>
  <c r="S267" i="353" s="1"/>
  <c r="Q459" i="353"/>
  <c r="R459" i="353" s="1"/>
  <c r="Q587" i="353"/>
  <c r="R587" i="353" s="1"/>
  <c r="S587" i="353" s="1"/>
  <c r="Q947" i="353"/>
  <c r="R947" i="353" s="1"/>
  <c r="S947" i="353" s="1"/>
  <c r="Q103" i="353"/>
  <c r="R103" i="353" s="1"/>
  <c r="S103" i="353" s="1"/>
  <c r="Q299" i="353"/>
  <c r="R299" i="353" s="1"/>
  <c r="Q492" i="353"/>
  <c r="R492" i="353" s="1"/>
  <c r="S492" i="353" s="1"/>
  <c r="Q650" i="353"/>
  <c r="R650" i="353" s="1"/>
  <c r="Q133" i="353"/>
  <c r="R133" i="353" s="1"/>
  <c r="S133" i="353" s="1"/>
  <c r="Q373" i="353"/>
  <c r="R373" i="353" s="1"/>
  <c r="S373" i="353" s="1"/>
  <c r="Q737" i="353"/>
  <c r="R737" i="353" s="1"/>
  <c r="S737" i="353" s="1"/>
  <c r="Q254" i="353"/>
  <c r="R254" i="353" s="1"/>
  <c r="S254" i="353" s="1"/>
  <c r="Q454" i="353"/>
  <c r="R454" i="353" s="1"/>
  <c r="S454" i="353" s="1"/>
  <c r="Q753" i="353"/>
  <c r="R753" i="353" s="1"/>
  <c r="S753" i="353" s="1"/>
  <c r="Q965" i="353"/>
  <c r="R965" i="353" s="1"/>
  <c r="S965" i="353" s="1"/>
  <c r="Q167" i="353"/>
  <c r="R167" i="353" s="1"/>
  <c r="S167" i="353" s="1"/>
  <c r="Q359" i="353"/>
  <c r="R359" i="353" s="1"/>
  <c r="S359" i="353" s="1"/>
  <c r="Q653" i="353"/>
  <c r="R653" i="353" s="1"/>
  <c r="S653" i="353" s="1"/>
  <c r="Q837" i="353"/>
  <c r="R837" i="353" s="1"/>
  <c r="S837" i="353" s="1"/>
  <c r="Q916" i="353"/>
  <c r="R916" i="353" s="1"/>
  <c r="S916" i="353" s="1"/>
  <c r="Q792" i="353"/>
  <c r="R792" i="353" s="1"/>
  <c r="S792" i="353" s="1"/>
  <c r="Q1012" i="353"/>
  <c r="R1012" i="353" s="1"/>
  <c r="S1012" i="353" s="1"/>
  <c r="Q75" i="353"/>
  <c r="R75" i="353" s="1"/>
  <c r="S75" i="353" s="1"/>
  <c r="Q249" i="353"/>
  <c r="R249" i="353" s="1"/>
  <c r="S249" i="353" s="1"/>
  <c r="Q1220" i="353"/>
  <c r="R1220" i="353" s="1"/>
  <c r="S1220" i="353" s="1"/>
  <c r="Q1183" i="353"/>
  <c r="R1183" i="353" s="1"/>
  <c r="S1183" i="353" s="1"/>
  <c r="Q1163" i="353"/>
  <c r="R1163" i="353" s="1"/>
  <c r="S1163" i="353" s="1"/>
  <c r="Q1151" i="353"/>
  <c r="R1151" i="353" s="1"/>
  <c r="S1151" i="353" s="1"/>
  <c r="Q1070" i="353"/>
  <c r="R1070" i="353" s="1"/>
  <c r="S1070" i="353" s="1"/>
  <c r="Q1228" i="353"/>
  <c r="R1228" i="353" s="1"/>
  <c r="S1228" i="353" s="1"/>
  <c r="Q343" i="353"/>
  <c r="R343" i="353" s="1"/>
  <c r="S343" i="353" s="1"/>
  <c r="Q966" i="353"/>
  <c r="R966" i="353" s="1"/>
  <c r="S966" i="353" s="1"/>
  <c r="Q84" i="353"/>
  <c r="R84" i="353" s="1"/>
  <c r="S84" i="353" s="1"/>
  <c r="Q327" i="353"/>
  <c r="R327" i="353" s="1"/>
  <c r="S327" i="353" s="1"/>
  <c r="Q544" i="353"/>
  <c r="R544" i="353" s="1"/>
  <c r="S544" i="353" s="1"/>
  <c r="Q739" i="353"/>
  <c r="R739" i="353" s="1"/>
  <c r="S739" i="353" s="1"/>
  <c r="Q369" i="353"/>
  <c r="R369" i="353" s="1"/>
  <c r="S369" i="353" s="1"/>
  <c r="Q717" i="353"/>
  <c r="R717" i="353" s="1"/>
  <c r="S717" i="353" s="1"/>
  <c r="Q873" i="353"/>
  <c r="R873" i="353" s="1"/>
  <c r="S873" i="353" s="1"/>
  <c r="Q788" i="353"/>
  <c r="R788" i="353" s="1"/>
  <c r="S788" i="353" s="1"/>
  <c r="Q968" i="353"/>
  <c r="R968" i="353" s="1"/>
  <c r="S968" i="353" s="1"/>
  <c r="Q178" i="353"/>
  <c r="R178" i="353" s="1"/>
  <c r="S178" i="353" s="1"/>
  <c r="Q370" i="353"/>
  <c r="R370" i="353" s="1"/>
  <c r="S370" i="353" s="1"/>
  <c r="Q498" i="353"/>
  <c r="R498" i="353" s="1"/>
  <c r="S498" i="353" s="1"/>
  <c r="Q686" i="353"/>
  <c r="R686" i="353" s="1"/>
  <c r="S686" i="353" s="1"/>
  <c r="Q882" i="353"/>
  <c r="R882" i="353" s="1"/>
  <c r="S882" i="353" s="1"/>
  <c r="Q666" i="353"/>
  <c r="R666" i="353" s="1"/>
  <c r="S666" i="353" s="1"/>
  <c r="Q81" i="353"/>
  <c r="R81" i="353" s="1"/>
  <c r="S81" i="353" s="1"/>
  <c r="Q549" i="353"/>
  <c r="R549" i="353" s="1"/>
  <c r="S549" i="353" s="1"/>
  <c r="Q1336" i="353"/>
  <c r="R1336" i="353" s="1"/>
  <c r="S1336" i="353" s="1"/>
  <c r="Q448" i="353"/>
  <c r="R448" i="353" s="1"/>
  <c r="S448" i="353" s="1"/>
  <c r="Q615" i="353"/>
  <c r="R615" i="353" s="1"/>
  <c r="S615" i="353" s="1"/>
  <c r="Q907" i="353"/>
  <c r="R907" i="353" s="1"/>
  <c r="S907" i="353" s="1"/>
  <c r="Q1097" i="353"/>
  <c r="R1097" i="353" s="1"/>
  <c r="S1097" i="353" s="1"/>
  <c r="Q1293" i="353"/>
  <c r="R1293" i="353" s="1"/>
  <c r="S1293" i="353" s="1"/>
  <c r="Q1138" i="353"/>
  <c r="R1138" i="353" s="1"/>
  <c r="S1138" i="353" s="1"/>
  <c r="Q1264" i="353"/>
  <c r="R1264" i="353" s="1"/>
  <c r="S1264" i="353" s="1"/>
  <c r="Q1139" i="353"/>
  <c r="R1139" i="353" s="1"/>
  <c r="S1139" i="353" s="1"/>
  <c r="Q1210" i="353"/>
  <c r="R1210" i="353" s="1"/>
  <c r="Q147" i="353"/>
  <c r="R147" i="353" s="1"/>
  <c r="S147" i="353" s="1"/>
  <c r="Q275" i="353"/>
  <c r="R275" i="353" s="1"/>
  <c r="S275" i="353" s="1"/>
  <c r="Q467" i="353"/>
  <c r="R467" i="353" s="1"/>
  <c r="S467" i="353" s="1"/>
  <c r="Q595" i="353"/>
  <c r="R595" i="353" s="1"/>
  <c r="S595" i="353" s="1"/>
  <c r="Q994" i="353"/>
  <c r="R994" i="353" s="1"/>
  <c r="S994" i="353" s="1"/>
  <c r="Q172" i="353"/>
  <c r="R172" i="353" s="1"/>
  <c r="S172" i="353" s="1"/>
  <c r="Q307" i="353"/>
  <c r="R307" i="353" s="1"/>
  <c r="S307" i="353" s="1"/>
  <c r="Q500" i="353"/>
  <c r="R500" i="353" s="1"/>
  <c r="S500" i="353" s="1"/>
  <c r="Q673" i="353"/>
  <c r="R673" i="353" s="1"/>
  <c r="S673" i="353" s="1"/>
  <c r="Q173" i="353"/>
  <c r="R173" i="353" s="1"/>
  <c r="S173" i="353" s="1"/>
  <c r="Q517" i="353"/>
  <c r="R517" i="353" s="1"/>
  <c r="S517" i="353" s="1"/>
  <c r="Q744" i="353"/>
  <c r="R744" i="353" s="1"/>
  <c r="S744" i="353" s="1"/>
  <c r="Q262" i="353"/>
  <c r="R262" i="353" s="1"/>
  <c r="S262" i="353" s="1"/>
  <c r="Q462" i="353"/>
  <c r="R462" i="353" s="1"/>
  <c r="S462" i="353" s="1"/>
  <c r="Q769" i="353"/>
  <c r="R769" i="353" s="1"/>
  <c r="S769" i="353" s="1"/>
  <c r="Q973" i="353"/>
  <c r="R973" i="353" s="1"/>
  <c r="S973" i="353" s="1"/>
  <c r="Q183" i="353"/>
  <c r="R183" i="353" s="1"/>
  <c r="Q479" i="353"/>
  <c r="R479" i="353" s="1"/>
  <c r="S479" i="353" s="1"/>
  <c r="Q746" i="353"/>
  <c r="R746" i="353" s="1"/>
  <c r="S746" i="353" s="1"/>
  <c r="Q720" i="353"/>
  <c r="R720" i="353" s="1"/>
  <c r="S720" i="353" s="1"/>
  <c r="Q308" i="353"/>
  <c r="R308" i="353" s="1"/>
  <c r="S308" i="353" s="1"/>
  <c r="Q949" i="353"/>
  <c r="R949" i="353" s="1"/>
  <c r="S949" i="353" s="1"/>
  <c r="Q29" i="353"/>
  <c r="R29" i="353" s="1"/>
  <c r="S29" i="353" s="1"/>
  <c r="Q199" i="353"/>
  <c r="R199" i="353" s="1"/>
  <c r="S199" i="353" s="1"/>
  <c r="Q257" i="353"/>
  <c r="R257" i="353" s="1"/>
  <c r="S257" i="353" s="1"/>
  <c r="Q1141" i="353"/>
  <c r="R1141" i="353" s="1"/>
  <c r="S1141" i="353" s="1"/>
  <c r="Q1120" i="353"/>
  <c r="R1120" i="353" s="1"/>
  <c r="S1120" i="353" s="1"/>
  <c r="Q1171" i="353"/>
  <c r="R1171" i="353" s="1"/>
  <c r="S1171" i="353" s="1"/>
  <c r="Q1087" i="353"/>
  <c r="R1087" i="353" s="1"/>
  <c r="S1087" i="353" s="1"/>
  <c r="Q1237" i="353"/>
  <c r="R1237" i="353" s="1"/>
  <c r="S1237" i="353" s="1"/>
  <c r="Q1215" i="353"/>
  <c r="R1215" i="353" s="1"/>
  <c r="S1215" i="353" s="1"/>
  <c r="Q278" i="353"/>
  <c r="R278" i="353" s="1"/>
  <c r="S278" i="353" s="1"/>
  <c r="Q1165" i="353"/>
  <c r="R1165" i="353" s="1"/>
  <c r="S1165" i="353" s="1"/>
  <c r="Q1328" i="353"/>
  <c r="R1328" i="353" s="1"/>
  <c r="S1328" i="353" s="1"/>
  <c r="Q731" i="353"/>
  <c r="R731" i="353" s="1"/>
  <c r="S731" i="353" s="1"/>
  <c r="Q1038" i="353"/>
  <c r="R1038" i="353" s="1"/>
  <c r="S1038" i="353" s="1"/>
  <c r="Q256" i="353"/>
  <c r="R256" i="353" s="1"/>
  <c r="S256" i="353" s="1"/>
  <c r="Q488" i="353"/>
  <c r="R488" i="353" s="1"/>
  <c r="S488" i="353" s="1"/>
  <c r="Q622" i="353"/>
  <c r="R622" i="353" s="1"/>
  <c r="S622" i="353" s="1"/>
  <c r="Q747" i="353"/>
  <c r="R747" i="353" s="1"/>
  <c r="S747" i="353" s="1"/>
  <c r="Q377" i="353"/>
  <c r="R377" i="353" s="1"/>
  <c r="S377" i="353" s="1"/>
  <c r="Q569" i="353"/>
  <c r="R569" i="353" s="1"/>
  <c r="S569" i="353" s="1"/>
  <c r="Q1023" i="353"/>
  <c r="R1023" i="353" s="1"/>
  <c r="Q1039" i="353"/>
  <c r="R1039" i="353" s="1"/>
  <c r="S1039" i="353" s="1"/>
  <c r="Q959" i="353"/>
  <c r="R959" i="353" s="1"/>
  <c r="S959" i="353" s="1"/>
  <c r="Q804" i="353"/>
  <c r="R804" i="353" s="1"/>
  <c r="S804" i="353" s="1"/>
  <c r="Q56" i="353"/>
  <c r="R56" i="353" s="1"/>
  <c r="S56" i="353" s="1"/>
  <c r="Q186" i="353"/>
  <c r="R186" i="353" s="1"/>
  <c r="S186" i="353" s="1"/>
  <c r="Q378" i="353"/>
  <c r="R378" i="353" s="1"/>
  <c r="S378" i="353" s="1"/>
  <c r="Q570" i="353"/>
  <c r="R570" i="353" s="1"/>
  <c r="S570" i="353" s="1"/>
  <c r="Q694" i="353"/>
  <c r="R694" i="353" s="1"/>
  <c r="S694" i="353" s="1"/>
  <c r="Q898" i="353"/>
  <c r="R898" i="353" s="1"/>
  <c r="S898" i="353" s="1"/>
  <c r="Q680" i="353"/>
  <c r="R680" i="353" s="1"/>
  <c r="S680" i="353" s="1"/>
  <c r="Q971" i="353"/>
  <c r="R971" i="353" s="1"/>
  <c r="S971" i="353" s="1"/>
  <c r="Q581" i="353"/>
  <c r="R581" i="353" s="1"/>
  <c r="S581" i="353" s="1"/>
  <c r="Q1126" i="353"/>
  <c r="R1126" i="353" s="1"/>
  <c r="S1126" i="353" s="1"/>
  <c r="Q560" i="353"/>
  <c r="R560" i="353" s="1"/>
  <c r="S560" i="353" s="1"/>
  <c r="Q750" i="353"/>
  <c r="R750" i="353" s="1"/>
  <c r="S750" i="353" s="1"/>
  <c r="Q1085" i="353"/>
  <c r="R1085" i="353" s="1"/>
  <c r="S1085" i="353" s="1"/>
  <c r="Q1168" i="353"/>
  <c r="R1168" i="353" s="1"/>
  <c r="S1168" i="353" s="1"/>
  <c r="Q1299" i="353"/>
  <c r="R1299" i="353" s="1"/>
  <c r="S1299" i="353" s="1"/>
  <c r="Q1146" i="353"/>
  <c r="R1146" i="353" s="1"/>
  <c r="S1146" i="353" s="1"/>
  <c r="Q1272" i="353"/>
  <c r="R1272" i="353" s="1"/>
  <c r="S1272" i="353" s="1"/>
  <c r="Q1147" i="353"/>
  <c r="R1147" i="353" s="1"/>
  <c r="S1147" i="353" s="1"/>
  <c r="Q34" i="353"/>
  <c r="R34" i="353" s="1"/>
  <c r="S34" i="353" s="1"/>
  <c r="Q155" i="353"/>
  <c r="R155" i="353" s="1"/>
  <c r="S155" i="353" s="1"/>
  <c r="Q347" i="353"/>
  <c r="R347" i="353" s="1"/>
  <c r="S347" i="353" s="1"/>
  <c r="Q475" i="353"/>
  <c r="R475" i="353" s="1"/>
  <c r="S475" i="353" s="1"/>
  <c r="Q727" i="353"/>
  <c r="R727" i="353" s="1"/>
  <c r="S727" i="353" s="1"/>
  <c r="Q58" i="353"/>
  <c r="R58" i="353" s="1"/>
  <c r="S58" i="353" s="1"/>
  <c r="Q180" i="353"/>
  <c r="R180" i="353" s="1"/>
  <c r="Q444" i="353"/>
  <c r="R444" i="353" s="1"/>
  <c r="S444" i="353" s="1"/>
  <c r="Q704" i="353"/>
  <c r="R704" i="353" s="1"/>
  <c r="S704" i="353" s="1"/>
  <c r="Q52" i="353"/>
  <c r="R52" i="353" s="1"/>
  <c r="S52" i="353" s="1"/>
  <c r="Q429" i="353"/>
  <c r="R429" i="353" s="1"/>
  <c r="S429" i="353" s="1"/>
  <c r="Q13" i="353"/>
  <c r="R13" i="353" s="1"/>
  <c r="S13" i="353" s="1"/>
  <c r="Q270" i="353"/>
  <c r="R270" i="353" s="1"/>
  <c r="S270" i="353" s="1"/>
  <c r="Q566" i="353"/>
  <c r="R566" i="353" s="1"/>
  <c r="S566" i="353" s="1"/>
  <c r="Q777" i="353"/>
  <c r="R777" i="353" s="1"/>
  <c r="S777" i="353" s="1"/>
  <c r="Q38" i="353"/>
  <c r="R38" i="353" s="1"/>
  <c r="S38" i="353" s="1"/>
  <c r="Q302" i="353"/>
  <c r="R302" i="353" s="1"/>
  <c r="S302" i="353" s="1"/>
  <c r="Q487" i="353"/>
  <c r="R487" i="353" s="1"/>
  <c r="S487" i="353" s="1"/>
  <c r="Q668" i="353"/>
  <c r="R668" i="353" s="1"/>
  <c r="S668" i="353" s="1"/>
  <c r="Q962" i="353"/>
  <c r="R962" i="353" s="1"/>
  <c r="S962" i="353" s="1"/>
  <c r="Q349" i="353"/>
  <c r="R349" i="353" s="1"/>
  <c r="S349" i="353" s="1"/>
  <c r="Q869" i="353"/>
  <c r="R869" i="353" s="1"/>
  <c r="S869" i="353" s="1"/>
  <c r="Q956" i="353"/>
  <c r="R956" i="353" s="1"/>
  <c r="S956" i="353" s="1"/>
  <c r="Q60" i="353"/>
  <c r="R60" i="353" s="1"/>
  <c r="S60" i="353" s="1"/>
  <c r="Q231" i="353"/>
  <c r="R231" i="353" s="1"/>
  <c r="S231" i="353" s="1"/>
  <c r="Q1069" i="353"/>
  <c r="R1069" i="353" s="1"/>
  <c r="S1069" i="353" s="1"/>
  <c r="Q1319" i="353"/>
  <c r="R1319" i="353" s="1"/>
  <c r="S1319" i="353" s="1"/>
  <c r="Q1064" i="353"/>
  <c r="R1064" i="353" s="1"/>
  <c r="Q1100" i="353"/>
  <c r="R1100" i="353" s="1"/>
  <c r="S1100" i="353" s="1"/>
  <c r="Q1245" i="353"/>
  <c r="R1245" i="353" s="1"/>
  <c r="S1245" i="353" s="1"/>
  <c r="Q550" i="353"/>
  <c r="R550" i="353" s="1"/>
  <c r="S550" i="353" s="1"/>
  <c r="Q1244" i="353"/>
  <c r="R1244" i="353" s="1"/>
  <c r="S1244" i="353" s="1"/>
  <c r="Q431" i="353"/>
  <c r="R431" i="353" s="1"/>
  <c r="S431" i="353" s="1"/>
  <c r="Q982" i="353"/>
  <c r="R982" i="353" s="1"/>
  <c r="S982" i="353" s="1"/>
  <c r="Q168" i="353"/>
  <c r="R168" i="353" s="1"/>
  <c r="S168" i="353" s="1"/>
  <c r="Q424" i="353"/>
  <c r="R424" i="353" s="1"/>
  <c r="S424" i="353" s="1"/>
  <c r="Q568" i="353"/>
  <c r="R568" i="353" s="1"/>
  <c r="S568" i="353" s="1"/>
  <c r="Q692" i="353"/>
  <c r="R692" i="353" s="1"/>
  <c r="S692" i="353" s="1"/>
  <c r="Q304" i="353"/>
  <c r="R304" i="353" s="1"/>
  <c r="S304" i="353" s="1"/>
  <c r="Q473" i="353"/>
  <c r="R473" i="353" s="1"/>
  <c r="S473" i="353" s="1"/>
  <c r="Q733" i="353"/>
  <c r="R733" i="353" s="1"/>
  <c r="S733" i="353" s="1"/>
  <c r="Q896" i="353"/>
  <c r="R896" i="353" s="1"/>
  <c r="S896" i="353" s="1"/>
  <c r="Q834" i="353"/>
  <c r="R834" i="353" s="1"/>
  <c r="S834" i="353" s="1"/>
  <c r="Q1032" i="353"/>
  <c r="R1032" i="353" s="1"/>
  <c r="S1032" i="353" s="1"/>
  <c r="Q130" i="353"/>
  <c r="R130" i="353" s="1"/>
  <c r="S130" i="353" s="1"/>
  <c r="Q321" i="353"/>
  <c r="R321" i="353" s="1"/>
  <c r="S321" i="353" s="1"/>
  <c r="Q514" i="353"/>
  <c r="R514" i="353" s="1"/>
  <c r="S514" i="353" s="1"/>
  <c r="Q578" i="353"/>
  <c r="R578" i="353" s="1"/>
  <c r="S578" i="353" s="1"/>
  <c r="Q765" i="353"/>
  <c r="R765" i="353" s="1"/>
  <c r="S765" i="353" s="1"/>
  <c r="Q969" i="353"/>
  <c r="R969" i="353" s="1"/>
  <c r="S969" i="353" s="1"/>
  <c r="Q815" i="353"/>
  <c r="R815" i="353" s="1"/>
  <c r="Q332" i="353"/>
  <c r="R332" i="353" s="1"/>
  <c r="S332" i="353" s="1"/>
  <c r="Q1142" i="353"/>
  <c r="R1142" i="353" s="1"/>
  <c r="S1142" i="353" s="1"/>
  <c r="Q32" i="353"/>
  <c r="R32" i="353" s="1"/>
  <c r="S32" i="353" s="1"/>
  <c r="Q923" i="353"/>
  <c r="R923" i="353" s="1"/>
  <c r="S923" i="353" s="1"/>
  <c r="Q1247" i="353"/>
  <c r="R1247" i="353" s="1"/>
  <c r="S1247" i="353" s="1"/>
  <c r="Q1090" i="353"/>
  <c r="R1090" i="353" s="1"/>
  <c r="S1090" i="353" s="1"/>
  <c r="Q1217" i="353"/>
  <c r="R1217" i="353" s="1"/>
  <c r="S1217" i="353" s="1"/>
  <c r="Q1091" i="353"/>
  <c r="R1091" i="353" s="1"/>
  <c r="S1091" i="353" s="1"/>
  <c r="Q1287" i="353"/>
  <c r="R1287" i="353" s="1"/>
  <c r="S1287" i="353" s="1"/>
  <c r="Q1273" i="353"/>
  <c r="R1273" i="353" s="1"/>
  <c r="S1273" i="353" s="1"/>
  <c r="Q102" i="353"/>
  <c r="R102" i="353" s="1"/>
  <c r="S102" i="353" s="1"/>
  <c r="Q291" i="353"/>
  <c r="R291" i="353" s="1"/>
  <c r="S291" i="353" s="1"/>
  <c r="Q419" i="353"/>
  <c r="R419" i="353" s="1"/>
  <c r="S419" i="353" s="1"/>
  <c r="Q617" i="353"/>
  <c r="R617" i="353" s="1"/>
  <c r="S617" i="353" s="1"/>
  <c r="Q861" i="353"/>
  <c r="R861" i="353" s="1"/>
  <c r="S861" i="353" s="1"/>
  <c r="Q124" i="353"/>
  <c r="R124" i="353" s="1"/>
  <c r="Q252" i="353"/>
  <c r="R252" i="353" s="1"/>
  <c r="S252" i="353" s="1"/>
  <c r="Q452" i="353"/>
  <c r="R452" i="353" s="1"/>
  <c r="S452" i="353" s="1"/>
  <c r="Q596" i="353"/>
  <c r="R596" i="353" s="1"/>
  <c r="Q73" i="353"/>
  <c r="R73" i="353" s="1"/>
  <c r="S73" i="353" s="1"/>
  <c r="Q300" i="353"/>
  <c r="R300" i="353" s="1"/>
  <c r="S300" i="353" s="1"/>
  <c r="Q659" i="353"/>
  <c r="R659" i="353" s="1"/>
  <c r="S659" i="353" s="1"/>
  <c r="Q198" i="353"/>
  <c r="R198" i="353" s="1"/>
  <c r="S198" i="353" s="1"/>
  <c r="Q390" i="353"/>
  <c r="R390" i="353" s="1"/>
  <c r="S390" i="353" s="1"/>
  <c r="Q660" i="353"/>
  <c r="R660" i="353" s="1"/>
  <c r="S660" i="353" s="1"/>
  <c r="Q910" i="353"/>
  <c r="R910" i="353" s="1"/>
  <c r="S910" i="353" s="1"/>
  <c r="Q120" i="353"/>
  <c r="R120" i="353" s="1"/>
  <c r="S120" i="353" s="1"/>
  <c r="Q223" i="353"/>
  <c r="R223" i="353" s="1"/>
  <c r="S223" i="353" s="1"/>
  <c r="Q495" i="353"/>
  <c r="R495" i="353" s="1"/>
  <c r="S495" i="353" s="1"/>
  <c r="Q770" i="353"/>
  <c r="R770" i="353" s="1"/>
  <c r="S770" i="353" s="1"/>
  <c r="Q791" i="353"/>
  <c r="R791" i="353" s="1"/>
  <c r="S791" i="353" s="1"/>
  <c r="Q721" i="353"/>
  <c r="R721" i="353" s="1"/>
  <c r="S721" i="353" s="1"/>
  <c r="Q885" i="353"/>
  <c r="R885" i="353" s="1"/>
  <c r="S885" i="353" s="1"/>
  <c r="Q1233" i="353"/>
  <c r="R1233" i="353" s="1"/>
  <c r="S1233" i="353" s="1"/>
  <c r="Q690" i="353"/>
  <c r="R690" i="353" s="1"/>
  <c r="S690" i="353" s="1"/>
  <c r="Q409" i="353"/>
  <c r="R409" i="353" s="1"/>
  <c r="S409" i="353" s="1"/>
  <c r="Q1251" i="353"/>
  <c r="R1251" i="353" s="1"/>
  <c r="S1251" i="353" s="1"/>
  <c r="Q433" i="353"/>
  <c r="R433" i="353" s="1"/>
  <c r="S433" i="353" s="1"/>
  <c r="Q894" i="353"/>
  <c r="R894" i="353" s="1"/>
  <c r="S894" i="353" s="1"/>
  <c r="Q1281" i="353"/>
  <c r="R1281" i="353" s="1"/>
  <c r="S1281" i="353" s="1"/>
  <c r="Q1174" i="353"/>
  <c r="R1174" i="353" s="1"/>
  <c r="S1174" i="353" s="1"/>
  <c r="Q1207" i="353"/>
  <c r="R1207" i="353" s="1"/>
  <c r="S1207" i="353" s="1"/>
  <c r="Q1094" i="353"/>
  <c r="R1094" i="353" s="1"/>
  <c r="S1094" i="353" s="1"/>
  <c r="Q1252" i="353"/>
  <c r="R1252" i="353" s="1"/>
  <c r="S1252" i="353" s="1"/>
  <c r="Q447" i="353"/>
  <c r="R447" i="353" s="1"/>
  <c r="S447" i="353" s="1"/>
  <c r="Q990" i="353"/>
  <c r="R990" i="353" s="1"/>
  <c r="S990" i="353" s="1"/>
  <c r="Q113" i="353"/>
  <c r="R113" i="353" s="1"/>
  <c r="S113" i="353" s="1"/>
  <c r="Q352" i="353"/>
  <c r="R352" i="353" s="1"/>
  <c r="S352" i="353" s="1"/>
  <c r="Q576" i="353"/>
  <c r="R576" i="353" s="1"/>
  <c r="S576" i="353" s="1"/>
  <c r="Q763" i="353"/>
  <c r="R763" i="353" s="1"/>
  <c r="S763" i="353" s="1"/>
  <c r="Q312" i="353"/>
  <c r="R312" i="353" s="1"/>
  <c r="S312" i="353" s="1"/>
  <c r="Q489" i="353"/>
  <c r="R489" i="353" s="1"/>
  <c r="S489" i="353" s="1"/>
  <c r="Q740" i="353"/>
  <c r="R740" i="353" s="1"/>
  <c r="S740" i="353" s="1"/>
  <c r="Q772" i="353"/>
  <c r="R772" i="353" s="1"/>
  <c r="S772" i="353" s="1"/>
  <c r="Q850" i="353"/>
  <c r="R850" i="353" s="1"/>
  <c r="S850" i="353" s="1"/>
  <c r="Q843" i="353"/>
  <c r="R843" i="353" s="1"/>
  <c r="S843" i="353" s="1"/>
  <c r="Q9" i="353"/>
  <c r="R9" i="353" s="1"/>
  <c r="S9" i="353" s="1"/>
  <c r="Q202" i="353"/>
  <c r="R202" i="353" s="1"/>
  <c r="S202" i="353" s="1"/>
  <c r="Q266" i="353"/>
  <c r="R266" i="353" s="1"/>
  <c r="S266" i="353" s="1"/>
  <c r="Q394" i="353"/>
  <c r="R394" i="353" s="1"/>
  <c r="S394" i="353" s="1"/>
  <c r="Q522" i="353"/>
  <c r="R522" i="353" s="1"/>
  <c r="S522" i="353" s="1"/>
  <c r="Q648" i="353"/>
  <c r="R648" i="353" s="1"/>
  <c r="S648" i="353" s="1"/>
  <c r="Q773" i="353"/>
  <c r="R773" i="353" s="1"/>
  <c r="S773" i="353" s="1"/>
  <c r="Q914" i="353"/>
  <c r="R914" i="353" s="1"/>
  <c r="S914" i="353" s="1"/>
  <c r="Q1041" i="353"/>
  <c r="R1041" i="353" s="1"/>
  <c r="S1041" i="353" s="1"/>
  <c r="Q846" i="353"/>
  <c r="R846" i="353" s="1"/>
  <c r="Q987" i="353"/>
  <c r="R987" i="353" s="1"/>
  <c r="S987" i="353" s="1"/>
  <c r="Q397" i="353"/>
  <c r="R397" i="353" s="1"/>
  <c r="S397" i="353" s="1"/>
  <c r="Q925" i="353"/>
  <c r="R925" i="353" s="1"/>
  <c r="S925" i="353" s="1"/>
  <c r="Q621" i="353"/>
  <c r="R621" i="353" s="1"/>
  <c r="S621" i="353" s="1"/>
  <c r="Q240" i="353"/>
  <c r="R240" i="353" s="1"/>
  <c r="S240" i="353" s="1"/>
  <c r="Q241" i="353"/>
  <c r="R241" i="353" s="1"/>
  <c r="S241" i="353" s="1"/>
  <c r="Q955" i="353"/>
  <c r="R955" i="353" s="1"/>
  <c r="S955" i="353" s="1"/>
  <c r="Q1057" i="353"/>
  <c r="R1057" i="353" s="1"/>
  <c r="S1057" i="353" s="1"/>
  <c r="Q1255" i="353"/>
  <c r="R1255" i="353" s="1"/>
  <c r="S1255" i="353" s="1"/>
  <c r="Q1098" i="353"/>
  <c r="R1098" i="353" s="1"/>
  <c r="S1098" i="353" s="1"/>
  <c r="Q1224" i="353"/>
  <c r="R1224" i="353" s="1"/>
  <c r="S1224" i="353" s="1"/>
  <c r="Q1099" i="353"/>
  <c r="R1099" i="353" s="1"/>
  <c r="S1099" i="353" s="1"/>
  <c r="Q1060" i="353"/>
  <c r="R1060" i="353" s="1"/>
  <c r="S1060" i="353" s="1"/>
  <c r="Q50" i="353"/>
  <c r="R50" i="353" s="1"/>
  <c r="S50" i="353" s="1"/>
  <c r="Q171" i="353"/>
  <c r="R171" i="353" s="1"/>
  <c r="S171" i="353" s="1"/>
  <c r="Q363" i="353"/>
  <c r="R363" i="353" s="1"/>
  <c r="S363" i="353" s="1"/>
  <c r="Q491" i="353"/>
  <c r="R491" i="353" s="1"/>
  <c r="S491" i="353" s="1"/>
  <c r="Q625" i="353"/>
  <c r="R625" i="353" s="1"/>
  <c r="S625" i="353" s="1"/>
  <c r="Q11" i="353"/>
  <c r="R11" i="353" s="1"/>
  <c r="S11" i="353" s="1"/>
  <c r="Q132" i="353"/>
  <c r="R132" i="353" s="1"/>
  <c r="S132" i="353" s="1"/>
  <c r="Q331" i="353"/>
  <c r="R331" i="353" s="1"/>
  <c r="S331" i="353" s="1"/>
  <c r="Q524" i="353"/>
  <c r="R524" i="353" s="1"/>
  <c r="S524" i="353" s="1"/>
  <c r="Q767" i="353"/>
  <c r="R767" i="353" s="1"/>
  <c r="S767" i="353" s="1"/>
  <c r="Q205" i="353"/>
  <c r="R205" i="353" s="1"/>
  <c r="S205" i="353" s="1"/>
  <c r="Q453" i="353"/>
  <c r="R453" i="353" s="1"/>
  <c r="S453" i="353" s="1"/>
  <c r="Q37" i="353"/>
  <c r="R37" i="353" s="1"/>
  <c r="S37" i="353" s="1"/>
  <c r="Q206" i="353"/>
  <c r="R206" i="353" s="1"/>
  <c r="S206" i="353" s="1"/>
  <c r="Q406" i="353"/>
  <c r="R406" i="353" s="1"/>
  <c r="S406" i="353" s="1"/>
  <c r="Q682" i="353"/>
  <c r="R682" i="353" s="1"/>
  <c r="S682" i="353" s="1"/>
  <c r="Q918" i="353"/>
  <c r="R918" i="353" s="1"/>
  <c r="S918" i="353" s="1"/>
  <c r="Q54" i="353"/>
  <c r="R54" i="353" s="1"/>
  <c r="S54" i="353" s="1"/>
  <c r="Q318" i="353"/>
  <c r="R318" i="353" s="1"/>
  <c r="S318" i="353" s="1"/>
  <c r="Q503" i="353"/>
  <c r="R503" i="353" s="1"/>
  <c r="S503" i="353" s="1"/>
  <c r="Q778" i="353"/>
  <c r="R778" i="353" s="1"/>
  <c r="S778" i="353" s="1"/>
  <c r="Q1018" i="353"/>
  <c r="R1018" i="353" s="1"/>
  <c r="S1018" i="353" s="1"/>
  <c r="Q823" i="353"/>
  <c r="R823" i="353" s="1"/>
  <c r="S823" i="353" s="1"/>
  <c r="Q405" i="353"/>
  <c r="R405" i="353" s="1"/>
  <c r="S405" i="353" s="1"/>
  <c r="Q824" i="353"/>
  <c r="R824" i="353" s="1"/>
  <c r="S824" i="353" s="1"/>
  <c r="Q972" i="353"/>
  <c r="R972" i="353" s="1"/>
  <c r="S972" i="353" s="1"/>
  <c r="Q761" i="353"/>
  <c r="R761" i="353" s="1"/>
  <c r="S761" i="353" s="1"/>
  <c r="Q190" i="353"/>
  <c r="R190" i="353" s="1"/>
  <c r="S190" i="353" s="1"/>
  <c r="Q153" i="353"/>
  <c r="R153" i="353" s="1"/>
  <c r="S153" i="353" s="1"/>
  <c r="Q1093" i="353"/>
  <c r="R1093" i="353" s="1"/>
  <c r="S1093" i="353" s="1"/>
  <c r="Q1259" i="353"/>
  <c r="R1259" i="353" s="1"/>
  <c r="S1259" i="353" s="1"/>
  <c r="Q513" i="353"/>
  <c r="R513" i="353" s="1"/>
  <c r="S513" i="353" s="1"/>
  <c r="Q1144" i="353"/>
  <c r="R1144" i="353" s="1"/>
  <c r="S1144" i="353" s="1"/>
  <c r="Q1116" i="353"/>
  <c r="R1116" i="353" s="1"/>
  <c r="S1116" i="353" s="1"/>
  <c r="Q1288" i="353"/>
  <c r="R1288" i="353" s="1"/>
  <c r="S1288" i="353" s="1"/>
  <c r="Q1111" i="353"/>
  <c r="R1111" i="353" s="1"/>
  <c r="S1111" i="353" s="1"/>
  <c r="Q1269" i="353"/>
  <c r="R1269" i="353" s="1"/>
  <c r="S1269" i="353" s="1"/>
  <c r="Q1230" i="353"/>
  <c r="R1230" i="353" s="1"/>
  <c r="S1230" i="353" s="1"/>
  <c r="Q641" i="353"/>
  <c r="R641" i="353" s="1"/>
  <c r="S641" i="353" s="1"/>
  <c r="Q675" i="353"/>
  <c r="R675" i="353" s="1"/>
  <c r="S675" i="353" s="1"/>
  <c r="Q1197" i="353"/>
  <c r="R1197" i="353" s="1"/>
  <c r="S1197" i="353" s="1"/>
  <c r="Q191" i="353"/>
  <c r="R191" i="353" s="1"/>
  <c r="S191" i="353" s="1"/>
  <c r="Q833" i="353"/>
  <c r="R833" i="353" s="1"/>
  <c r="S833" i="353" s="1"/>
  <c r="Q998" i="353"/>
  <c r="R998" i="353" s="1"/>
  <c r="S998" i="353" s="1"/>
  <c r="Q121" i="353"/>
  <c r="R121" i="353" s="1"/>
  <c r="S121" i="353" s="1"/>
  <c r="Q200" i="353"/>
  <c r="R200" i="353" s="1"/>
  <c r="S200" i="353" s="1"/>
  <c r="Q376" i="353"/>
  <c r="R376" i="353" s="1"/>
  <c r="S376" i="353" s="1"/>
  <c r="Q512" i="353"/>
  <c r="R512" i="353" s="1"/>
  <c r="S512" i="353" s="1"/>
  <c r="Q646" i="353"/>
  <c r="R646" i="353" s="1"/>
  <c r="S646" i="353" s="1"/>
  <c r="Q24" i="353"/>
  <c r="R24" i="353" s="1"/>
  <c r="S24" i="353" s="1"/>
  <c r="Q320" i="353"/>
  <c r="R320" i="353" s="1"/>
  <c r="S320" i="353" s="1"/>
  <c r="Q505" i="353"/>
  <c r="R505" i="353" s="1"/>
  <c r="S505" i="353" s="1"/>
  <c r="Q748" i="353"/>
  <c r="R748" i="353" s="1"/>
  <c r="S748" i="353" s="1"/>
  <c r="Q787" i="353"/>
  <c r="R787" i="353" s="1"/>
  <c r="S787" i="353" s="1"/>
  <c r="Q796" i="353"/>
  <c r="R796" i="353" s="1"/>
  <c r="S796" i="353" s="1"/>
  <c r="Q865" i="353"/>
  <c r="R865" i="353" s="1"/>
  <c r="S865" i="353" s="1"/>
  <c r="Q866" i="353"/>
  <c r="R866" i="353" s="1"/>
  <c r="S866" i="353" s="1"/>
  <c r="Q17" i="353"/>
  <c r="R17" i="353" s="1"/>
  <c r="S17" i="353" s="1"/>
  <c r="Q146" i="353"/>
  <c r="R146" i="353" s="1"/>
  <c r="S146" i="353" s="1"/>
  <c r="Q274" i="353"/>
  <c r="R274" i="353" s="1"/>
  <c r="S274" i="353" s="1"/>
  <c r="Q337" i="353"/>
  <c r="R337" i="353" s="1"/>
  <c r="S337" i="353" s="1"/>
  <c r="Q466" i="353"/>
  <c r="R466" i="353" s="1"/>
  <c r="S466" i="353" s="1"/>
  <c r="Q594" i="353"/>
  <c r="R594" i="353" s="1"/>
  <c r="S594" i="353" s="1"/>
  <c r="Q656" i="353"/>
  <c r="R656" i="353" s="1"/>
  <c r="S656" i="353" s="1"/>
  <c r="Q781" i="353"/>
  <c r="R781" i="353" s="1"/>
  <c r="S781" i="353" s="1"/>
  <c r="Q922" i="353"/>
  <c r="R922" i="353" s="1"/>
  <c r="S922" i="353" s="1"/>
  <c r="Q1049" i="353"/>
  <c r="R1049" i="353" s="1"/>
  <c r="S1049" i="353" s="1"/>
  <c r="Q876" i="353"/>
  <c r="R876" i="353" s="1"/>
  <c r="S876" i="353" s="1"/>
  <c r="Q165" i="353"/>
  <c r="R165" i="353" s="1"/>
  <c r="S165" i="353" s="1"/>
  <c r="Q421" i="353"/>
  <c r="R421" i="353" s="1"/>
  <c r="S421" i="353" s="1"/>
  <c r="Q996" i="353"/>
  <c r="R996" i="353" s="1"/>
  <c r="S996" i="353" s="1"/>
  <c r="Q7" i="353"/>
  <c r="R7" i="353" s="1"/>
  <c r="S7" i="353" s="1"/>
  <c r="Q77" i="353"/>
  <c r="R77" i="353" s="1"/>
  <c r="S77" i="353" s="1"/>
  <c r="Q1337" i="353"/>
  <c r="R1337" i="353" s="1"/>
  <c r="S1337" i="353" s="1"/>
  <c r="Q970" i="353"/>
  <c r="R970" i="353" s="1"/>
  <c r="S970" i="353" s="1"/>
  <c r="Q1065" i="353"/>
  <c r="R1065" i="353" s="1"/>
  <c r="Q1192" i="353"/>
  <c r="R1192" i="353" s="1"/>
  <c r="S1192" i="353" s="1"/>
  <c r="Q1323" i="353"/>
  <c r="R1323" i="353" s="1"/>
  <c r="S1323" i="353" s="1"/>
  <c r="Q1169" i="353"/>
  <c r="R1169" i="353" s="1"/>
  <c r="S1169" i="353" s="1"/>
  <c r="Q1300" i="353"/>
  <c r="R1300" i="353" s="1"/>
  <c r="S1300" i="353" s="1"/>
  <c r="Q1107" i="353"/>
  <c r="R1107" i="353" s="1"/>
  <c r="S1107" i="353" s="1"/>
  <c r="Q1309" i="353"/>
  <c r="R1309" i="353" s="1"/>
  <c r="S1309" i="353" s="1"/>
  <c r="Q1334" i="353"/>
  <c r="R1334" i="353" s="1"/>
  <c r="S1334" i="353" s="1"/>
  <c r="Q57" i="353"/>
  <c r="R57" i="353" s="1"/>
  <c r="S57" i="353" s="1"/>
  <c r="Q179" i="353"/>
  <c r="R179" i="353" s="1"/>
  <c r="S179" i="353" s="1"/>
  <c r="Q371" i="353"/>
  <c r="R371" i="353" s="1"/>
  <c r="S371" i="353" s="1"/>
  <c r="Q499" i="353"/>
  <c r="R499" i="353" s="1"/>
  <c r="S499" i="353" s="1"/>
  <c r="Q563" i="353"/>
  <c r="R563" i="353" s="1"/>
  <c r="S563" i="353" s="1"/>
  <c r="Q766" i="353"/>
  <c r="R766" i="353" s="1"/>
  <c r="S766" i="353" s="1"/>
  <c r="Q891" i="353"/>
  <c r="R891" i="353" s="1"/>
  <c r="S891" i="353" s="1"/>
  <c r="Q19" i="353"/>
  <c r="R19" i="353" s="1"/>
  <c r="S19" i="353" s="1"/>
  <c r="Q140" i="353"/>
  <c r="R140" i="353" s="1"/>
  <c r="S140" i="353" s="1"/>
  <c r="Q204" i="353"/>
  <c r="R204" i="353" s="1"/>
  <c r="S204" i="353" s="1"/>
  <c r="Q268" i="353"/>
  <c r="R268" i="353" s="1"/>
  <c r="S268" i="353" s="1"/>
  <c r="Q339" i="353"/>
  <c r="R339" i="353" s="1"/>
  <c r="S339" i="353" s="1"/>
  <c r="Q404" i="353"/>
  <c r="R404" i="353" s="1"/>
  <c r="S404" i="353" s="1"/>
  <c r="Q468" i="353"/>
  <c r="R468" i="353" s="1"/>
  <c r="S468" i="353" s="1"/>
  <c r="Q532" i="353"/>
  <c r="R532" i="353" s="1"/>
  <c r="S532" i="353" s="1"/>
  <c r="Q626" i="353"/>
  <c r="R626" i="353" s="1"/>
  <c r="S626" i="353" s="1"/>
  <c r="Q799" i="353"/>
  <c r="R799" i="353" s="1"/>
  <c r="S799" i="353" s="1"/>
  <c r="Q1019" i="353"/>
  <c r="R1019" i="353" s="1"/>
  <c r="S1019" i="353" s="1"/>
  <c r="Q104" i="353"/>
  <c r="R104" i="353" s="1"/>
  <c r="S104" i="353" s="1"/>
  <c r="Q221" i="353"/>
  <c r="R221" i="353" s="1"/>
  <c r="S221" i="353" s="1"/>
  <c r="Q340" i="353"/>
  <c r="R340" i="353" s="1"/>
  <c r="S340" i="353" s="1"/>
  <c r="Q461" i="353"/>
  <c r="R461" i="353" s="1"/>
  <c r="S461" i="353" s="1"/>
  <c r="Q573" i="353"/>
  <c r="R573" i="353" s="1"/>
  <c r="S573" i="353" s="1"/>
  <c r="Q681" i="353"/>
  <c r="R681" i="353" s="1"/>
  <c r="S681" i="353" s="1"/>
  <c r="Q45" i="353"/>
  <c r="R45" i="353" s="1"/>
  <c r="S45" i="353" s="1"/>
  <c r="Q119" i="353"/>
  <c r="R119" i="353" s="1"/>
  <c r="S119" i="353" s="1"/>
  <c r="Q222" i="353"/>
  <c r="R222" i="353" s="1"/>
  <c r="S222" i="353" s="1"/>
  <c r="Q325" i="353"/>
  <c r="R325" i="353" s="1"/>
  <c r="S325" i="353" s="1"/>
  <c r="Q414" i="353"/>
  <c r="R414" i="353" s="1"/>
  <c r="S414" i="353" s="1"/>
  <c r="Q510" i="353"/>
  <c r="R510" i="353" s="1"/>
  <c r="S510" i="353" s="1"/>
  <c r="Q590" i="353"/>
  <c r="R590" i="353" s="1"/>
  <c r="S590" i="353" s="1"/>
  <c r="Q706" i="353"/>
  <c r="R706" i="353" s="1"/>
  <c r="S706" i="353" s="1"/>
  <c r="Q817" i="353"/>
  <c r="R817" i="353" s="1"/>
  <c r="S817" i="353" s="1"/>
  <c r="Q934" i="353"/>
  <c r="R934" i="353" s="1"/>
  <c r="S934" i="353" s="1"/>
  <c r="Q1029" i="353"/>
  <c r="R1029" i="353" s="1"/>
  <c r="S1029" i="353" s="1"/>
  <c r="Q61" i="353"/>
  <c r="R61" i="353" s="1"/>
  <c r="S61" i="353" s="1"/>
  <c r="Q135" i="353"/>
  <c r="R135" i="353" s="1"/>
  <c r="S135" i="353" s="1"/>
  <c r="Q247" i="353"/>
  <c r="R247" i="353" s="1"/>
  <c r="S247" i="353" s="1"/>
  <c r="Q326" i="353"/>
  <c r="R326" i="353" s="1"/>
  <c r="S326" i="353" s="1"/>
  <c r="Q415" i="353"/>
  <c r="R415" i="353" s="1"/>
  <c r="S415" i="353" s="1"/>
  <c r="Q511" i="353"/>
  <c r="R511" i="353" s="1"/>
  <c r="S511" i="353" s="1"/>
  <c r="Q613" i="353"/>
  <c r="R613" i="353" s="1"/>
  <c r="S613" i="353" s="1"/>
  <c r="Q699" i="353"/>
  <c r="R699" i="353" s="1"/>
  <c r="S699" i="353" s="1"/>
  <c r="Q786" i="353"/>
  <c r="R786" i="353" s="1"/>
  <c r="S786" i="353" s="1"/>
  <c r="Q687" i="353"/>
  <c r="R687" i="353" s="1"/>
  <c r="S687" i="353" s="1"/>
  <c r="Q1034" i="353"/>
  <c r="R1034" i="353" s="1"/>
  <c r="S1034" i="353" s="1"/>
  <c r="Q838" i="353"/>
  <c r="R838" i="353" s="1"/>
  <c r="S838" i="353" s="1"/>
  <c r="Q66" i="353"/>
  <c r="R66" i="353" s="1"/>
  <c r="S66" i="353" s="1"/>
  <c r="Q413" i="353"/>
  <c r="R413" i="353" s="1"/>
  <c r="S413" i="353" s="1"/>
  <c r="Q768" i="353"/>
  <c r="R768" i="353" s="1"/>
  <c r="S768" i="353" s="1"/>
  <c r="Q831" i="353"/>
  <c r="R831" i="353" s="1"/>
  <c r="S831" i="353" s="1"/>
  <c r="Q901" i="353"/>
  <c r="R901" i="353" s="1"/>
  <c r="S901" i="353" s="1"/>
  <c r="Q980" i="353"/>
  <c r="R980" i="353" s="1"/>
  <c r="S980" i="353" s="1"/>
  <c r="Q793" i="353"/>
  <c r="R793" i="353" s="1"/>
  <c r="S793" i="353" s="1"/>
  <c r="Q1317" i="353"/>
  <c r="R1317" i="353" s="1"/>
  <c r="S1317" i="353" s="1"/>
  <c r="Q246" i="353"/>
  <c r="R246" i="353" s="1"/>
  <c r="S246" i="353" s="1"/>
  <c r="Q730" i="353"/>
  <c r="R730" i="353" s="1"/>
  <c r="S730" i="353" s="1"/>
  <c r="Q645" i="353"/>
  <c r="R645" i="353" s="1"/>
  <c r="S645" i="353" s="1"/>
  <c r="Q161" i="353"/>
  <c r="R161" i="353" s="1"/>
  <c r="S161" i="353" s="1"/>
  <c r="Q537" i="353"/>
  <c r="R537" i="353" s="1"/>
  <c r="S537" i="353" s="1"/>
  <c r="Q1101" i="353"/>
  <c r="R1101" i="353" s="1"/>
  <c r="S1101" i="353" s="1"/>
  <c r="Q1188" i="353"/>
  <c r="R1188" i="353" s="1"/>
  <c r="S1188" i="353" s="1"/>
  <c r="Q1267" i="353"/>
  <c r="R1267" i="353" s="1"/>
  <c r="S1267" i="353" s="1"/>
  <c r="Q577" i="353"/>
  <c r="R577" i="353" s="1"/>
  <c r="S577" i="353" s="1"/>
  <c r="Q1088" i="353"/>
  <c r="R1088" i="353" s="1"/>
  <c r="S1088" i="353" s="1"/>
  <c r="Q1159" i="353"/>
  <c r="R1159" i="353" s="1"/>
  <c r="S1159" i="353" s="1"/>
  <c r="Q997" i="353"/>
  <c r="R997" i="353" s="1"/>
  <c r="S997" i="353" s="1"/>
  <c r="Q1132" i="353"/>
  <c r="R1132" i="353" s="1"/>
  <c r="S1132" i="353" s="1"/>
  <c r="Q1219" i="353"/>
  <c r="R1219" i="353" s="1"/>
  <c r="S1219" i="353" s="1"/>
  <c r="Q1296" i="353"/>
  <c r="R1296" i="353" s="1"/>
  <c r="S1296" i="353" s="1"/>
  <c r="Q1127" i="353"/>
  <c r="R1127" i="353" s="1"/>
  <c r="S1127" i="353" s="1"/>
  <c r="Q1206" i="353"/>
  <c r="R1206" i="353" s="1"/>
  <c r="S1206" i="353" s="1"/>
  <c r="Q1277" i="353"/>
  <c r="R1277" i="353" s="1"/>
  <c r="S1277" i="353" s="1"/>
  <c r="Q1254" i="353"/>
  <c r="R1254" i="353" s="1"/>
  <c r="S1254" i="353" s="1"/>
  <c r="Q1262" i="353"/>
  <c r="R1262" i="353" s="1"/>
  <c r="S1262" i="353" s="1"/>
  <c r="Q53" i="353"/>
  <c r="R53" i="353" s="1"/>
  <c r="S53" i="353" s="1"/>
  <c r="Q398" i="353"/>
  <c r="R398" i="353" s="1"/>
  <c r="S398" i="353" s="1"/>
  <c r="Q801" i="353"/>
  <c r="R801" i="353" s="1"/>
  <c r="Q1110" i="353"/>
  <c r="R1110" i="353" s="1"/>
  <c r="S1110" i="353" s="1"/>
  <c r="Q1205" i="353"/>
  <c r="R1205" i="353" s="1"/>
  <c r="S1205" i="353" s="1"/>
  <c r="Q1283" i="353"/>
  <c r="R1283" i="353" s="1"/>
  <c r="S1283" i="353" s="1"/>
  <c r="Q215" i="353"/>
  <c r="R215" i="353" s="1"/>
  <c r="S215" i="353" s="1"/>
  <c r="Q471" i="353"/>
  <c r="R471" i="353" s="1"/>
  <c r="S471" i="353" s="1"/>
  <c r="Q857" i="353"/>
  <c r="R857" i="353" s="1"/>
  <c r="S857" i="353" s="1"/>
  <c r="Q943" i="353"/>
  <c r="R943" i="353" s="1"/>
  <c r="S943" i="353" s="1"/>
  <c r="Q1006" i="353"/>
  <c r="R1006" i="353" s="1"/>
  <c r="S1006" i="353" s="1"/>
  <c r="Q39" i="353"/>
  <c r="R39" i="353" s="1"/>
  <c r="S39" i="353" s="1"/>
  <c r="Q128" i="353"/>
  <c r="R128" i="353" s="1"/>
  <c r="S128" i="353" s="1"/>
  <c r="Q208" i="353"/>
  <c r="R208" i="353" s="1"/>
  <c r="S208" i="353" s="1"/>
  <c r="Q303" i="353"/>
  <c r="R303" i="353" s="1"/>
  <c r="S303" i="353" s="1"/>
  <c r="Q384" i="353"/>
  <c r="R384" i="353" s="1"/>
  <c r="S384" i="353" s="1"/>
  <c r="Q456" i="353"/>
  <c r="R456" i="353" s="1"/>
  <c r="S456" i="353" s="1"/>
  <c r="Q520" i="353"/>
  <c r="R520" i="353" s="1"/>
  <c r="S520" i="353" s="1"/>
  <c r="Q592" i="353"/>
  <c r="R592" i="353" s="1"/>
  <c r="S592" i="353" s="1"/>
  <c r="Q654" i="353"/>
  <c r="R654" i="353" s="1"/>
  <c r="S654" i="353" s="1"/>
  <c r="Q716" i="353"/>
  <c r="R716" i="353" s="1"/>
  <c r="S716" i="353" s="1"/>
  <c r="Q40" i="353"/>
  <c r="R40" i="353" s="1"/>
  <c r="S40" i="353" s="1"/>
  <c r="Q225" i="353"/>
  <c r="R225" i="353" s="1"/>
  <c r="S225" i="353" s="1"/>
  <c r="Q336" i="353"/>
  <c r="R336" i="353" s="1"/>
  <c r="S336" i="353" s="1"/>
  <c r="Q417" i="353"/>
  <c r="R417" i="353" s="1"/>
  <c r="S417" i="353" s="1"/>
  <c r="Q521" i="353"/>
  <c r="R521" i="353" s="1"/>
  <c r="S521" i="353" s="1"/>
  <c r="Q608" i="353"/>
  <c r="R608" i="353" s="1"/>
  <c r="S608" i="353" s="1"/>
  <c r="Q693" i="353"/>
  <c r="R693" i="353" s="1"/>
  <c r="S693" i="353" s="1"/>
  <c r="Q842" i="353"/>
  <c r="R842" i="353" s="1"/>
  <c r="S842" i="353" s="1"/>
  <c r="Q803" i="353"/>
  <c r="R803" i="353" s="1"/>
  <c r="S803" i="353" s="1"/>
  <c r="Q952" i="353"/>
  <c r="R952" i="353" s="1"/>
  <c r="S952" i="353" s="1"/>
  <c r="Q812" i="353"/>
  <c r="R812" i="353" s="1"/>
  <c r="S812" i="353" s="1"/>
  <c r="Q1016" i="353"/>
  <c r="R1016" i="353" s="1"/>
  <c r="S1016" i="353" s="1"/>
  <c r="Q888" i="353"/>
  <c r="R888" i="353" s="1"/>
  <c r="Q1047" i="353"/>
  <c r="R1047" i="353" s="1"/>
  <c r="S1047" i="353" s="1"/>
  <c r="Q897" i="353"/>
  <c r="R897" i="353" s="1"/>
  <c r="S897" i="353" s="1"/>
  <c r="Q859" i="353"/>
  <c r="R859" i="353" s="1"/>
  <c r="S859" i="353" s="1"/>
  <c r="Q25" i="353"/>
  <c r="R25" i="353" s="1"/>
  <c r="S25" i="353" s="1"/>
  <c r="Q94" i="353"/>
  <c r="R94" i="353" s="1"/>
  <c r="S94" i="353" s="1"/>
  <c r="Q154" i="353"/>
  <c r="R154" i="353" s="1"/>
  <c r="S154" i="353" s="1"/>
  <c r="Q218" i="353"/>
  <c r="R218" i="353" s="1"/>
  <c r="S218" i="353" s="1"/>
  <c r="Q282" i="353"/>
  <c r="R282" i="353" s="1"/>
  <c r="S282" i="353" s="1"/>
  <c r="Q346" i="353"/>
  <c r="R346" i="353" s="1"/>
  <c r="S346" i="353" s="1"/>
  <c r="Q410" i="353"/>
  <c r="R410" i="353" s="1"/>
  <c r="S410" i="353" s="1"/>
  <c r="Q474" i="353"/>
  <c r="R474" i="353" s="1"/>
  <c r="S474" i="353" s="1"/>
  <c r="Q538" i="353"/>
  <c r="R538" i="353" s="1"/>
  <c r="S538" i="353" s="1"/>
  <c r="Q601" i="353"/>
  <c r="R601" i="353" s="1"/>
  <c r="S601" i="353" s="1"/>
  <c r="Q664" i="353"/>
  <c r="R664" i="353" s="1"/>
  <c r="Q726" i="353"/>
  <c r="R726" i="353" s="1"/>
  <c r="S726" i="353" s="1"/>
  <c r="Q789" i="353"/>
  <c r="R789" i="353" s="1"/>
  <c r="S789" i="353" s="1"/>
  <c r="Q860" i="353"/>
  <c r="R860" i="353" s="1"/>
  <c r="S860" i="353" s="1"/>
  <c r="Q930" i="353"/>
  <c r="R930" i="353" s="1"/>
  <c r="S930" i="353" s="1"/>
  <c r="Q993" i="353"/>
  <c r="R993" i="353" s="1"/>
  <c r="S993" i="353" s="1"/>
  <c r="Q603" i="353"/>
  <c r="R603" i="353" s="1"/>
  <c r="S603" i="353" s="1"/>
  <c r="Q743" i="353"/>
  <c r="R743" i="353" s="1"/>
  <c r="S743" i="353" s="1"/>
  <c r="Q884" i="353"/>
  <c r="R884" i="353" s="1"/>
  <c r="S884" i="353" s="1"/>
  <c r="Q1027" i="353"/>
  <c r="R1027" i="353" s="1"/>
  <c r="S1027" i="353" s="1"/>
  <c r="Q213" i="353"/>
  <c r="R213" i="353" s="1"/>
  <c r="S213" i="353" s="1"/>
  <c r="Q485" i="353"/>
  <c r="R485" i="353" s="1"/>
  <c r="S485" i="353" s="1"/>
  <c r="Q689" i="353"/>
  <c r="R689" i="353" s="1"/>
  <c r="S689" i="353" s="1"/>
  <c r="Q1036" i="353"/>
  <c r="R1036" i="353" s="1"/>
  <c r="S1036" i="353" s="1"/>
  <c r="Q1268" i="353"/>
  <c r="R1268" i="353" s="1"/>
  <c r="S1268" i="353" s="1"/>
  <c r="Q31" i="353"/>
  <c r="R31" i="353" s="1"/>
  <c r="S31" i="353" s="1"/>
  <c r="Q295" i="353"/>
  <c r="R295" i="353" s="1"/>
  <c r="S295" i="353" s="1"/>
  <c r="Q93" i="353"/>
  <c r="R93" i="353" s="1"/>
  <c r="S93" i="353" s="1"/>
  <c r="Q328" i="353"/>
  <c r="R328" i="353" s="1"/>
  <c r="S328" i="353" s="1"/>
  <c r="Q1055" i="353"/>
  <c r="R1055" i="353" s="1"/>
  <c r="S1055" i="353" s="1"/>
  <c r="Q665" i="353"/>
  <c r="R665" i="353" s="1"/>
  <c r="S665" i="353" s="1"/>
  <c r="Q845" i="353"/>
  <c r="R845" i="353" s="1"/>
  <c r="S845" i="353" s="1"/>
  <c r="Q986" i="353"/>
  <c r="R986" i="353" s="1"/>
  <c r="S986" i="353" s="1"/>
  <c r="Q1089" i="353"/>
  <c r="R1089" i="353" s="1"/>
  <c r="S1089" i="353" s="1"/>
  <c r="Q1286" i="353"/>
  <c r="R1286" i="353" s="1"/>
  <c r="S1286" i="353" s="1"/>
  <c r="Q1066" i="353"/>
  <c r="R1066" i="353" s="1"/>
  <c r="S1066" i="353" s="1"/>
  <c r="Q1256" i="353"/>
  <c r="R1256" i="353" s="1"/>
  <c r="S1256" i="353" s="1"/>
  <c r="Q1131" i="353"/>
  <c r="R1131" i="353" s="1"/>
  <c r="S1131" i="353" s="1"/>
  <c r="Q18" i="353"/>
  <c r="R18" i="353" s="1"/>
  <c r="S18" i="353" s="1"/>
  <c r="Q203" i="353"/>
  <c r="R203" i="353" s="1"/>
  <c r="S203" i="353" s="1"/>
  <c r="Q395" i="353"/>
  <c r="R395" i="353" s="1"/>
  <c r="Q523" i="353"/>
  <c r="R523" i="353" s="1"/>
  <c r="S523" i="353" s="1"/>
  <c r="Q822" i="353"/>
  <c r="R822" i="353" s="1"/>
  <c r="S822" i="353" s="1"/>
  <c r="Q43" i="353"/>
  <c r="R43" i="353" s="1"/>
  <c r="S43" i="353" s="1"/>
  <c r="Q228" i="353"/>
  <c r="R228" i="353" s="1"/>
  <c r="S228" i="353" s="1"/>
  <c r="Q364" i="353"/>
  <c r="R364" i="353" s="1"/>
  <c r="S364" i="353" s="1"/>
  <c r="Q564" i="353"/>
  <c r="R564" i="353" s="1"/>
  <c r="S564" i="353" s="1"/>
  <c r="Q892" i="353"/>
  <c r="R892" i="353" s="1"/>
  <c r="S892" i="353" s="1"/>
  <c r="Q261" i="353"/>
  <c r="R261" i="353" s="1"/>
  <c r="S261" i="353" s="1"/>
  <c r="Q627" i="353"/>
  <c r="R627" i="353" s="1"/>
  <c r="S627" i="353" s="1"/>
  <c r="Q158" i="353"/>
  <c r="R158" i="353" s="1"/>
  <c r="S158" i="353" s="1"/>
  <c r="Q358" i="353"/>
  <c r="R358" i="353" s="1"/>
  <c r="S358" i="353" s="1"/>
  <c r="Q612" i="353"/>
  <c r="R612" i="353" s="1"/>
  <c r="S612" i="353" s="1"/>
  <c r="Q14" i="353"/>
  <c r="R14" i="353" s="1"/>
  <c r="Q279" i="353"/>
  <c r="R279" i="353" s="1"/>
  <c r="S279" i="353" s="1"/>
  <c r="Q463" i="353"/>
  <c r="R463" i="353" s="1"/>
  <c r="S463" i="353" s="1"/>
  <c r="Q738" i="353"/>
  <c r="R738" i="353" s="1"/>
  <c r="S738" i="353" s="1"/>
  <c r="Q688" i="353"/>
  <c r="R688" i="353" s="1"/>
  <c r="S688" i="353" s="1"/>
  <c r="Q565" i="353"/>
  <c r="R565" i="353" s="1"/>
  <c r="S565" i="353" s="1"/>
  <c r="Q941" i="353"/>
  <c r="R941" i="353" s="1"/>
  <c r="S941" i="353" s="1"/>
  <c r="Q1083" i="353"/>
  <c r="R1083" i="353" s="1"/>
  <c r="S1083" i="353" s="1"/>
  <c r="Q534" i="353"/>
  <c r="R534" i="353" s="1"/>
  <c r="S534" i="353" s="1"/>
  <c r="Q16" i="353"/>
  <c r="R16" i="353" s="1"/>
  <c r="S16" i="353" s="1"/>
  <c r="Q1133" i="353"/>
  <c r="R1133" i="353" s="1"/>
  <c r="S1133" i="353" s="1"/>
  <c r="Q1303" i="353"/>
  <c r="R1303" i="353" s="1"/>
  <c r="S1303" i="353" s="1"/>
  <c r="Q1112" i="353"/>
  <c r="R1112" i="353" s="1"/>
  <c r="S1112" i="353" s="1"/>
  <c r="Q1076" i="353"/>
  <c r="R1076" i="353" s="1"/>
  <c r="S1076" i="353" s="1"/>
  <c r="Q1326" i="353"/>
  <c r="R1326" i="353" s="1"/>
  <c r="S1326" i="353" s="1"/>
  <c r="Q1071" i="353"/>
  <c r="R1071" i="353" s="1"/>
  <c r="S1071" i="353" s="1"/>
  <c r="Q1305" i="353"/>
  <c r="R1305" i="353" s="1"/>
  <c r="S1305" i="353" s="1"/>
  <c r="Q1306" i="353"/>
  <c r="R1306" i="353" s="1"/>
  <c r="S1306" i="353" s="1"/>
  <c r="Q214" i="353"/>
  <c r="R214" i="353" s="1"/>
  <c r="S214" i="353" s="1"/>
  <c r="Q1157" i="353"/>
  <c r="R1157" i="353" s="1"/>
  <c r="Q903" i="353"/>
  <c r="R903" i="353" s="1"/>
  <c r="S903" i="353" s="1"/>
  <c r="Q1030" i="353"/>
  <c r="R1030" i="353" s="1"/>
  <c r="S1030" i="353" s="1"/>
  <c r="Q248" i="353"/>
  <c r="R248" i="353" s="1"/>
  <c r="S248" i="353" s="1"/>
  <c r="Q480" i="353"/>
  <c r="R480" i="353" s="1"/>
  <c r="S480" i="353" s="1"/>
  <c r="Q614" i="353"/>
  <c r="R614" i="353" s="1"/>
  <c r="S614" i="353" s="1"/>
  <c r="Q100" i="353"/>
  <c r="R100" i="353" s="1"/>
  <c r="S100" i="353" s="1"/>
  <c r="Q457" i="353"/>
  <c r="R457" i="353" s="1"/>
  <c r="S457" i="353" s="1"/>
  <c r="Q647" i="353"/>
  <c r="R647" i="353" s="1"/>
  <c r="S647" i="353" s="1"/>
  <c r="Q999" i="353"/>
  <c r="R999" i="353" s="1"/>
  <c r="S999" i="353" s="1"/>
  <c r="Q1015" i="353"/>
  <c r="R1015" i="353" s="1"/>
  <c r="S1015" i="353" s="1"/>
  <c r="Q944" i="353"/>
  <c r="R944" i="353" s="1"/>
  <c r="S944" i="353" s="1"/>
  <c r="Q992" i="353"/>
  <c r="R992" i="353" s="1"/>
  <c r="S992" i="353" s="1"/>
  <c r="Q115" i="353"/>
  <c r="R115" i="353" s="1"/>
  <c r="S115" i="353" s="1"/>
  <c r="Q242" i="353"/>
  <c r="R242" i="353" s="1"/>
  <c r="S242" i="353" s="1"/>
  <c r="Q434" i="353"/>
  <c r="R434" i="353" s="1"/>
  <c r="S434" i="353" s="1"/>
  <c r="Q624" i="353"/>
  <c r="R624" i="353" s="1"/>
  <c r="S624" i="353" s="1"/>
  <c r="Q821" i="353"/>
  <c r="R821" i="353" s="1"/>
  <c r="S821" i="353" s="1"/>
  <c r="Q1017" i="353"/>
  <c r="R1017" i="353" s="1"/>
  <c r="S1017" i="353" s="1"/>
  <c r="Q783" i="353"/>
  <c r="R783" i="353" s="1"/>
  <c r="Q292" i="353"/>
  <c r="R292" i="353" s="1"/>
  <c r="S292" i="353" s="1"/>
  <c r="Q760" i="353"/>
  <c r="R760" i="353" s="1"/>
  <c r="S760" i="353" s="1"/>
  <c r="Q176" i="353"/>
  <c r="R176" i="353" s="1"/>
  <c r="S176" i="353" s="1"/>
  <c r="Q177" i="353"/>
  <c r="R177" i="353" s="1"/>
  <c r="S177" i="353" s="1"/>
  <c r="Q742" i="353"/>
  <c r="R742" i="353" s="1"/>
  <c r="S742" i="353" s="1"/>
  <c r="Q1297" i="353"/>
  <c r="R1297" i="353" s="1"/>
  <c r="S1297" i="353" s="1"/>
  <c r="Q1160" i="353"/>
  <c r="R1160" i="353" s="1"/>
  <c r="S1160" i="353" s="1"/>
  <c r="Q1201" i="353"/>
  <c r="R1201" i="353" s="1"/>
  <c r="S1201" i="353" s="1"/>
  <c r="Q1059" i="353"/>
  <c r="R1059" i="353" s="1"/>
  <c r="S1059" i="353" s="1"/>
  <c r="Q1211" i="353"/>
  <c r="R1211" i="353" s="1"/>
  <c r="S1211" i="353" s="1"/>
  <c r="Q26" i="353"/>
  <c r="R26" i="353" s="1"/>
  <c r="S26" i="353" s="1"/>
  <c r="Q211" i="353"/>
  <c r="R211" i="353" s="1"/>
  <c r="S211" i="353" s="1"/>
  <c r="Q338" i="353"/>
  <c r="R338" i="353" s="1"/>
  <c r="S338" i="353" s="1"/>
  <c r="Q531" i="353"/>
  <c r="R531" i="353" s="1"/>
  <c r="S531" i="353" s="1"/>
  <c r="Q829" i="353"/>
  <c r="R829" i="353" s="1"/>
  <c r="S829" i="353" s="1"/>
  <c r="Q51" i="353"/>
  <c r="R51" i="353" s="1"/>
  <c r="S51" i="353" s="1"/>
  <c r="Q236" i="353"/>
  <c r="R236" i="353" s="1"/>
  <c r="S236" i="353" s="1"/>
  <c r="Q372" i="353"/>
  <c r="R372" i="353" s="1"/>
  <c r="S372" i="353" s="1"/>
  <c r="Q572" i="353"/>
  <c r="R572" i="353" s="1"/>
  <c r="S572" i="353" s="1"/>
  <c r="Q36" i="353"/>
  <c r="R36" i="353" s="1"/>
  <c r="S36" i="353" s="1"/>
  <c r="Q269" i="353"/>
  <c r="R269" i="353" s="1"/>
  <c r="S269" i="353" s="1"/>
  <c r="Q643" i="353"/>
  <c r="R643" i="353" s="1"/>
  <c r="S643" i="353" s="1"/>
  <c r="Q90" i="353"/>
  <c r="R90" i="353" s="1"/>
  <c r="S90" i="353" s="1"/>
  <c r="Q374" i="353"/>
  <c r="R374" i="353" s="1"/>
  <c r="S374" i="353" s="1"/>
  <c r="Q558" i="353"/>
  <c r="R558" i="353" s="1"/>
  <c r="S558" i="353" s="1"/>
  <c r="Q886" i="353"/>
  <c r="R886" i="353" s="1"/>
  <c r="S886" i="353" s="1"/>
  <c r="Q98" i="353"/>
  <c r="R98" i="353" s="1"/>
  <c r="Q375" i="353"/>
  <c r="R375" i="353" s="1"/>
  <c r="S375" i="353" s="1"/>
  <c r="Q661" i="353"/>
  <c r="R661" i="353" s="1"/>
  <c r="S661" i="353" s="1"/>
  <c r="Q841" i="353"/>
  <c r="R841" i="353" s="1"/>
  <c r="S841" i="353" s="1"/>
  <c r="Q932" i="353"/>
  <c r="R932" i="353" s="1"/>
  <c r="S932" i="353" s="1"/>
  <c r="Q800" i="353"/>
  <c r="R800" i="353" s="1"/>
  <c r="S800" i="353" s="1"/>
  <c r="Q863" i="353"/>
  <c r="R863" i="353" s="1"/>
  <c r="S863" i="353" s="1"/>
  <c r="Q1194" i="353"/>
  <c r="R1194" i="353" s="1"/>
  <c r="S1194" i="353" s="1"/>
  <c r="Q620" i="353"/>
  <c r="R620" i="353" s="1"/>
  <c r="S620" i="353" s="1"/>
  <c r="Q1061" i="353"/>
  <c r="R1061" i="353" s="1"/>
  <c r="S1061" i="353" s="1"/>
  <c r="Q1227" i="353"/>
  <c r="R1227" i="353" s="1"/>
  <c r="S1227" i="353" s="1"/>
  <c r="Q1056" i="353"/>
  <c r="R1056" i="353" s="1"/>
  <c r="S1056" i="353" s="1"/>
  <c r="Q1191" i="353"/>
  <c r="R1191" i="353" s="1"/>
  <c r="S1191" i="353" s="1"/>
  <c r="Q1258" i="353"/>
  <c r="R1258" i="353" s="1"/>
  <c r="S1258" i="353" s="1"/>
  <c r="Q1158" i="353"/>
  <c r="R1158" i="353" s="1"/>
  <c r="S1158" i="353" s="1"/>
  <c r="Q1314" i="353"/>
  <c r="R1314" i="353" s="1"/>
  <c r="S1314" i="353" s="1"/>
  <c r="Q502" i="353"/>
  <c r="R502" i="353" s="1"/>
  <c r="S502" i="353" s="1"/>
  <c r="Q1236" i="353"/>
  <c r="R1236" i="353" s="1"/>
  <c r="S1236" i="353" s="1"/>
  <c r="Q399" i="353"/>
  <c r="R399" i="353" s="1"/>
  <c r="S399" i="353" s="1"/>
  <c r="Q974" i="353"/>
  <c r="R974" i="353" s="1"/>
  <c r="S974" i="353" s="1"/>
  <c r="Q160" i="353"/>
  <c r="R160" i="353" s="1"/>
  <c r="S160" i="353" s="1"/>
  <c r="Q335" i="353"/>
  <c r="R335" i="353" s="1"/>
  <c r="S335" i="353" s="1"/>
  <c r="Q552" i="353"/>
  <c r="R552" i="353" s="1"/>
  <c r="S552" i="353" s="1"/>
  <c r="Q106" i="353"/>
  <c r="R106" i="353" s="1"/>
  <c r="S106" i="353" s="1"/>
  <c r="Q465" i="353"/>
  <c r="R465" i="353" s="1"/>
  <c r="S465" i="353" s="1"/>
  <c r="Q725" i="353"/>
  <c r="R725" i="353" s="1"/>
  <c r="S725" i="353" s="1"/>
  <c r="Q880" i="353"/>
  <c r="R880" i="353" s="1"/>
  <c r="S880" i="353" s="1"/>
  <c r="Q811" i="353"/>
  <c r="R811" i="353" s="1"/>
  <c r="S811" i="353" s="1"/>
  <c r="Q1024" i="353"/>
  <c r="R1024" i="353" s="1"/>
  <c r="S1024" i="353" s="1"/>
  <c r="Q122" i="353"/>
  <c r="R122" i="353" s="1"/>
  <c r="S122" i="353" s="1"/>
  <c r="Q313" i="353"/>
  <c r="R313" i="353" s="1"/>
  <c r="S313" i="353" s="1"/>
  <c r="Q442" i="353"/>
  <c r="R442" i="353" s="1"/>
  <c r="S442" i="353" s="1"/>
  <c r="Q632" i="353"/>
  <c r="R632" i="353" s="1"/>
  <c r="S632" i="353" s="1"/>
  <c r="Q828" i="353"/>
  <c r="R828" i="353" s="1"/>
  <c r="S828" i="353" s="1"/>
  <c r="Q961" i="353"/>
  <c r="R961" i="353" s="1"/>
  <c r="S961" i="353" s="1"/>
  <c r="Q807" i="353"/>
  <c r="R807" i="353" s="1"/>
  <c r="S807" i="353" s="1"/>
  <c r="Q316" i="353"/>
  <c r="R316" i="353" s="1"/>
  <c r="S316" i="353" s="1"/>
  <c r="Q6" i="353"/>
  <c r="R6" i="353" s="1"/>
  <c r="S6" i="353" s="1"/>
  <c r="Q185" i="353"/>
  <c r="R185" i="353" s="1"/>
  <c r="S185" i="353" s="1"/>
  <c r="Q915" i="353"/>
  <c r="R915" i="353" s="1"/>
  <c r="S915" i="353" s="1"/>
  <c r="Q1335" i="353"/>
  <c r="R1335" i="353" s="1"/>
  <c r="S1335" i="353" s="1"/>
  <c r="Q1239" i="353"/>
  <c r="R1239" i="353" s="1"/>
  <c r="S1239" i="353" s="1"/>
  <c r="Q1209" i="353"/>
  <c r="R1209" i="353" s="1"/>
  <c r="S1209" i="353" s="1"/>
  <c r="Q1265" i="353"/>
  <c r="R1265" i="353" s="1"/>
  <c r="S1265" i="353" s="1"/>
  <c r="Q1250" i="353"/>
  <c r="R1250" i="353" s="1"/>
  <c r="S1250" i="353" s="1"/>
  <c r="Q95" i="353"/>
  <c r="R95" i="353" s="1"/>
  <c r="S95" i="353" s="1"/>
  <c r="Q283" i="353"/>
  <c r="R283" i="353" s="1"/>
  <c r="S283" i="353" s="1"/>
  <c r="Q411" i="353"/>
  <c r="R411" i="353" s="1"/>
  <c r="S411" i="353" s="1"/>
  <c r="Q602" i="353"/>
  <c r="R602" i="353" s="1"/>
  <c r="S602" i="353" s="1"/>
  <c r="Q853" i="353"/>
  <c r="R853" i="353" s="1"/>
  <c r="S853" i="353" s="1"/>
  <c r="Q117" i="353"/>
  <c r="R117" i="353" s="1"/>
  <c r="S117" i="353" s="1"/>
  <c r="Q244" i="353"/>
  <c r="R244" i="353" s="1"/>
  <c r="S244" i="353" s="1"/>
  <c r="Q380" i="353"/>
  <c r="R380" i="353" s="1"/>
  <c r="S380" i="353" s="1"/>
  <c r="Q508" i="353"/>
  <c r="R508" i="353" s="1"/>
  <c r="S508" i="353" s="1"/>
  <c r="Q948" i="353"/>
  <c r="R948" i="353" s="1"/>
  <c r="S948" i="353" s="1"/>
  <c r="Q285" i="353"/>
  <c r="R285" i="353" s="1"/>
  <c r="S285" i="353" s="1"/>
  <c r="Q651" i="353"/>
  <c r="R651" i="353" s="1"/>
  <c r="S651" i="353" s="1"/>
  <c r="Q182" i="353"/>
  <c r="R182" i="353" s="1"/>
  <c r="S182" i="353" s="1"/>
  <c r="Q478" i="353"/>
  <c r="R478" i="353" s="1"/>
  <c r="S478" i="353" s="1"/>
  <c r="Q652" i="353"/>
  <c r="R652" i="353" s="1"/>
  <c r="S652" i="353" s="1"/>
  <c r="Q989" i="353"/>
  <c r="R989" i="353" s="1"/>
  <c r="Q112" i="353"/>
  <c r="R112" i="353" s="1"/>
  <c r="S112" i="353" s="1"/>
  <c r="Q383" i="353"/>
  <c r="R383" i="353" s="1"/>
  <c r="S383" i="353" s="1"/>
  <c r="Q754" i="353"/>
  <c r="R754" i="353" s="1"/>
  <c r="S754" i="353" s="1"/>
  <c r="Q751" i="353"/>
  <c r="R751" i="353" s="1"/>
  <c r="S751" i="353" s="1"/>
  <c r="Q1035" i="353"/>
  <c r="R1035" i="353" s="1"/>
  <c r="S1035" i="353" s="1"/>
  <c r="Q808" i="353"/>
  <c r="R808" i="353" s="1"/>
  <c r="S808" i="353" s="1"/>
  <c r="Q1028" i="353"/>
  <c r="R1028" i="353" s="1"/>
  <c r="S1028" i="353" s="1"/>
  <c r="Q644" i="353"/>
  <c r="R644" i="353" s="1"/>
  <c r="S644" i="353" s="1"/>
  <c r="Q345" i="353"/>
  <c r="R345" i="353" s="1"/>
  <c r="S345" i="353" s="1"/>
  <c r="Q1156" i="353"/>
  <c r="R1156" i="353" s="1"/>
  <c r="S1156" i="353" s="1"/>
  <c r="Q281" i="353"/>
  <c r="R281" i="353" s="1"/>
  <c r="S281" i="353" s="1"/>
  <c r="Q878" i="353"/>
  <c r="R878" i="353" s="1"/>
  <c r="S878" i="353" s="1"/>
  <c r="Q1179" i="353"/>
  <c r="R1179" i="353" s="1"/>
  <c r="S1179" i="353" s="1"/>
  <c r="Q1095" i="353"/>
  <c r="R1095" i="353" s="1"/>
  <c r="S1095" i="353" s="1"/>
  <c r="Q1166" i="353"/>
  <c r="R1166" i="353" s="1"/>
  <c r="S1166" i="353" s="1"/>
  <c r="Q1223" i="353"/>
  <c r="R1223" i="353" s="1"/>
  <c r="S1223" i="353" s="1"/>
  <c r="Q1330" i="353"/>
  <c r="R1330" i="353" s="1"/>
  <c r="S1330" i="353" s="1"/>
  <c r="Q293" i="353"/>
  <c r="R293" i="353" s="1"/>
  <c r="S293" i="353" s="1"/>
  <c r="Q1173" i="353"/>
  <c r="R1173" i="353" s="1"/>
  <c r="S1173" i="353" s="1"/>
  <c r="Q762" i="353"/>
  <c r="R762" i="353" s="1"/>
  <c r="S762" i="353" s="1"/>
  <c r="Q919" i="353"/>
  <c r="R919" i="353" s="1"/>
  <c r="S919" i="353" s="1"/>
  <c r="Q99" i="353"/>
  <c r="R99" i="353" s="1"/>
  <c r="S99" i="353" s="1"/>
  <c r="Q344" i="353"/>
  <c r="R344" i="353" s="1"/>
  <c r="S344" i="353" s="1"/>
  <c r="Q496" i="353"/>
  <c r="R496" i="353" s="1"/>
  <c r="S496" i="353" s="1"/>
  <c r="Q755" i="353"/>
  <c r="R755" i="353" s="1"/>
  <c r="S755" i="353" s="1"/>
  <c r="Q385" i="353"/>
  <c r="R385" i="353" s="1"/>
  <c r="S385" i="353" s="1"/>
  <c r="Q585" i="353"/>
  <c r="R585" i="353" s="1"/>
  <c r="S585" i="353" s="1"/>
  <c r="Q881" i="353"/>
  <c r="R881" i="353" s="1"/>
  <c r="S881" i="353" s="1"/>
  <c r="Q937" i="353"/>
  <c r="R937" i="353" s="1"/>
  <c r="S937" i="353" s="1"/>
  <c r="Q983" i="353"/>
  <c r="R983" i="353" s="1"/>
  <c r="S983" i="353" s="1"/>
  <c r="Q1048" i="353"/>
  <c r="R1048" i="353" s="1"/>
  <c r="S1048" i="353" s="1"/>
  <c r="Q70" i="353"/>
  <c r="R70" i="353" s="1"/>
  <c r="S70" i="353" s="1"/>
  <c r="Q258" i="353"/>
  <c r="R258" i="353" s="1"/>
  <c r="S258" i="353" s="1"/>
  <c r="Q450" i="353"/>
  <c r="R450" i="353" s="1"/>
  <c r="S450" i="353" s="1"/>
  <c r="Q702" i="353"/>
  <c r="R702" i="353" s="1"/>
  <c r="S702" i="353" s="1"/>
  <c r="Q836" i="353"/>
  <c r="R836" i="353" s="1"/>
  <c r="S836" i="353" s="1"/>
  <c r="Q1033" i="353"/>
  <c r="R1033" i="353" s="1"/>
  <c r="S1033" i="353" s="1"/>
  <c r="Q979" i="353"/>
  <c r="R979" i="353" s="1"/>
  <c r="S979" i="353" s="1"/>
  <c r="Q597" i="353"/>
  <c r="R597" i="353" s="1"/>
  <c r="S597" i="353" s="1"/>
  <c r="Q559" i="353"/>
  <c r="R559" i="353" s="1"/>
  <c r="S559" i="353" s="1"/>
  <c r="Q217" i="353"/>
  <c r="R217" i="353" s="1"/>
  <c r="S217" i="353" s="1"/>
  <c r="Q774" i="353"/>
  <c r="R774" i="353" s="1"/>
  <c r="S774" i="353" s="1"/>
  <c r="Q1109" i="353"/>
  <c r="R1109" i="353" s="1"/>
  <c r="S1109" i="353" s="1"/>
  <c r="Q1176" i="353"/>
  <c r="R1176" i="353" s="1"/>
  <c r="S1176" i="353" s="1"/>
  <c r="Q1307" i="353"/>
  <c r="R1307" i="353" s="1"/>
  <c r="S1307" i="353" s="1"/>
  <c r="Q1153" i="353"/>
  <c r="R1153" i="353" s="1"/>
  <c r="S1153" i="353" s="1"/>
  <c r="Q1280" i="353"/>
  <c r="R1280" i="353" s="1"/>
  <c r="S1280" i="353" s="1"/>
  <c r="Q1154" i="353"/>
  <c r="R1154" i="353" s="1"/>
  <c r="S1154" i="353" s="1"/>
  <c r="Q42" i="353"/>
  <c r="R42" i="353" s="1"/>
  <c r="S42" i="353" s="1"/>
  <c r="Q163" i="353"/>
  <c r="R163" i="353" s="1"/>
  <c r="S163" i="353" s="1"/>
  <c r="Q355" i="353"/>
  <c r="R355" i="353" s="1"/>
  <c r="S355" i="353" s="1"/>
  <c r="Q483" i="353"/>
  <c r="R483" i="353" s="1"/>
  <c r="S483" i="353" s="1"/>
  <c r="Q735" i="353"/>
  <c r="R735" i="353" s="1"/>
  <c r="S735" i="353" s="1"/>
  <c r="Q1010" i="353"/>
  <c r="R1010" i="353" s="1"/>
  <c r="S1010" i="353" s="1"/>
  <c r="Q188" i="353"/>
  <c r="R188" i="353" s="1"/>
  <c r="S188" i="353" s="1"/>
  <c r="Q323" i="353"/>
  <c r="R323" i="353" s="1"/>
  <c r="S323" i="353" s="1"/>
  <c r="Q516" i="353"/>
  <c r="R516" i="353" s="1"/>
  <c r="S516" i="353" s="1"/>
  <c r="Q736" i="353"/>
  <c r="R736" i="353" s="1"/>
  <c r="S736" i="353" s="1"/>
  <c r="Q197" i="353"/>
  <c r="R197" i="353" s="1"/>
  <c r="S197" i="353" s="1"/>
  <c r="Q541" i="353"/>
  <c r="R541" i="353" s="1"/>
  <c r="S541" i="353" s="1"/>
  <c r="Q21" i="353"/>
  <c r="R21" i="353" s="1"/>
  <c r="S21" i="353" s="1"/>
  <c r="Q286" i="353"/>
  <c r="R286" i="353" s="1"/>
  <c r="S286" i="353" s="1"/>
  <c r="Q574" i="353"/>
  <c r="R574" i="353" s="1"/>
  <c r="S574" i="353" s="1"/>
  <c r="Q785" i="353"/>
  <c r="R785" i="353" s="1"/>
  <c r="S785" i="353" s="1"/>
  <c r="Q46" i="353"/>
  <c r="R46" i="353" s="1"/>
  <c r="S46" i="353" s="1"/>
  <c r="Q310" i="353"/>
  <c r="R310" i="353" s="1"/>
  <c r="Q583" i="353"/>
  <c r="R583" i="353" s="1"/>
  <c r="S583" i="353" s="1"/>
  <c r="Q871" i="353"/>
  <c r="R871" i="353" s="1"/>
  <c r="S871" i="353" s="1"/>
  <c r="Q978" i="353"/>
  <c r="R978" i="353" s="1"/>
  <c r="S978" i="353" s="1"/>
  <c r="Q381" i="353"/>
  <c r="R381" i="353" s="1"/>
  <c r="S381" i="353" s="1"/>
  <c r="Q816" i="353"/>
  <c r="R816" i="353" s="1"/>
  <c r="Q1052" i="353"/>
  <c r="R1052" i="353" s="1"/>
  <c r="S1052" i="353" s="1"/>
  <c r="Q126" i="353"/>
  <c r="R126" i="353" s="1"/>
  <c r="S126" i="353" s="1"/>
  <c r="Q114" i="353"/>
  <c r="R114" i="353" s="1"/>
  <c r="S114" i="353" s="1"/>
  <c r="Q1077" i="353"/>
  <c r="R1077" i="353" s="1"/>
  <c r="S1077" i="353" s="1"/>
  <c r="Q1327" i="353"/>
  <c r="R1327" i="353" s="1"/>
  <c r="S1327" i="353" s="1"/>
  <c r="Q1072" i="353"/>
  <c r="R1072" i="353" s="1"/>
  <c r="S1072" i="353" s="1"/>
  <c r="Q1108" i="353"/>
  <c r="R1108" i="353" s="1"/>
  <c r="S1108" i="353" s="1"/>
  <c r="Q1195" i="353"/>
  <c r="R1195" i="353" s="1"/>
  <c r="S1195" i="353" s="1"/>
  <c r="Q1261" i="353"/>
  <c r="R1261" i="353" s="1"/>
  <c r="S1261" i="353" s="1"/>
  <c r="Q1238" i="353"/>
  <c r="R1238" i="353" s="1"/>
  <c r="S1238" i="353" s="1"/>
  <c r="Q628" i="353"/>
  <c r="R628" i="353" s="1"/>
  <c r="S628" i="353" s="1"/>
  <c r="Q1189" i="353"/>
  <c r="R1189" i="353" s="1"/>
  <c r="Q175" i="353"/>
  <c r="R175" i="353" s="1"/>
  <c r="S175" i="353" s="1"/>
  <c r="Q794" i="353"/>
  <c r="R794" i="353" s="1"/>
  <c r="S794" i="353" s="1"/>
  <c r="Q15" i="353"/>
  <c r="R15" i="353" s="1"/>
  <c r="S15" i="353" s="1"/>
  <c r="Q280" i="353"/>
  <c r="R280" i="353" s="1"/>
  <c r="S280" i="353" s="1"/>
  <c r="Q432" i="353"/>
  <c r="R432" i="353" s="1"/>
  <c r="S432" i="353" s="1"/>
  <c r="Q638" i="353"/>
  <c r="R638" i="353" s="1"/>
  <c r="Q700" i="353"/>
  <c r="R700" i="353" s="1"/>
  <c r="S700" i="353" s="1"/>
  <c r="Q393" i="353"/>
  <c r="R393" i="353" s="1"/>
  <c r="S393" i="353" s="1"/>
  <c r="Q593" i="353"/>
  <c r="R593" i="353" s="1"/>
  <c r="S593" i="353" s="1"/>
  <c r="Q677" i="353"/>
  <c r="R677" i="353" s="1"/>
  <c r="S677" i="353" s="1"/>
  <c r="Q912" i="353"/>
  <c r="R912" i="353" s="1"/>
  <c r="S912" i="353" s="1"/>
  <c r="Q984" i="353"/>
  <c r="R984" i="353" s="1"/>
  <c r="S984" i="353" s="1"/>
  <c r="Q1007" i="353"/>
  <c r="R1007" i="353" s="1"/>
  <c r="S1007" i="353" s="1"/>
  <c r="Q819" i="353"/>
  <c r="R819" i="353" s="1"/>
  <c r="Q138" i="353"/>
  <c r="R138" i="353" s="1"/>
  <c r="S138" i="353" s="1"/>
  <c r="Q329" i="353"/>
  <c r="R329" i="353" s="1"/>
  <c r="S329" i="353" s="1"/>
  <c r="Q458" i="353"/>
  <c r="R458" i="353" s="1"/>
  <c r="S458" i="353" s="1"/>
  <c r="Q586" i="353"/>
  <c r="R586" i="353" s="1"/>
  <c r="S586" i="353" s="1"/>
  <c r="Q710" i="353"/>
  <c r="R710" i="353" s="1"/>
  <c r="S710" i="353" s="1"/>
  <c r="Q844" i="353"/>
  <c r="R844" i="353" s="1"/>
  <c r="S844" i="353" s="1"/>
  <c r="Q977" i="353"/>
  <c r="R977" i="353" s="1"/>
  <c r="S977" i="353" s="1"/>
  <c r="Q712" i="353"/>
  <c r="R712" i="353" s="1"/>
  <c r="Q149" i="353"/>
  <c r="R149" i="353" s="1"/>
  <c r="S149" i="353" s="1"/>
  <c r="Q619" i="353"/>
  <c r="R619" i="353" s="1"/>
  <c r="Q1150" i="353"/>
  <c r="R1150" i="353" s="1"/>
  <c r="S1150" i="353" s="1"/>
  <c r="Q55" i="353"/>
  <c r="R55" i="353" s="1"/>
  <c r="S55" i="353" s="1"/>
  <c r="Q797" i="353"/>
  <c r="R797" i="353" s="1"/>
  <c r="S797" i="353" s="1"/>
  <c r="Q782" i="353"/>
  <c r="R782" i="353" s="1"/>
  <c r="S782" i="353" s="1"/>
  <c r="Q1149" i="353"/>
  <c r="R1149" i="353" s="1"/>
  <c r="S1149" i="353" s="1"/>
  <c r="Q1184" i="353"/>
  <c r="R1184" i="353" s="1"/>
  <c r="S1184" i="353" s="1"/>
  <c r="Q1315" i="353"/>
  <c r="R1315" i="353" s="1"/>
  <c r="S1315" i="353" s="1"/>
  <c r="Q1161" i="353"/>
  <c r="R1161" i="353" s="1"/>
  <c r="S1161" i="353" s="1"/>
  <c r="Q1295" i="353"/>
  <c r="R1295" i="353" s="1"/>
  <c r="S1295" i="353" s="1"/>
  <c r="Q1310" i="353"/>
  <c r="R1310" i="353" s="1"/>
  <c r="S1310" i="353" s="1"/>
  <c r="Q108" i="353"/>
  <c r="R108" i="353" s="1"/>
  <c r="S108" i="353" s="1"/>
  <c r="Q298" i="353"/>
  <c r="R298" i="353" s="1"/>
  <c r="S298" i="353" s="1"/>
  <c r="Q427" i="353"/>
  <c r="R427" i="353" s="1"/>
  <c r="S427" i="353" s="1"/>
  <c r="Q758" i="353"/>
  <c r="R758" i="353" s="1"/>
  <c r="S758" i="353" s="1"/>
  <c r="Q72" i="353"/>
  <c r="R72" i="353" s="1"/>
  <c r="S72" i="353" s="1"/>
  <c r="Q260" i="353"/>
  <c r="R260" i="353" s="1"/>
  <c r="S260" i="353" s="1"/>
  <c r="Q396" i="353"/>
  <c r="R396" i="353" s="1"/>
  <c r="S396" i="353" s="1"/>
  <c r="Q610" i="353"/>
  <c r="R610" i="353" s="1"/>
  <c r="S610" i="353" s="1"/>
  <c r="Q1011" i="353"/>
  <c r="R1011" i="353" s="1"/>
  <c r="S1011" i="353" s="1"/>
  <c r="Q324" i="353"/>
  <c r="R324" i="353" s="1"/>
  <c r="S324" i="353" s="1"/>
  <c r="Q557" i="353"/>
  <c r="R557" i="353" s="1"/>
  <c r="S557" i="353" s="1"/>
  <c r="Q111" i="353"/>
  <c r="R111" i="353" s="1"/>
  <c r="S111" i="353" s="1"/>
  <c r="Q301" i="353"/>
  <c r="R301" i="353" s="1"/>
  <c r="Q494" i="353"/>
  <c r="R494" i="353" s="1"/>
  <c r="S494" i="353" s="1"/>
  <c r="Q809" i="353"/>
  <c r="R809" i="353" s="1"/>
  <c r="S809" i="353" s="1"/>
  <c r="Q1021" i="353"/>
  <c r="R1021" i="353" s="1"/>
  <c r="Q127" i="353"/>
  <c r="R127" i="353" s="1"/>
  <c r="S127" i="353" s="1"/>
  <c r="Q239" i="353"/>
  <c r="R239" i="353" s="1"/>
  <c r="S239" i="353" s="1"/>
  <c r="Q407" i="353"/>
  <c r="R407" i="353" s="1"/>
  <c r="S407" i="353" s="1"/>
  <c r="Q591" i="353"/>
  <c r="R591" i="353" s="1"/>
  <c r="S591" i="353" s="1"/>
  <c r="Q879" i="353"/>
  <c r="R879" i="353" s="1"/>
  <c r="S879" i="353" s="1"/>
  <c r="Q44" i="353"/>
  <c r="R44" i="353" s="1"/>
  <c r="S44" i="353" s="1"/>
  <c r="Q752" i="353"/>
  <c r="R752" i="353" s="1"/>
  <c r="S752" i="353" s="1"/>
  <c r="Q893" i="353"/>
  <c r="R893" i="353" s="1"/>
  <c r="S893" i="353" s="1"/>
  <c r="Q1257" i="353"/>
  <c r="R1257" i="353" s="1"/>
  <c r="S1257" i="353" s="1"/>
  <c r="Q698" i="353"/>
  <c r="R698" i="353" s="1"/>
  <c r="S698" i="353" s="1"/>
  <c r="Q535" i="353"/>
  <c r="R535" i="353" s="1"/>
  <c r="S535" i="353" s="1"/>
  <c r="Q481" i="353"/>
  <c r="R481" i="353" s="1"/>
  <c r="S481" i="353" s="1"/>
  <c r="Q1180" i="353"/>
  <c r="R1180" i="353" s="1"/>
  <c r="S1180" i="353" s="1"/>
  <c r="Q1080" i="353"/>
  <c r="R1080" i="353" s="1"/>
  <c r="S1080" i="353" s="1"/>
  <c r="Q926" i="353"/>
  <c r="R926" i="353" s="1"/>
  <c r="S926" i="353" s="1"/>
  <c r="Q1203" i="353"/>
  <c r="R1203" i="353" s="1"/>
  <c r="S1203" i="353" s="1"/>
  <c r="Q1198" i="353"/>
  <c r="R1198" i="353" s="1"/>
  <c r="S1198" i="353" s="1"/>
  <c r="Q1246" i="353"/>
  <c r="R1246" i="353" s="1"/>
  <c r="S1246" i="353" s="1"/>
  <c r="Q333" i="353"/>
  <c r="R333" i="353" s="1"/>
  <c r="S333" i="353" s="1"/>
  <c r="Q1102" i="353"/>
  <c r="R1102" i="353" s="1"/>
  <c r="S1102" i="353" s="1"/>
  <c r="Q1260" i="353"/>
  <c r="R1260" i="353" s="1"/>
  <c r="S1260" i="353" s="1"/>
  <c r="Q455" i="353"/>
  <c r="R455" i="353" s="1"/>
  <c r="S455" i="353" s="1"/>
  <c r="Q935" i="353"/>
  <c r="R935" i="353" s="1"/>
  <c r="S935" i="353" s="1"/>
  <c r="Q23" i="353"/>
  <c r="R23" i="353" s="1"/>
  <c r="S23" i="353" s="1"/>
  <c r="Q288" i="353"/>
  <c r="R288" i="353" s="1"/>
  <c r="S288" i="353" s="1"/>
  <c r="Q440" i="353"/>
  <c r="R440" i="353" s="1"/>
  <c r="S440" i="353" s="1"/>
  <c r="Q584" i="353"/>
  <c r="R584" i="353" s="1"/>
  <c r="S584" i="353" s="1"/>
  <c r="Q708" i="353"/>
  <c r="R708" i="353" s="1"/>
  <c r="S708" i="353" s="1"/>
  <c r="Q209" i="353"/>
  <c r="R209" i="353" s="1"/>
  <c r="S209" i="353" s="1"/>
  <c r="Q401" i="353"/>
  <c r="R401" i="353" s="1"/>
  <c r="S401" i="353" s="1"/>
  <c r="Q600" i="353"/>
  <c r="R600" i="353" s="1"/>
  <c r="S600" i="353" s="1"/>
  <c r="Q685" i="353"/>
  <c r="R685" i="353" s="1"/>
  <c r="S685" i="353" s="1"/>
  <c r="Q936" i="353"/>
  <c r="R936" i="353" s="1"/>
  <c r="S936" i="353" s="1"/>
  <c r="Q1000" i="353"/>
  <c r="R1000" i="353" s="1"/>
  <c r="S1000" i="353" s="1"/>
  <c r="Q1031" i="353"/>
  <c r="R1031" i="353" s="1"/>
  <c r="S1031" i="353" s="1"/>
  <c r="Q820" i="353"/>
  <c r="R820" i="353" s="1"/>
  <c r="S820" i="353" s="1"/>
  <c r="Q86" i="353"/>
  <c r="R86" i="353" s="1"/>
  <c r="S86" i="353" s="1"/>
  <c r="Q210" i="353"/>
  <c r="R210" i="353" s="1"/>
  <c r="S210" i="353" s="1"/>
  <c r="Q402" i="353"/>
  <c r="R402" i="353" s="1"/>
  <c r="S402" i="353" s="1"/>
  <c r="Q530" i="353"/>
  <c r="R530" i="353" s="1"/>
  <c r="S530" i="353" s="1"/>
  <c r="Q718" i="353"/>
  <c r="R718" i="353" s="1"/>
  <c r="S718" i="353" s="1"/>
  <c r="Q852" i="353"/>
  <c r="R852" i="353" s="1"/>
  <c r="S852" i="353" s="1"/>
  <c r="Q985" i="353"/>
  <c r="R985" i="353" s="1"/>
  <c r="S985" i="353" s="1"/>
  <c r="Q728" i="353"/>
  <c r="R728" i="353" s="1"/>
  <c r="S728" i="353" s="1"/>
  <c r="Q995" i="353"/>
  <c r="R995" i="353" s="1"/>
  <c r="S995" i="353" s="1"/>
  <c r="Q635" i="353"/>
  <c r="R635" i="353" s="1"/>
  <c r="S635" i="353" s="1"/>
  <c r="Q1181" i="353"/>
  <c r="R1181" i="353" s="1"/>
  <c r="S1181" i="353" s="1"/>
  <c r="Q264" i="353"/>
  <c r="R264" i="353" s="1"/>
  <c r="S264" i="353" s="1"/>
  <c r="Q265" i="353"/>
  <c r="R265" i="353" s="1"/>
  <c r="S265" i="353" s="1"/>
  <c r="Q890" i="353"/>
  <c r="R890" i="353" s="1"/>
  <c r="S890" i="353" s="1"/>
  <c r="Q814" i="353"/>
  <c r="R814" i="353" s="1"/>
  <c r="S814" i="353" s="1"/>
  <c r="Q1172" i="353"/>
  <c r="R1172" i="353" s="1"/>
  <c r="S1172" i="353" s="1"/>
  <c r="Q1129" i="353"/>
  <c r="R1129" i="353" s="1"/>
  <c r="S1129" i="353" s="1"/>
  <c r="Q1263" i="353"/>
  <c r="R1263" i="353" s="1"/>
  <c r="S1263" i="353" s="1"/>
  <c r="Q1106" i="353"/>
  <c r="R1106" i="353" s="1"/>
  <c r="S1106" i="353" s="1"/>
  <c r="Q1232" i="353"/>
  <c r="R1232" i="353" s="1"/>
  <c r="S1232" i="353" s="1"/>
  <c r="Q1178" i="353"/>
  <c r="R1178" i="353" s="1"/>
  <c r="S1178" i="353" s="1"/>
  <c r="Q1084" i="353"/>
  <c r="R1084" i="353" s="1"/>
  <c r="S1084" i="353" s="1"/>
  <c r="Q1325" i="353"/>
  <c r="R1325" i="353" s="1"/>
  <c r="S1325" i="353" s="1"/>
  <c r="Q116" i="353"/>
  <c r="R116" i="353" s="1"/>
  <c r="S116" i="353" s="1"/>
  <c r="Q243" i="353"/>
  <c r="R243" i="353" s="1"/>
  <c r="S243" i="353" s="1"/>
  <c r="Q306" i="353"/>
  <c r="R306" i="353" s="1"/>
  <c r="S306" i="353" s="1"/>
  <c r="Q435" i="353"/>
  <c r="R435" i="353" s="1"/>
  <c r="S435" i="353" s="1"/>
  <c r="Q633" i="353"/>
  <c r="R633" i="353" s="1"/>
  <c r="Q80" i="353"/>
  <c r="R80" i="353" s="1"/>
  <c r="S80" i="353" s="1"/>
  <c r="Q1212" i="353"/>
  <c r="R1212" i="353" s="1"/>
  <c r="S1212" i="353" s="1"/>
  <c r="Q1073" i="353"/>
  <c r="R1073" i="353" s="1"/>
  <c r="S1073" i="353" s="1"/>
  <c r="Q1137" i="353"/>
  <c r="R1137" i="353" s="1"/>
  <c r="S1137" i="353" s="1"/>
  <c r="Q1200" i="353"/>
  <c r="R1200" i="353" s="1"/>
  <c r="S1200" i="353" s="1"/>
  <c r="Q1271" i="353"/>
  <c r="R1271" i="353" s="1"/>
  <c r="S1271" i="353" s="1"/>
  <c r="Q1331" i="353"/>
  <c r="R1331" i="353" s="1"/>
  <c r="S1331" i="353" s="1"/>
  <c r="Q1114" i="353"/>
  <c r="R1114" i="353" s="1"/>
  <c r="S1114" i="353" s="1"/>
  <c r="Q1177" i="353"/>
  <c r="R1177" i="353" s="1"/>
  <c r="S1177" i="353" s="1"/>
  <c r="Q1240" i="353"/>
  <c r="R1240" i="353" s="1"/>
  <c r="S1240" i="353" s="1"/>
  <c r="Q1308" i="353"/>
  <c r="R1308" i="353" s="1"/>
  <c r="S1308" i="353" s="1"/>
  <c r="Q1115" i="353"/>
  <c r="R1115" i="353" s="1"/>
  <c r="S1115" i="353" s="1"/>
  <c r="Q1186" i="353"/>
  <c r="R1186" i="353" s="1"/>
  <c r="S1186" i="353" s="1"/>
  <c r="Q1333" i="353"/>
  <c r="R1333" i="353" s="1"/>
  <c r="S1333" i="353" s="1"/>
  <c r="Q1124" i="353"/>
  <c r="R1124" i="353" s="1"/>
  <c r="S1124" i="353" s="1"/>
  <c r="Q64" i="353"/>
  <c r="R64" i="353" s="1"/>
  <c r="S64" i="353" s="1"/>
  <c r="Q123" i="353"/>
  <c r="R123" i="353" s="1"/>
  <c r="S123" i="353" s="1"/>
  <c r="Q187" i="353"/>
  <c r="R187" i="353" s="1"/>
  <c r="S187" i="353" s="1"/>
  <c r="Q251" i="353"/>
  <c r="R251" i="353" s="1"/>
  <c r="S251" i="353" s="1"/>
  <c r="Q314" i="353"/>
  <c r="R314" i="353" s="1"/>
  <c r="S314" i="353" s="1"/>
  <c r="Q379" i="353"/>
  <c r="R379" i="353" s="1"/>
  <c r="S379" i="353" s="1"/>
  <c r="Q443" i="353"/>
  <c r="R443" i="353" s="1"/>
  <c r="S443" i="353" s="1"/>
  <c r="Q507" i="353"/>
  <c r="R507" i="353" s="1"/>
  <c r="S507" i="353" s="1"/>
  <c r="Q571" i="353"/>
  <c r="R571" i="353" s="1"/>
  <c r="S571" i="353" s="1"/>
  <c r="Q649" i="353"/>
  <c r="R649" i="353" s="1"/>
  <c r="S649" i="353" s="1"/>
  <c r="Q790" i="353"/>
  <c r="R790" i="353" s="1"/>
  <c r="S790" i="353" s="1"/>
  <c r="Q931" i="353"/>
  <c r="R931" i="353" s="1"/>
  <c r="S931" i="353" s="1"/>
  <c r="Q27" i="353"/>
  <c r="R27" i="353" s="1"/>
  <c r="S27" i="353" s="1"/>
  <c r="Q88" i="353"/>
  <c r="R88" i="353" s="1"/>
  <c r="S88" i="353" s="1"/>
  <c r="Q148" i="353"/>
  <c r="R148" i="353" s="1"/>
  <c r="S148" i="353" s="1"/>
  <c r="Q212" i="353"/>
  <c r="R212" i="353" s="1"/>
  <c r="S212" i="353" s="1"/>
  <c r="Q276" i="353"/>
  <c r="R276" i="353" s="1"/>
  <c r="S276" i="353" s="1"/>
  <c r="Q348" i="353"/>
  <c r="R348" i="353" s="1"/>
  <c r="S348" i="353" s="1"/>
  <c r="Q412" i="353"/>
  <c r="R412" i="353" s="1"/>
  <c r="S412" i="353" s="1"/>
  <c r="Q476" i="353"/>
  <c r="R476" i="353" s="1"/>
  <c r="S476" i="353" s="1"/>
  <c r="Q540" i="353"/>
  <c r="R540" i="353" s="1"/>
  <c r="S540" i="353" s="1"/>
  <c r="Q634" i="353"/>
  <c r="R634" i="353" s="1"/>
  <c r="S634" i="353" s="1"/>
  <c r="Q830" i="353"/>
  <c r="R830" i="353" s="1"/>
  <c r="S830" i="353" s="1"/>
  <c r="Q12" i="353"/>
  <c r="R12" i="353" s="1"/>
  <c r="S12" i="353" s="1"/>
  <c r="Q110" i="353"/>
  <c r="R110" i="353" s="1"/>
  <c r="S110" i="353" s="1"/>
  <c r="Q237" i="353"/>
  <c r="R237" i="353" s="1"/>
  <c r="S237" i="353" s="1"/>
  <c r="Q357" i="353"/>
  <c r="R357" i="353" s="1"/>
  <c r="S357" i="353" s="1"/>
  <c r="Q477" i="353"/>
  <c r="R477" i="353" s="1"/>
  <c r="S477" i="353" s="1"/>
  <c r="Q604" i="353"/>
  <c r="R604" i="353" s="1"/>
  <c r="S604" i="353" s="1"/>
  <c r="Q705" i="353"/>
  <c r="R705" i="353" s="1"/>
  <c r="S705" i="353" s="1"/>
  <c r="Q67" i="353"/>
  <c r="R67" i="353" s="1"/>
  <c r="S67" i="353" s="1"/>
  <c r="Q134" i="353"/>
  <c r="R134" i="353" s="1"/>
  <c r="S134" i="353" s="1"/>
  <c r="Q230" i="353"/>
  <c r="R230" i="353" s="1"/>
  <c r="S230" i="353" s="1"/>
  <c r="Q342" i="353"/>
  <c r="R342" i="353" s="1"/>
  <c r="S342" i="353" s="1"/>
  <c r="Q422" i="353"/>
  <c r="R422" i="353" s="1"/>
  <c r="S422" i="353" s="1"/>
  <c r="Q518" i="353"/>
  <c r="R518" i="353" s="1"/>
  <c r="Q598" i="353"/>
  <c r="R598" i="353" s="1"/>
  <c r="S598" i="353" s="1"/>
  <c r="Q714" i="353"/>
  <c r="R714" i="353" s="1"/>
  <c r="S714" i="353" s="1"/>
  <c r="Q840" i="353"/>
  <c r="R840" i="353" s="1"/>
  <c r="S840" i="353" s="1"/>
  <c r="Q950" i="353"/>
  <c r="R950" i="353" s="1"/>
  <c r="S950" i="353" s="1"/>
  <c r="Q1037" i="353"/>
  <c r="R1037" i="353" s="1"/>
  <c r="S1037" i="353" s="1"/>
  <c r="Q68" i="353"/>
  <c r="R68" i="353" s="1"/>
  <c r="S68" i="353" s="1"/>
  <c r="Q151" i="353"/>
  <c r="R151" i="353" s="1"/>
  <c r="Q255" i="353"/>
  <c r="R255" i="353" s="1"/>
  <c r="S255" i="353" s="1"/>
  <c r="Q334" i="353"/>
  <c r="R334" i="353" s="1"/>
  <c r="S334" i="353" s="1"/>
  <c r="Q423" i="353"/>
  <c r="R423" i="353" s="1"/>
  <c r="S423" i="353" s="1"/>
  <c r="Q519" i="353"/>
  <c r="R519" i="353" s="1"/>
  <c r="S519" i="353" s="1"/>
  <c r="Q629" i="353"/>
  <c r="R629" i="353" s="1"/>
  <c r="S629" i="353" s="1"/>
  <c r="Q715" i="353"/>
  <c r="R715" i="353" s="1"/>
  <c r="S715" i="353" s="1"/>
  <c r="Q802" i="353"/>
  <c r="R802" i="353" s="1"/>
  <c r="S802" i="353" s="1"/>
  <c r="Q719" i="353"/>
  <c r="R719" i="353" s="1"/>
  <c r="S719" i="353" s="1"/>
  <c r="Q1050" i="353"/>
  <c r="R1050" i="353" s="1"/>
  <c r="S1050" i="353" s="1"/>
  <c r="Q854" i="353"/>
  <c r="R854" i="353" s="1"/>
  <c r="S854" i="353" s="1"/>
  <c r="Q157" i="353"/>
  <c r="R157" i="353" s="1"/>
  <c r="S157" i="353" s="1"/>
  <c r="Q437" i="353"/>
  <c r="R437" i="353" s="1"/>
  <c r="S437" i="353" s="1"/>
  <c r="Q776" i="353"/>
  <c r="R776" i="353" s="1"/>
  <c r="S776" i="353" s="1"/>
  <c r="Q839" i="353"/>
  <c r="R839" i="353" s="1"/>
  <c r="S839" i="353" s="1"/>
  <c r="Q917" i="353"/>
  <c r="R917" i="353" s="1"/>
  <c r="S917" i="353" s="1"/>
  <c r="Q988" i="353"/>
  <c r="R988" i="353" s="1"/>
  <c r="S988" i="353" s="1"/>
  <c r="Q942" i="353"/>
  <c r="R942" i="353" s="1"/>
  <c r="S942" i="353" s="1"/>
  <c r="Q317" i="353"/>
  <c r="R317" i="353" s="1"/>
  <c r="S317" i="353" s="1"/>
  <c r="Q832" i="353"/>
  <c r="R832" i="353" s="1"/>
  <c r="S832" i="353" s="1"/>
  <c r="Q825" i="353"/>
  <c r="R825" i="353" s="1"/>
  <c r="S825" i="353" s="1"/>
  <c r="Q193" i="353"/>
  <c r="R193" i="353" s="1"/>
  <c r="S193" i="353" s="1"/>
  <c r="Q545" i="353"/>
  <c r="R545" i="353" s="1"/>
  <c r="S545" i="353" s="1"/>
  <c r="Q1117" i="353"/>
  <c r="R1117" i="353" s="1"/>
  <c r="S1117" i="353" s="1"/>
  <c r="Q1196" i="353"/>
  <c r="R1196" i="353" s="1"/>
  <c r="S1196" i="353" s="1"/>
  <c r="Q1282" i="353"/>
  <c r="R1282" i="353" s="1"/>
  <c r="S1282" i="353" s="1"/>
  <c r="Q670" i="353"/>
  <c r="R670" i="353" s="1"/>
  <c r="S670" i="353" s="1"/>
  <c r="Q1096" i="353"/>
  <c r="R1096" i="353" s="1"/>
  <c r="S1096" i="353" s="1"/>
  <c r="Q1167" i="353"/>
  <c r="R1167" i="353" s="1"/>
  <c r="S1167" i="353" s="1"/>
  <c r="Q1013" i="353"/>
  <c r="R1013" i="353" s="1"/>
  <c r="S1013" i="353" s="1"/>
  <c r="Q1140" i="353"/>
  <c r="R1140" i="353" s="1"/>
  <c r="S1140" i="353" s="1"/>
  <c r="Q1226" i="353"/>
  <c r="R1226" i="353" s="1"/>
  <c r="S1226" i="353" s="1"/>
  <c r="Q1302" i="353"/>
  <c r="R1302" i="353" s="1"/>
  <c r="S1302" i="353" s="1"/>
  <c r="Q1135" i="353"/>
  <c r="R1135" i="353" s="1"/>
  <c r="S1135" i="353" s="1"/>
  <c r="Q1214" i="353"/>
  <c r="R1214" i="353" s="1"/>
  <c r="S1214" i="353" s="1"/>
  <c r="Q1284" i="353"/>
  <c r="R1284" i="353" s="1"/>
  <c r="S1284" i="353" s="1"/>
  <c r="Q1270" i="353"/>
  <c r="R1270" i="353" s="1"/>
  <c r="S1270" i="353" s="1"/>
  <c r="Q1278" i="353"/>
  <c r="R1278" i="353" s="1"/>
  <c r="S1278" i="353" s="1"/>
  <c r="Q142" i="353"/>
  <c r="R142" i="353" s="1"/>
  <c r="S142" i="353" s="1"/>
  <c r="Q430" i="353"/>
  <c r="R430" i="353" s="1"/>
  <c r="S430" i="353" s="1"/>
  <c r="Q848" i="353"/>
  <c r="R848" i="353" s="1"/>
  <c r="S848" i="353" s="1"/>
  <c r="Q1118" i="353"/>
  <c r="R1118" i="353" s="1"/>
  <c r="S1118" i="353" s="1"/>
  <c r="Q1213" i="353"/>
  <c r="R1213" i="353" s="1"/>
  <c r="S1213" i="353" s="1"/>
  <c r="Q1290" i="353"/>
  <c r="R1290" i="353" s="1"/>
  <c r="S1290" i="353" s="1"/>
  <c r="Q263" i="353"/>
  <c r="R263" i="353" s="1"/>
  <c r="S263" i="353" s="1"/>
  <c r="Q575" i="353"/>
  <c r="R575" i="353" s="1"/>
  <c r="S575" i="353" s="1"/>
  <c r="Q887" i="353"/>
  <c r="R887" i="353" s="1"/>
  <c r="S887" i="353" s="1"/>
  <c r="Q951" i="353"/>
  <c r="R951" i="353" s="1"/>
  <c r="S951" i="353" s="1"/>
  <c r="Q1014" i="353"/>
  <c r="R1014" i="353" s="1"/>
  <c r="S1014" i="353" s="1"/>
  <c r="Q136" i="353"/>
  <c r="R136" i="353" s="1"/>
  <c r="S136" i="353" s="1"/>
  <c r="Q216" i="353"/>
  <c r="R216" i="353" s="1"/>
  <c r="S216" i="353" s="1"/>
  <c r="Q311" i="353"/>
  <c r="R311" i="353" s="1"/>
  <c r="S311" i="353" s="1"/>
  <c r="Q392" i="353"/>
  <c r="R392" i="353" s="1"/>
  <c r="S392" i="353" s="1"/>
  <c r="Q464" i="353"/>
  <c r="R464" i="353" s="1"/>
  <c r="S464" i="353" s="1"/>
  <c r="Q528" i="353"/>
  <c r="R528" i="353" s="1"/>
  <c r="S528" i="353" s="1"/>
  <c r="Q599" i="353"/>
  <c r="R599" i="353" s="1"/>
  <c r="S599" i="353" s="1"/>
  <c r="Q662" i="353"/>
  <c r="R662" i="353" s="1"/>
  <c r="S662" i="353" s="1"/>
  <c r="Q724" i="353"/>
  <c r="R724" i="353" s="1"/>
  <c r="S724" i="353" s="1"/>
  <c r="Q48" i="353"/>
  <c r="R48" i="353" s="1"/>
  <c r="S48" i="353" s="1"/>
  <c r="Q233" i="353"/>
  <c r="R233" i="353" s="1"/>
  <c r="S233" i="353" s="1"/>
  <c r="Q353" i="353"/>
  <c r="R353" i="353" s="1"/>
  <c r="S353" i="353" s="1"/>
  <c r="Q425" i="353"/>
  <c r="R425" i="353" s="1"/>
  <c r="S425" i="353" s="1"/>
  <c r="Q529" i="353"/>
  <c r="R529" i="353" s="1"/>
  <c r="S529" i="353" s="1"/>
  <c r="Q623" i="353"/>
  <c r="R623" i="353" s="1"/>
  <c r="S623" i="353" s="1"/>
  <c r="Q701" i="353"/>
  <c r="R701" i="353" s="1"/>
  <c r="S701" i="353" s="1"/>
  <c r="Q928" i="353"/>
  <c r="R928" i="353" s="1"/>
  <c r="S928" i="353" s="1"/>
  <c r="Q826" i="353"/>
  <c r="R826" i="353" s="1"/>
  <c r="S826" i="353" s="1"/>
  <c r="Q975" i="353"/>
  <c r="R975" i="353" s="1"/>
  <c r="S975" i="353" s="1"/>
  <c r="Q835" i="353"/>
  <c r="R835" i="353" s="1"/>
  <c r="S835" i="353" s="1"/>
  <c r="Q1040" i="353"/>
  <c r="R1040" i="353" s="1"/>
  <c r="S1040" i="353" s="1"/>
  <c r="Q904" i="353"/>
  <c r="R904" i="353" s="1"/>
  <c r="S904" i="353" s="1"/>
  <c r="Q756" i="353"/>
  <c r="R756" i="353" s="1"/>
  <c r="S756" i="353" s="1"/>
  <c r="Q929" i="353"/>
  <c r="R929" i="353" s="1"/>
  <c r="S929" i="353" s="1"/>
  <c r="Q889" i="353"/>
  <c r="R889" i="353" s="1"/>
  <c r="S889" i="353" s="1"/>
  <c r="Q33" i="353"/>
  <c r="R33" i="353" s="1"/>
  <c r="S33" i="353" s="1"/>
  <c r="Q101" i="353"/>
  <c r="R101" i="353" s="1"/>
  <c r="S101" i="353" s="1"/>
  <c r="Q162" i="353"/>
  <c r="R162" i="353" s="1"/>
  <c r="S162" i="353" s="1"/>
  <c r="Q226" i="353"/>
  <c r="R226" i="353" s="1"/>
  <c r="S226" i="353" s="1"/>
  <c r="Q290" i="353"/>
  <c r="R290" i="353" s="1"/>
  <c r="S290" i="353" s="1"/>
  <c r="Q354" i="353"/>
  <c r="R354" i="353" s="1"/>
  <c r="S354" i="353" s="1"/>
  <c r="Q418" i="353"/>
  <c r="R418" i="353" s="1"/>
  <c r="S418" i="353" s="1"/>
  <c r="Q482" i="353"/>
  <c r="R482" i="353" s="1"/>
  <c r="S482" i="353" s="1"/>
  <c r="Q546" i="353"/>
  <c r="R546" i="353" s="1"/>
  <c r="S546" i="353" s="1"/>
  <c r="Q609" i="353"/>
  <c r="R609" i="353" s="1"/>
  <c r="S609" i="353" s="1"/>
  <c r="Q671" i="353"/>
  <c r="R671" i="353" s="1"/>
  <c r="S671" i="353" s="1"/>
  <c r="Q734" i="353"/>
  <c r="R734" i="353" s="1"/>
  <c r="S734" i="353" s="1"/>
  <c r="Q805" i="353"/>
  <c r="R805" i="353" s="1"/>
  <c r="S805" i="353" s="1"/>
  <c r="Q867" i="353"/>
  <c r="R867" i="353" s="1"/>
  <c r="S867" i="353" s="1"/>
  <c r="Q938" i="353"/>
  <c r="R938" i="353" s="1"/>
  <c r="S938" i="353" s="1"/>
  <c r="Q1001" i="353"/>
  <c r="R1001" i="353" s="1"/>
  <c r="S1001" i="353" s="1"/>
  <c r="Q618" i="353"/>
  <c r="R618" i="353" s="1"/>
  <c r="S618" i="353" s="1"/>
  <c r="Q759" i="353"/>
  <c r="R759" i="353" s="1"/>
  <c r="S759" i="353" s="1"/>
  <c r="Q908" i="353"/>
  <c r="R908" i="353" s="1"/>
  <c r="S908" i="353" s="1"/>
  <c r="Q1043" i="353"/>
  <c r="R1043" i="353" s="1"/>
  <c r="S1043" i="353" s="1"/>
  <c r="Q245" i="353"/>
  <c r="R245" i="353" s="1"/>
  <c r="S245" i="353" s="1"/>
  <c r="Q501" i="353"/>
  <c r="R501" i="353" s="1"/>
  <c r="S501" i="353" s="1"/>
  <c r="Q697" i="353"/>
  <c r="R697" i="353" s="1"/>
  <c r="S697" i="353" s="1"/>
  <c r="Q1044" i="353"/>
  <c r="R1044" i="353" s="1"/>
  <c r="S1044" i="353" s="1"/>
  <c r="Q1276" i="353"/>
  <c r="R1276" i="353" s="1"/>
  <c r="S1276" i="353" s="1"/>
  <c r="Q47" i="353"/>
  <c r="R47" i="353" s="1"/>
  <c r="S47" i="353" s="1"/>
  <c r="Q360" i="353"/>
  <c r="R360" i="353" s="1"/>
  <c r="S360" i="353" s="1"/>
  <c r="Q129" i="353"/>
  <c r="R129" i="353" s="1"/>
  <c r="S129" i="353" s="1"/>
  <c r="Q449" i="353"/>
  <c r="R449" i="353" s="1"/>
  <c r="S449" i="353" s="1"/>
  <c r="Q1079" i="353"/>
  <c r="R1079" i="353" s="1"/>
  <c r="S1079" i="353" s="1"/>
  <c r="Q679" i="353"/>
  <c r="R679" i="353" s="1"/>
  <c r="S679" i="353" s="1"/>
  <c r="Q875" i="353"/>
  <c r="R875" i="353" s="1"/>
  <c r="S875" i="353" s="1"/>
  <c r="Q1026" i="353"/>
  <c r="R1026" i="353" s="1"/>
  <c r="S1026" i="353" s="1"/>
  <c r="Q1216" i="353"/>
  <c r="R1216" i="353" s="1"/>
  <c r="S1216" i="353" s="1"/>
  <c r="Q1130" i="353"/>
  <c r="R1130" i="353" s="1"/>
  <c r="S1130" i="353" s="1"/>
  <c r="Q1170" i="353"/>
  <c r="R1170" i="353" s="1"/>
  <c r="S1170" i="353" s="1"/>
  <c r="Q139" i="353"/>
  <c r="R139" i="353" s="1"/>
  <c r="S139" i="353" s="1"/>
  <c r="Q330" i="353"/>
  <c r="R330" i="353" s="1"/>
  <c r="S330" i="353" s="1"/>
  <c r="Q695" i="353"/>
  <c r="R695" i="353" s="1"/>
  <c r="S695" i="353" s="1"/>
  <c r="Q164" i="353"/>
  <c r="R164" i="353" s="1"/>
  <c r="S164" i="353" s="1"/>
  <c r="Q428" i="353"/>
  <c r="R428" i="353" s="1"/>
  <c r="S428" i="353" s="1"/>
  <c r="Q28" i="353"/>
  <c r="R28" i="353" s="1"/>
  <c r="S28" i="353" s="1"/>
  <c r="Q509" i="353"/>
  <c r="R509" i="353" s="1"/>
  <c r="S509" i="353" s="1"/>
  <c r="Q82" i="353"/>
  <c r="R82" i="353" s="1"/>
  <c r="S82" i="353" s="1"/>
  <c r="Q542" i="353"/>
  <c r="R542" i="353" s="1"/>
  <c r="S542" i="353" s="1"/>
  <c r="Q870" i="353"/>
  <c r="R870" i="353" s="1"/>
  <c r="S870" i="353" s="1"/>
  <c r="Q91" i="353"/>
  <c r="R91" i="353" s="1"/>
  <c r="S91" i="353" s="1"/>
  <c r="Q543" i="353"/>
  <c r="R543" i="353" s="1"/>
  <c r="Q818" i="353"/>
  <c r="R818" i="353" s="1"/>
  <c r="S818" i="353" s="1"/>
  <c r="Q229" i="353"/>
  <c r="R229" i="353" s="1"/>
  <c r="S229" i="353" s="1"/>
  <c r="Q855" i="353"/>
  <c r="R855" i="353" s="1"/>
  <c r="S855" i="353" s="1"/>
  <c r="Q580" i="353"/>
  <c r="R580" i="353" s="1"/>
  <c r="S580" i="353" s="1"/>
  <c r="Q1053" i="353"/>
  <c r="R1053" i="353" s="1"/>
  <c r="S1053" i="353" s="1"/>
  <c r="Q960" i="353"/>
  <c r="R960" i="353" s="1"/>
  <c r="S960" i="353" s="1"/>
  <c r="Q1242" i="353"/>
  <c r="R1242" i="353" s="1"/>
  <c r="S1242" i="353" s="1"/>
  <c r="Q1229" i="353"/>
  <c r="R1229" i="353" s="1"/>
  <c r="S1229" i="353" s="1"/>
  <c r="Q1199" i="353"/>
  <c r="R1199" i="353" s="1"/>
  <c r="S1199" i="353" s="1"/>
  <c r="Q470" i="353"/>
  <c r="R470" i="353" s="1"/>
  <c r="S470" i="353" s="1"/>
  <c r="Q1320" i="353"/>
  <c r="R1320" i="353" s="1"/>
  <c r="S1320" i="353" s="1"/>
  <c r="Q707" i="353"/>
  <c r="R707" i="353" s="1"/>
  <c r="S707" i="353" s="1"/>
  <c r="Q152" i="353"/>
  <c r="R152" i="353" s="1"/>
  <c r="S152" i="353" s="1"/>
  <c r="Q408" i="353"/>
  <c r="R408" i="353" s="1"/>
  <c r="S408" i="353" s="1"/>
  <c r="Q676" i="353"/>
  <c r="R676" i="353" s="1"/>
  <c r="S676" i="353" s="1"/>
  <c r="Q289" i="353"/>
  <c r="R289" i="353" s="1"/>
  <c r="S289" i="353" s="1"/>
  <c r="Q561" i="353"/>
  <c r="R561" i="353" s="1"/>
  <c r="S561" i="353" s="1"/>
  <c r="Q872" i="353"/>
  <c r="R872" i="353" s="1"/>
  <c r="S872" i="353" s="1"/>
  <c r="Q795" i="353"/>
  <c r="R795" i="353" s="1"/>
  <c r="S795" i="353" s="1"/>
  <c r="Q49" i="353"/>
  <c r="R49" i="353" s="1"/>
  <c r="S49" i="353" s="1"/>
  <c r="Q305" i="353"/>
  <c r="R305" i="353" s="1"/>
  <c r="S305" i="353" s="1"/>
  <c r="Q562" i="353"/>
  <c r="R562" i="353" s="1"/>
  <c r="S562" i="353" s="1"/>
  <c r="Q749" i="353"/>
  <c r="R749" i="353" s="1"/>
  <c r="S749" i="353" s="1"/>
  <c r="Q954" i="353"/>
  <c r="R954" i="353" s="1"/>
  <c r="S954" i="353" s="1"/>
  <c r="Q963" i="353"/>
  <c r="R963" i="353" s="1"/>
  <c r="S963" i="353" s="1"/>
  <c r="Q1054" i="353"/>
  <c r="R1054" i="353" s="1"/>
  <c r="S1054" i="353" s="1"/>
  <c r="Q1182" i="353"/>
  <c r="R1182" i="353" s="1"/>
  <c r="S1182" i="353" s="1"/>
  <c r="Q1231" i="353"/>
  <c r="R1231" i="353" s="1"/>
  <c r="S1231" i="353" s="1"/>
  <c r="Q1074" i="353"/>
  <c r="R1074" i="353" s="1"/>
  <c r="S1074" i="353" s="1"/>
  <c r="Q1332" i="353"/>
  <c r="R1332" i="353" s="1"/>
  <c r="S1332" i="353" s="1"/>
  <c r="Q1249" i="353"/>
  <c r="R1249" i="353" s="1"/>
  <c r="S1249" i="353" s="1"/>
  <c r="Q87" i="353"/>
  <c r="R87" i="353" s="1"/>
  <c r="S87" i="353" s="1"/>
  <c r="Q403" i="353"/>
  <c r="R403" i="353" s="1"/>
  <c r="S403" i="353" s="1"/>
  <c r="Q703" i="353"/>
  <c r="R703" i="353" s="1"/>
  <c r="S703" i="353" s="1"/>
  <c r="Q109" i="353"/>
  <c r="R109" i="353" s="1"/>
  <c r="S109" i="353" s="1"/>
  <c r="Q436" i="353"/>
  <c r="R436" i="353" s="1"/>
  <c r="S436" i="353" s="1"/>
  <c r="Q940" i="353"/>
  <c r="R940" i="353" s="1"/>
  <c r="S940" i="353" s="1"/>
  <c r="Q389" i="353"/>
  <c r="R389" i="353" s="1"/>
  <c r="S389" i="353" s="1"/>
  <c r="Q166" i="353"/>
  <c r="R166" i="353" s="1"/>
  <c r="S166" i="353" s="1"/>
  <c r="Q636" i="353"/>
  <c r="R636" i="353" s="1"/>
  <c r="Q22" i="353"/>
  <c r="R22" i="353" s="1"/>
  <c r="S22" i="353" s="1"/>
  <c r="Q287" i="353"/>
  <c r="R287" i="353" s="1"/>
  <c r="S287" i="353" s="1"/>
  <c r="Q551" i="353"/>
  <c r="R551" i="353" s="1"/>
  <c r="S551" i="353" s="1"/>
  <c r="Q868" i="353"/>
  <c r="R868" i="353" s="1"/>
  <c r="S868" i="353" s="1"/>
  <c r="Q589" i="353"/>
  <c r="R589" i="353" s="1"/>
  <c r="S589" i="353" s="1"/>
  <c r="Q1020" i="353"/>
  <c r="R1020" i="353" s="1"/>
  <c r="S1020" i="353" s="1"/>
  <c r="Q63" i="353"/>
  <c r="R63" i="353" s="1"/>
  <c r="S63" i="353" s="1"/>
  <c r="Q1311" i="353"/>
  <c r="R1311" i="353" s="1"/>
  <c r="S1311" i="353" s="1"/>
  <c r="Q1092" i="353"/>
  <c r="R1092" i="353" s="1"/>
  <c r="S1092" i="353" s="1"/>
  <c r="Q1313" i="353"/>
  <c r="R1313" i="353" s="1"/>
  <c r="S1313" i="353" s="1"/>
  <c r="Q1322" i="353"/>
  <c r="R1322" i="353" s="1"/>
  <c r="S1322" i="353" s="1"/>
  <c r="Q1078" i="353"/>
  <c r="R1078" i="353" s="1"/>
  <c r="S1078" i="353" s="1"/>
  <c r="Q30" i="353"/>
  <c r="R30" i="353" s="1"/>
  <c r="S30" i="353" s="1"/>
  <c r="Q911" i="353"/>
  <c r="R911" i="353" s="1"/>
  <c r="S911" i="353" s="1"/>
  <c r="Q92" i="353"/>
  <c r="R92" i="353" s="1"/>
  <c r="S92" i="353" s="1"/>
  <c r="Q416" i="353"/>
  <c r="R416" i="353" s="1"/>
  <c r="S416" i="353" s="1"/>
  <c r="Q684" i="353"/>
  <c r="R684" i="353" s="1"/>
  <c r="S684" i="353" s="1"/>
  <c r="Q296" i="353"/>
  <c r="R296" i="353" s="1"/>
  <c r="S296" i="353" s="1"/>
  <c r="Q655" i="353"/>
  <c r="R655" i="353" s="1"/>
  <c r="S655" i="353" s="1"/>
  <c r="Q913" i="353"/>
  <c r="R913" i="353" s="1"/>
  <c r="S913" i="353" s="1"/>
  <c r="Q1008" i="353"/>
  <c r="R1008" i="353" s="1"/>
  <c r="Q250" i="353"/>
  <c r="R250" i="353" s="1"/>
  <c r="S250" i="353" s="1"/>
  <c r="Q506" i="353"/>
  <c r="R506" i="353" s="1"/>
  <c r="S506" i="353" s="1"/>
  <c r="Q757" i="353"/>
  <c r="R757" i="353" s="1"/>
  <c r="S757" i="353" s="1"/>
  <c r="Q1025" i="353"/>
  <c r="R1025" i="353" s="1"/>
  <c r="S1025" i="353" s="1"/>
  <c r="Q125" i="353"/>
  <c r="R125" i="353" s="1"/>
  <c r="S125" i="353" s="1"/>
  <c r="Q877" i="353"/>
  <c r="R877" i="353" s="1"/>
  <c r="S877" i="353" s="1"/>
  <c r="Q192" i="353"/>
  <c r="R192" i="353" s="1"/>
  <c r="S192" i="353" s="1"/>
  <c r="Q945" i="353"/>
  <c r="R945" i="353" s="1"/>
  <c r="S945" i="353" s="1"/>
  <c r="Q1190" i="353"/>
  <c r="R1190" i="353" s="1"/>
  <c r="S1190" i="353" s="1"/>
  <c r="Q1105" i="353"/>
  <c r="R1105" i="353" s="1"/>
  <c r="S1105" i="353" s="1"/>
  <c r="Q1082" i="353"/>
  <c r="R1082" i="353" s="1"/>
  <c r="S1082" i="353" s="1"/>
  <c r="Q1067" i="353"/>
  <c r="R1067" i="353" s="1"/>
  <c r="S1067" i="353" s="1"/>
  <c r="Q1241" i="353"/>
  <c r="R1241" i="353" s="1"/>
  <c r="S1241" i="353" s="1"/>
  <c r="Q219" i="353"/>
  <c r="R219" i="353" s="1"/>
  <c r="S219" i="353" s="1"/>
  <c r="Q539" i="353"/>
  <c r="R539" i="353" s="1"/>
  <c r="S539" i="353" s="1"/>
  <c r="Q1002" i="353"/>
  <c r="R1002" i="353" s="1"/>
  <c r="S1002" i="353" s="1"/>
  <c r="Q315" i="353"/>
  <c r="R315" i="353" s="1"/>
  <c r="S315" i="353" s="1"/>
  <c r="Q588" i="353"/>
  <c r="R588" i="353" s="1"/>
  <c r="S588" i="353" s="1"/>
  <c r="Q189" i="353"/>
  <c r="R189" i="353" s="1"/>
  <c r="S189" i="353" s="1"/>
  <c r="Q525" i="353"/>
  <c r="R525" i="353" s="1"/>
  <c r="S525" i="353" s="1"/>
  <c r="Q97" i="353"/>
  <c r="R97" i="353" s="1"/>
  <c r="S97" i="353" s="1"/>
  <c r="Q382" i="353"/>
  <c r="R382" i="353" s="1"/>
  <c r="S382" i="353" s="1"/>
  <c r="Q902" i="353"/>
  <c r="R902" i="353" s="1"/>
  <c r="S902" i="353" s="1"/>
  <c r="Q207" i="353"/>
  <c r="R207" i="353" s="1"/>
  <c r="S207" i="353" s="1"/>
  <c r="Q567" i="353"/>
  <c r="R567" i="353" s="1"/>
  <c r="S567" i="353" s="1"/>
  <c r="Q849" i="353"/>
  <c r="R849" i="353" s="1"/>
  <c r="S849" i="353" s="1"/>
  <c r="Q667" i="353"/>
  <c r="R667" i="353" s="1"/>
  <c r="S667" i="353" s="1"/>
  <c r="Q1218" i="353"/>
  <c r="R1218" i="353" s="1"/>
  <c r="S1218" i="353" s="1"/>
  <c r="Q69" i="353"/>
  <c r="R69" i="353" s="1"/>
  <c r="S69" i="353" s="1"/>
  <c r="Q1243" i="353"/>
  <c r="R1243" i="353" s="1"/>
  <c r="S1243" i="353" s="1"/>
  <c r="Q1128" i="353"/>
  <c r="R1128" i="353" s="1"/>
  <c r="S1128" i="353" s="1"/>
  <c r="Q1266" i="353"/>
  <c r="R1266" i="353" s="1"/>
  <c r="S1266" i="353" s="1"/>
  <c r="Q1321" i="353"/>
  <c r="R1321" i="353" s="1"/>
  <c r="S1321" i="353" s="1"/>
  <c r="Q1086" i="353"/>
  <c r="R1086" i="353" s="1"/>
  <c r="S1086" i="353" s="1"/>
  <c r="Q143" i="353"/>
  <c r="R143" i="353" s="1"/>
  <c r="S143" i="353" s="1"/>
  <c r="Q1046" i="353"/>
  <c r="R1046" i="353" s="1"/>
  <c r="S1046" i="353" s="1"/>
  <c r="Q272" i="353"/>
  <c r="R272" i="353" s="1"/>
  <c r="S272" i="353" s="1"/>
  <c r="Q630" i="353"/>
  <c r="R630" i="353" s="1"/>
  <c r="S630" i="353" s="1"/>
  <c r="Q145" i="353"/>
  <c r="R145" i="353" s="1"/>
  <c r="S145" i="353" s="1"/>
  <c r="Q663" i="353"/>
  <c r="R663" i="353" s="1"/>
  <c r="Q764" i="353"/>
  <c r="R764" i="353" s="1"/>
  <c r="S764" i="353" s="1"/>
  <c r="Q827" i="353"/>
  <c r="R827" i="353" s="1"/>
  <c r="S827" i="353" s="1"/>
  <c r="Q194" i="353"/>
  <c r="R194" i="353" s="1"/>
  <c r="S194" i="353" s="1"/>
  <c r="Q386" i="353"/>
  <c r="R386" i="353" s="1"/>
  <c r="S386" i="353" s="1"/>
  <c r="Q640" i="353"/>
  <c r="R640" i="353" s="1"/>
  <c r="S640" i="353" s="1"/>
  <c r="Q906" i="353"/>
  <c r="R906" i="353" s="1"/>
  <c r="S906" i="353" s="1"/>
  <c r="Q696" i="353"/>
  <c r="R696" i="353" s="1"/>
  <c r="S696" i="353" s="1"/>
  <c r="Q141" i="353"/>
  <c r="R141" i="353" s="1"/>
  <c r="S141" i="353" s="1"/>
  <c r="Q909" i="353"/>
  <c r="R909" i="353" s="1"/>
  <c r="S909" i="353" s="1"/>
  <c r="Q224" i="353"/>
  <c r="R224" i="353" s="1"/>
  <c r="S224" i="353" s="1"/>
  <c r="Q953" i="353"/>
  <c r="R953" i="353" s="1"/>
  <c r="S953" i="353" s="1"/>
  <c r="Q1253" i="353"/>
  <c r="R1253" i="353" s="1"/>
  <c r="S1253" i="353" s="1"/>
  <c r="Q1113" i="353"/>
  <c r="R1113" i="353" s="1"/>
  <c r="S1113" i="353" s="1"/>
  <c r="Q1274" i="353"/>
  <c r="R1274" i="353" s="1"/>
  <c r="S1274" i="353" s="1"/>
  <c r="Q227" i="353"/>
  <c r="R227" i="353" s="1"/>
  <c r="S227" i="353" s="1"/>
  <c r="Q547" i="353"/>
  <c r="R547" i="353" s="1"/>
  <c r="S547" i="353" s="1"/>
  <c r="Q65" i="353"/>
  <c r="R65" i="353" s="1"/>
  <c r="S65" i="353" s="1"/>
  <c r="Q388" i="353"/>
  <c r="R388" i="353" s="1"/>
  <c r="S388" i="353" s="1"/>
  <c r="Q1003" i="353"/>
  <c r="R1003" i="353" s="1"/>
  <c r="S1003" i="353" s="1"/>
  <c r="Q445" i="353"/>
  <c r="R445" i="353" s="1"/>
  <c r="S445" i="353" s="1"/>
  <c r="Q105" i="353"/>
  <c r="R105" i="353" s="1"/>
  <c r="S105" i="353" s="1"/>
  <c r="Q486" i="353"/>
  <c r="R486" i="353" s="1"/>
  <c r="S486" i="353" s="1"/>
  <c r="Q1005" i="353"/>
  <c r="R1005" i="353" s="1"/>
  <c r="S1005" i="353" s="1"/>
  <c r="Q391" i="353"/>
  <c r="R391" i="353" s="1"/>
  <c r="S391" i="353" s="1"/>
  <c r="Q683" i="353"/>
  <c r="R683" i="353" s="1"/>
  <c r="S683" i="353" s="1"/>
  <c r="Q1051" i="353"/>
  <c r="R1051" i="353" s="1"/>
  <c r="S1051" i="353" s="1"/>
  <c r="Q964" i="353"/>
  <c r="R964" i="353" s="1"/>
  <c r="S964" i="353" s="1"/>
  <c r="Q367" i="353"/>
  <c r="R367" i="353" s="1"/>
  <c r="S367" i="353" s="1"/>
  <c r="Q1164" i="353"/>
  <c r="R1164" i="353" s="1"/>
  <c r="S1164" i="353" s="1"/>
  <c r="Q1136" i="353"/>
  <c r="R1136" i="353" s="1"/>
  <c r="S1136" i="353" s="1"/>
  <c r="Q1103" i="353"/>
  <c r="R1103" i="353" s="1"/>
  <c r="S1103" i="353" s="1"/>
  <c r="Q1329" i="353"/>
  <c r="R1329" i="353" s="1"/>
  <c r="S1329" i="353" s="1"/>
  <c r="Q309" i="353"/>
  <c r="R309" i="353" s="1"/>
  <c r="S309" i="353" s="1"/>
  <c r="Q927" i="353"/>
  <c r="R927" i="353" s="1"/>
  <c r="S927" i="353" s="1"/>
  <c r="Q184" i="353"/>
  <c r="R184" i="353" s="1"/>
  <c r="S184" i="353" s="1"/>
  <c r="Q504" i="353"/>
  <c r="R504" i="353" s="1"/>
  <c r="S504" i="353" s="1"/>
  <c r="Q169" i="353"/>
  <c r="R169" i="353" s="1"/>
  <c r="S169" i="353" s="1"/>
  <c r="Q779" i="353"/>
  <c r="R779" i="353" s="1"/>
  <c r="S779" i="353" s="1"/>
  <c r="Q78" i="353"/>
  <c r="R78" i="353" s="1"/>
  <c r="S78" i="353" s="1"/>
  <c r="Q1298" i="353"/>
  <c r="R1298" i="353" s="1"/>
  <c r="S1298" i="353" s="1"/>
  <c r="Q1121" i="353"/>
  <c r="R1121" i="353" s="1"/>
  <c r="S1121" i="353" s="1"/>
  <c r="Q1294" i="353"/>
  <c r="R1294" i="353" s="1"/>
  <c r="S1294" i="353" s="1"/>
  <c r="Q1162" i="353"/>
  <c r="R1162" i="353" s="1"/>
  <c r="S1162" i="353" s="1"/>
  <c r="Q1301" i="353"/>
  <c r="R1301" i="353" s="1"/>
  <c r="S1301" i="353" s="1"/>
  <c r="Q235" i="353"/>
  <c r="R235" i="353" s="1"/>
  <c r="S235" i="353" s="1"/>
  <c r="Q555" i="353"/>
  <c r="R555" i="353" s="1"/>
  <c r="S555" i="353" s="1"/>
  <c r="Q883" i="353"/>
  <c r="R883" i="353" s="1"/>
  <c r="S883" i="353" s="1"/>
  <c r="Q196" i="353"/>
  <c r="R196" i="353" s="1"/>
  <c r="S196" i="353" s="1"/>
  <c r="Q460" i="353"/>
  <c r="R460" i="353" s="1"/>
  <c r="S460" i="353" s="1"/>
  <c r="Q89" i="353"/>
  <c r="R89" i="353" s="1"/>
  <c r="S89" i="353" s="1"/>
  <c r="Q674" i="353"/>
  <c r="R674" i="353" s="1"/>
  <c r="S674" i="353" s="1"/>
  <c r="Q582" i="353"/>
  <c r="R582" i="353" s="1"/>
  <c r="S582" i="353" s="1"/>
  <c r="Q691" i="353"/>
  <c r="R691" i="353" s="1"/>
  <c r="S691" i="353" s="1"/>
  <c r="Q1235" i="353"/>
  <c r="R1235" i="353" s="1"/>
  <c r="S1235" i="353" s="1"/>
  <c r="Q1081" i="353"/>
  <c r="R1081" i="353" s="1"/>
  <c r="Q1145" i="353"/>
  <c r="R1145" i="353" s="1"/>
  <c r="S1145" i="353" s="1"/>
  <c r="Q1208" i="353"/>
  <c r="R1208" i="353" s="1"/>
  <c r="S1208" i="353" s="1"/>
  <c r="Q1279" i="353"/>
  <c r="R1279" i="353" s="1"/>
  <c r="S1279" i="353" s="1"/>
  <c r="Q1058" i="353"/>
  <c r="R1058" i="353" s="1"/>
  <c r="S1058" i="353" s="1"/>
  <c r="Q1122" i="353"/>
  <c r="R1122" i="353" s="1"/>
  <c r="S1122" i="353" s="1"/>
  <c r="Q1185" i="353"/>
  <c r="R1185" i="353" s="1"/>
  <c r="S1185" i="353" s="1"/>
  <c r="Q1248" i="353"/>
  <c r="R1248" i="353" s="1"/>
  <c r="S1248" i="353" s="1"/>
  <c r="Q1316" i="353"/>
  <c r="R1316" i="353" s="1"/>
  <c r="S1316" i="353" s="1"/>
  <c r="Q1123" i="353"/>
  <c r="R1123" i="353" s="1"/>
  <c r="S1123" i="353" s="1"/>
  <c r="Q1202" i="353"/>
  <c r="R1202" i="353" s="1"/>
  <c r="S1202" i="353" s="1"/>
  <c r="Q1148" i="353"/>
  <c r="R1148" i="353" s="1"/>
  <c r="S1148" i="353" s="1"/>
  <c r="Q1075" i="353"/>
  <c r="R1075" i="353" s="1"/>
  <c r="S1075" i="353" s="1"/>
  <c r="Q10" i="353"/>
  <c r="R10" i="353" s="1"/>
  <c r="S10" i="353" s="1"/>
  <c r="Q71" i="353"/>
  <c r="R71" i="353" s="1"/>
  <c r="S71" i="353" s="1"/>
  <c r="Q131" i="353"/>
  <c r="R131" i="353" s="1"/>
  <c r="S131" i="353" s="1"/>
  <c r="Q195" i="353"/>
  <c r="R195" i="353" s="1"/>
  <c r="S195" i="353" s="1"/>
  <c r="Q259" i="353"/>
  <c r="R259" i="353" s="1"/>
  <c r="S259" i="353" s="1"/>
  <c r="Q322" i="353"/>
  <c r="R322" i="353" s="1"/>
  <c r="S322" i="353" s="1"/>
  <c r="Q387" i="353"/>
  <c r="R387" i="353" s="1"/>
  <c r="S387" i="353" s="1"/>
  <c r="Q451" i="353"/>
  <c r="R451" i="353" s="1"/>
  <c r="S451" i="353" s="1"/>
  <c r="Q515" i="353"/>
  <c r="R515" i="353" s="1"/>
  <c r="S515" i="353" s="1"/>
  <c r="Q579" i="353"/>
  <c r="R579" i="353" s="1"/>
  <c r="Q672" i="353"/>
  <c r="R672" i="353" s="1"/>
  <c r="S672" i="353" s="1"/>
  <c r="Q798" i="353"/>
  <c r="R798" i="353" s="1"/>
  <c r="S798" i="353" s="1"/>
  <c r="Q939" i="353"/>
  <c r="R939" i="353" s="1"/>
  <c r="S939" i="353" s="1"/>
  <c r="Q35" i="353"/>
  <c r="R35" i="353" s="1"/>
  <c r="S35" i="353" s="1"/>
  <c r="Q96" i="353"/>
  <c r="R96" i="353" s="1"/>
  <c r="S96" i="353" s="1"/>
  <c r="Q156" i="353"/>
  <c r="R156" i="353" s="1"/>
  <c r="S156" i="353" s="1"/>
  <c r="Q220" i="353"/>
  <c r="R220" i="353" s="1"/>
  <c r="S220" i="353" s="1"/>
  <c r="Q284" i="353"/>
  <c r="R284" i="353" s="1"/>
  <c r="S284" i="353" s="1"/>
  <c r="Q356" i="353"/>
  <c r="R356" i="353" s="1"/>
  <c r="S356" i="353" s="1"/>
  <c r="Q420" i="353"/>
  <c r="R420" i="353" s="1"/>
  <c r="S420" i="353" s="1"/>
  <c r="Q484" i="353"/>
  <c r="R484" i="353" s="1"/>
  <c r="S484" i="353" s="1"/>
  <c r="Q556" i="353"/>
  <c r="R556" i="353" s="1"/>
  <c r="S556" i="353" s="1"/>
  <c r="Q642" i="353"/>
  <c r="R642" i="353" s="1"/>
  <c r="S642" i="353" s="1"/>
  <c r="Q862" i="353"/>
  <c r="R862" i="353" s="1"/>
  <c r="S862" i="353" s="1"/>
  <c r="Q20" i="353"/>
  <c r="R20" i="353" s="1"/>
  <c r="S20" i="353" s="1"/>
  <c r="Q118" i="353"/>
  <c r="R118" i="353" s="1"/>
  <c r="S118" i="353" s="1"/>
  <c r="Q253" i="353"/>
  <c r="R253" i="353" s="1"/>
  <c r="S253" i="353" s="1"/>
  <c r="Q365" i="353"/>
  <c r="R365" i="353" s="1"/>
  <c r="S365" i="353" s="1"/>
  <c r="Q493" i="353"/>
  <c r="R493" i="353" s="1"/>
  <c r="S493" i="353" s="1"/>
  <c r="Q611" i="353"/>
  <c r="R611" i="353" s="1"/>
  <c r="S611" i="353" s="1"/>
  <c r="Q713" i="353"/>
  <c r="R713" i="353" s="1"/>
  <c r="S713" i="353" s="1"/>
  <c r="Q74" i="353"/>
  <c r="R74" i="353" s="1"/>
  <c r="S74" i="353" s="1"/>
  <c r="Q150" i="353"/>
  <c r="R150" i="353" s="1"/>
  <c r="Q238" i="353"/>
  <c r="R238" i="353" s="1"/>
  <c r="S238" i="353" s="1"/>
  <c r="Q350" i="353"/>
  <c r="R350" i="353" s="1"/>
  <c r="S350" i="353" s="1"/>
  <c r="Q438" i="353"/>
  <c r="R438" i="353" s="1"/>
  <c r="S438" i="353" s="1"/>
  <c r="Q526" i="353"/>
  <c r="R526" i="353" s="1"/>
  <c r="S526" i="353" s="1"/>
  <c r="Q605" i="353"/>
  <c r="R605" i="353" s="1"/>
  <c r="S605" i="353" s="1"/>
  <c r="Q745" i="353"/>
  <c r="R745" i="353" s="1"/>
  <c r="S745" i="353" s="1"/>
  <c r="Q856" i="353"/>
  <c r="R856" i="353" s="1"/>
  <c r="S856" i="353" s="1"/>
  <c r="Q957" i="353"/>
  <c r="R957" i="353" s="1"/>
  <c r="S957" i="353" s="1"/>
  <c r="Q1045" i="353"/>
  <c r="R1045" i="353" s="1"/>
  <c r="S1045" i="353" s="1"/>
  <c r="Q83" i="353"/>
  <c r="R83" i="353" s="1"/>
  <c r="S83" i="353" s="1"/>
  <c r="Q159" i="353"/>
  <c r="R159" i="353" s="1"/>
  <c r="S159" i="353" s="1"/>
  <c r="Q271" i="353"/>
  <c r="R271" i="353" s="1"/>
  <c r="S271" i="353" s="1"/>
  <c r="Q351" i="353"/>
  <c r="R351" i="353" s="1"/>
  <c r="S351" i="353" s="1"/>
  <c r="Q439" i="353"/>
  <c r="R439" i="353" s="1"/>
  <c r="S439" i="353" s="1"/>
  <c r="Q527" i="353"/>
  <c r="R527" i="353" s="1"/>
  <c r="S527" i="353" s="1"/>
  <c r="Q637" i="353"/>
  <c r="R637" i="353" s="1"/>
  <c r="S637" i="353" s="1"/>
  <c r="Q723" i="353"/>
  <c r="R723" i="353" s="1"/>
  <c r="S723" i="353" s="1"/>
  <c r="Q810" i="353"/>
  <c r="R810" i="353" s="1"/>
  <c r="S810" i="353" s="1"/>
  <c r="Q806" i="353"/>
  <c r="R806" i="353" s="1"/>
  <c r="S806" i="353" s="1"/>
  <c r="Q548" i="353"/>
  <c r="R548" i="353" s="1"/>
  <c r="S548" i="353" s="1"/>
  <c r="Q900" i="353"/>
  <c r="R900" i="353" s="1"/>
  <c r="S900" i="353" s="1"/>
  <c r="Q181" i="353"/>
  <c r="R181" i="353" s="1"/>
  <c r="S181" i="353" s="1"/>
  <c r="Q469" i="353"/>
  <c r="R469" i="353" s="1"/>
  <c r="S469" i="353" s="1"/>
  <c r="Q784" i="353"/>
  <c r="R784" i="353" s="1"/>
  <c r="S784" i="353" s="1"/>
  <c r="Q847" i="353"/>
  <c r="R847" i="353" s="1"/>
  <c r="S847" i="353" s="1"/>
  <c r="Q933" i="353"/>
  <c r="R933" i="353" s="1"/>
  <c r="S933" i="353" s="1"/>
  <c r="Q1004" i="353"/>
  <c r="R1004" i="353" s="1"/>
  <c r="S1004" i="353" s="1"/>
  <c r="Q981" i="353"/>
  <c r="R981" i="353" s="1"/>
  <c r="S981" i="353" s="1"/>
  <c r="Q657" i="353"/>
  <c r="R657" i="353" s="1"/>
  <c r="S657" i="353" s="1"/>
  <c r="Q366" i="353"/>
  <c r="R366" i="353" s="1"/>
  <c r="S366" i="353" s="1"/>
  <c r="Q864" i="353"/>
  <c r="R864" i="353" s="1"/>
  <c r="S864" i="353" s="1"/>
  <c r="Q8" i="353"/>
  <c r="R8" i="353" s="1"/>
  <c r="S8" i="353" s="1"/>
  <c r="Q201" i="353"/>
  <c r="R201" i="353" s="1"/>
  <c r="S201" i="353" s="1"/>
  <c r="Q639" i="353"/>
  <c r="R639" i="353" s="1"/>
  <c r="S639" i="353" s="1"/>
  <c r="Q1125" i="353"/>
  <c r="R1125" i="353" s="1"/>
  <c r="S1125" i="353" s="1"/>
  <c r="Q1204" i="353"/>
  <c r="R1204" i="353" s="1"/>
  <c r="S1204" i="353" s="1"/>
  <c r="Q1289" i="353"/>
  <c r="R1289" i="353" s="1"/>
  <c r="S1289" i="353" s="1"/>
  <c r="Q905" i="353"/>
  <c r="R905" i="353" s="1"/>
  <c r="S905" i="353" s="1"/>
  <c r="Q1104" i="353"/>
  <c r="R1104" i="353" s="1"/>
  <c r="S1104" i="353" s="1"/>
  <c r="Q1175" i="353"/>
  <c r="R1175" i="353" s="1"/>
  <c r="S1175" i="353" s="1"/>
  <c r="Q1068" i="353"/>
  <c r="R1068" i="353" s="1"/>
  <c r="S1068" i="353" s="1"/>
  <c r="Q1155" i="353"/>
  <c r="R1155" i="353" s="1"/>
  <c r="S1155" i="353" s="1"/>
  <c r="Q1234" i="353"/>
  <c r="R1234" i="353" s="1"/>
  <c r="S1234" i="353" s="1"/>
  <c r="Q1318" i="353"/>
  <c r="R1318" i="353" s="1"/>
  <c r="S1318" i="353" s="1"/>
  <c r="Q1063" i="353"/>
  <c r="R1063" i="353" s="1"/>
  <c r="S1063" i="353" s="1"/>
  <c r="Q1143" i="353"/>
  <c r="R1143" i="353" s="1"/>
  <c r="S1143" i="353" s="1"/>
  <c r="Q1222" i="353"/>
  <c r="R1222" i="353" s="1"/>
  <c r="S1222" i="353" s="1"/>
  <c r="Q1291" i="353"/>
  <c r="R1291" i="353" s="1"/>
  <c r="S1291" i="353" s="1"/>
  <c r="Q1285" i="353"/>
  <c r="R1285" i="353" s="1"/>
  <c r="S1285" i="353" s="1"/>
  <c r="Q1292" i="353"/>
  <c r="R1292" i="353" s="1"/>
  <c r="S1292" i="353" s="1"/>
  <c r="Q174" i="353"/>
  <c r="R174" i="353" s="1"/>
  <c r="S174" i="353" s="1"/>
  <c r="Q446" i="353"/>
  <c r="R446" i="353" s="1"/>
  <c r="S446" i="353" s="1"/>
  <c r="Q1062" i="353"/>
  <c r="R1062" i="353" s="1"/>
  <c r="S1062" i="353" s="1"/>
  <c r="Q1134" i="353"/>
  <c r="R1134" i="353" s="1"/>
  <c r="S1134" i="353" s="1"/>
  <c r="Q1221" i="353"/>
  <c r="R1221" i="353" s="1"/>
  <c r="S1221" i="353" s="1"/>
  <c r="Q1312" i="353"/>
  <c r="R1312" i="353" s="1"/>
  <c r="S1312" i="353" s="1"/>
  <c r="Q294" i="353"/>
  <c r="R294" i="353" s="1"/>
  <c r="S294" i="353" s="1"/>
  <c r="Q606" i="353"/>
  <c r="R606" i="353" s="1"/>
  <c r="Q895" i="353"/>
  <c r="R895" i="353" s="1"/>
  <c r="S895" i="353" s="1"/>
  <c r="Q958" i="353"/>
  <c r="R958" i="353" s="1"/>
  <c r="S958" i="353" s="1"/>
  <c r="Q1022" i="353"/>
  <c r="R1022" i="353" s="1"/>
  <c r="S1022" i="353" s="1"/>
  <c r="Q62" i="353"/>
  <c r="R62" i="353" s="1"/>
  <c r="S62" i="353" s="1"/>
  <c r="Q144" i="353"/>
  <c r="R144" i="353" s="1"/>
  <c r="S144" i="353" s="1"/>
  <c r="Q232" i="353"/>
  <c r="R232" i="353" s="1"/>
  <c r="S232" i="353" s="1"/>
  <c r="Q319" i="353"/>
  <c r="R319" i="353" s="1"/>
  <c r="S319" i="353" s="1"/>
  <c r="Q400" i="353"/>
  <c r="R400" i="353" s="1"/>
  <c r="S400" i="353" s="1"/>
  <c r="Q472" i="353"/>
  <c r="R472" i="353" s="1"/>
  <c r="S472" i="353" s="1"/>
  <c r="Q536" i="353"/>
  <c r="R536" i="353" s="1"/>
  <c r="S536" i="353" s="1"/>
  <c r="Q607" i="353"/>
  <c r="R607" i="353" s="1"/>
  <c r="S607" i="353" s="1"/>
  <c r="Q669" i="353"/>
  <c r="R669" i="353" s="1"/>
  <c r="S669" i="353" s="1"/>
  <c r="Q732" i="353"/>
  <c r="R732" i="353" s="1"/>
  <c r="S732" i="353" s="1"/>
  <c r="Q85" i="353"/>
  <c r="R85" i="353" s="1"/>
  <c r="S85" i="353" s="1"/>
  <c r="Q273" i="353"/>
  <c r="R273" i="353" s="1"/>
  <c r="S273" i="353" s="1"/>
  <c r="Q361" i="353"/>
  <c r="R361" i="353" s="1"/>
  <c r="S361" i="353" s="1"/>
  <c r="Q441" i="353"/>
  <c r="R441" i="353" s="1"/>
  <c r="S441" i="353" s="1"/>
  <c r="Q553" i="353"/>
  <c r="R553" i="353" s="1"/>
  <c r="S553" i="353" s="1"/>
  <c r="Q631" i="353"/>
  <c r="R631" i="353" s="1"/>
  <c r="S631" i="353" s="1"/>
  <c r="Q709" i="353"/>
  <c r="R709" i="353" s="1"/>
  <c r="S709" i="353" s="1"/>
  <c r="Q967" i="353"/>
  <c r="R967" i="353" s="1"/>
  <c r="S967" i="353" s="1"/>
  <c r="Q858" i="353"/>
  <c r="R858" i="353" s="1"/>
  <c r="S858" i="353" s="1"/>
  <c r="Q991" i="353"/>
  <c r="R991" i="353" s="1"/>
  <c r="S991" i="353" s="1"/>
  <c r="Q851" i="353"/>
  <c r="R851" i="353" s="1"/>
  <c r="S851" i="353" s="1"/>
  <c r="Q771" i="353"/>
  <c r="R771" i="353" s="1"/>
  <c r="S771" i="353" s="1"/>
  <c r="Q920" i="353"/>
  <c r="R920" i="353" s="1"/>
  <c r="S920" i="353" s="1"/>
  <c r="Q780" i="353"/>
  <c r="R780" i="353" s="1"/>
  <c r="S780" i="353" s="1"/>
  <c r="Q976" i="353"/>
  <c r="R976" i="353" s="1"/>
  <c r="S976" i="353" s="1"/>
  <c r="Q921" i="353"/>
  <c r="R921" i="353" s="1"/>
  <c r="S921" i="353" s="1"/>
  <c r="Q41" i="353"/>
  <c r="R41" i="353" s="1"/>
  <c r="S41" i="353" s="1"/>
  <c r="Q107" i="353"/>
  <c r="R107" i="353" s="1"/>
  <c r="S107" i="353" s="1"/>
  <c r="Q170" i="353"/>
  <c r="R170" i="353" s="1"/>
  <c r="S170" i="353" s="1"/>
  <c r="Q234" i="353"/>
  <c r="R234" i="353" s="1"/>
  <c r="S234" i="353" s="1"/>
  <c r="Q297" i="353"/>
  <c r="R297" i="353" s="1"/>
  <c r="S297" i="353" s="1"/>
  <c r="Q362" i="353"/>
  <c r="R362" i="353" s="1"/>
  <c r="S362" i="353" s="1"/>
  <c r="Q426" i="353"/>
  <c r="R426" i="353" s="1"/>
  <c r="S426" i="353" s="1"/>
  <c r="Q490" i="353"/>
  <c r="R490" i="353" s="1"/>
  <c r="S490" i="353" s="1"/>
  <c r="Q554" i="353"/>
  <c r="R554" i="353" s="1"/>
  <c r="S554" i="353" s="1"/>
  <c r="Q616" i="353"/>
  <c r="R616" i="353" s="1"/>
  <c r="S616" i="353" s="1"/>
  <c r="Q678" i="353"/>
  <c r="R678" i="353" s="1"/>
  <c r="S678" i="353" s="1"/>
  <c r="Q741" i="353"/>
  <c r="R741" i="353" s="1"/>
  <c r="S741" i="353" s="1"/>
  <c r="Q813" i="353"/>
  <c r="R813" i="353" s="1"/>
  <c r="S813" i="353" s="1"/>
  <c r="Q874" i="353"/>
  <c r="R874" i="353" s="1"/>
  <c r="S874" i="353" s="1"/>
  <c r="Q946" i="353"/>
  <c r="R946" i="353" s="1"/>
  <c r="S946" i="353" s="1"/>
  <c r="Q1009" i="353"/>
  <c r="R1009" i="353" s="1"/>
  <c r="S1009" i="353" s="1"/>
  <c r="Q658" i="353"/>
  <c r="R658" i="353" s="1"/>
  <c r="S658" i="353" s="1"/>
  <c r="Q775" i="353"/>
  <c r="R775" i="353" s="1"/>
  <c r="S775" i="353" s="1"/>
  <c r="Q924" i="353"/>
  <c r="R924" i="353" s="1"/>
  <c r="S924" i="353" s="1"/>
  <c r="Q59" i="353"/>
  <c r="R59" i="353" s="1"/>
  <c r="S59" i="353" s="1"/>
  <c r="Q277" i="353"/>
  <c r="R277" i="353" s="1"/>
  <c r="S277" i="353" s="1"/>
  <c r="Q533" i="353"/>
  <c r="R533" i="353" s="1"/>
  <c r="S533" i="353" s="1"/>
  <c r="Q729" i="353"/>
  <c r="R729" i="353" s="1"/>
  <c r="S729" i="353" s="1"/>
  <c r="Q722" i="353"/>
  <c r="R722" i="353" s="1"/>
  <c r="S722" i="353" s="1"/>
  <c r="Q1304" i="353"/>
  <c r="R1304" i="353" s="1"/>
  <c r="S1304" i="353" s="1"/>
  <c r="Q76" i="353"/>
  <c r="R76" i="353" s="1"/>
  <c r="S76" i="353" s="1"/>
  <c r="Q368" i="353"/>
  <c r="R368" i="353" s="1"/>
  <c r="S368" i="353" s="1"/>
  <c r="Q137" i="353"/>
  <c r="R137" i="353" s="1"/>
  <c r="S137" i="353" s="1"/>
  <c r="Q497" i="353"/>
  <c r="R497" i="353" s="1"/>
  <c r="S497" i="353" s="1"/>
  <c r="Q1119" i="353"/>
  <c r="R1119" i="353" s="1"/>
  <c r="S1119" i="353" s="1"/>
  <c r="Q711" i="353"/>
  <c r="R711" i="353" s="1"/>
  <c r="Q899" i="353"/>
  <c r="R899" i="353" s="1"/>
  <c r="Q1042" i="353"/>
  <c r="R1042" i="353" s="1"/>
  <c r="S1042" i="353" s="1"/>
  <c r="S459" i="353"/>
  <c r="S1275" i="353"/>
  <c r="O4" i="353"/>
  <c r="Q4" i="353" s="1"/>
  <c r="C1342" i="353"/>
  <c r="R4" i="353" l="1"/>
  <c r="S4" i="353" s="1"/>
  <c r="S1344" i="353" l="1"/>
  <c r="S1342" i="353"/>
  <c r="S1343" i="353"/>
  <c r="S1338" i="353"/>
  <c r="S1345" i="353" l="1"/>
  <c r="R1338" i="353" l="1"/>
  <c r="C1343" i="353" s="1"/>
  <c r="C1344" i="353" l="1"/>
  <c r="C1345" i="353" l="1"/>
  <c r="B1345" i="353" s="1"/>
  <c r="B1344" i="353"/>
</calcChain>
</file>

<file path=xl/sharedStrings.xml><?xml version="1.0" encoding="utf-8"?>
<sst xmlns="http://schemas.openxmlformats.org/spreadsheetml/2006/main" count="22238" uniqueCount="4217">
  <si>
    <t>Matricula</t>
  </si>
  <si>
    <t>Nome</t>
  </si>
  <si>
    <t>Nùmero do Cartão</t>
  </si>
  <si>
    <t>Uso diário</t>
  </si>
  <si>
    <t>D</t>
  </si>
  <si>
    <t>Pedido Inicial</t>
  </si>
  <si>
    <t>Saldo no cartão</t>
  </si>
  <si>
    <t>Saldo para terminar o mês</t>
  </si>
  <si>
    <t>Valor economizado</t>
  </si>
  <si>
    <t>Pedido Final</t>
  </si>
  <si>
    <t>Status</t>
  </si>
  <si>
    <t>COMPLEMENTO</t>
  </si>
  <si>
    <t>NÃO EFETUAR RECARGA</t>
  </si>
  <si>
    <t>Total</t>
  </si>
  <si>
    <t>RESUMO</t>
  </si>
  <si>
    <t>Coluna1</t>
  </si>
  <si>
    <t>Recarga Pendente</t>
  </si>
  <si>
    <t>Filial</t>
  </si>
  <si>
    <t>Total Acumulado</t>
  </si>
  <si>
    <t>acumulo minimo</t>
  </si>
  <si>
    <t>acumulo</t>
  </si>
  <si>
    <t>Função</t>
  </si>
  <si>
    <t>Seção</t>
  </si>
  <si>
    <t>CPF</t>
  </si>
  <si>
    <t>PEDIDO INICIAL</t>
  </si>
  <si>
    <t>PEDIDO FINAL</t>
  </si>
  <si>
    <t>STATUS</t>
  </si>
  <si>
    <t>TOTAL</t>
  </si>
  <si>
    <t>RECARGA NORMAL</t>
  </si>
  <si>
    <t>HPOD (VALOR DA NFSe)</t>
  </si>
  <si>
    <t>ISAIAS CARVALHO NONATO</t>
  </si>
  <si>
    <t>ANDRE LUCAS NASCIMENTO CARDOSO</t>
  </si>
  <si>
    <t>DANIEL FERNANDES DA SILVA OLIVEIRA</t>
  </si>
  <si>
    <t>WILLIAM JOAQUIM DA SILVA</t>
  </si>
  <si>
    <t>CARLOS HENRIQUE DA SILVA ALVES</t>
  </si>
  <si>
    <t>OBERIANO FRANCISCO SILVA DOS SANTOS</t>
  </si>
  <si>
    <t>ANDRE RENATO PEIXOTO DA COSTA</t>
  </si>
  <si>
    <t>TIAGO MENDES CHAVES</t>
  </si>
  <si>
    <t>JOSE ILTON FERREIRA DE SOUSA</t>
  </si>
  <si>
    <t>FABIO MARTINS DOS SANTOS</t>
  </si>
  <si>
    <t>RONALDO DOS SANTOS ROSA</t>
  </si>
  <si>
    <t>FABIO DE FREITAS</t>
  </si>
  <si>
    <t>ANDERSON RODRIGUES RIBEIRO</t>
  </si>
  <si>
    <t>RAFAEL DE SOUZA OLIVEIRA</t>
  </si>
  <si>
    <t>WELLINGTON FELIX CAVALCANTE</t>
  </si>
  <si>
    <t>ALEX DAMIAO DE OLIVEIRA</t>
  </si>
  <si>
    <t>ALEXANDRE DE BARROS PEREIRA</t>
  </si>
  <si>
    <t>DANIEL SILVA DOS SANTOS</t>
  </si>
  <si>
    <t>CHARLES DE CASTRO SERRA JUNIOR</t>
  </si>
  <si>
    <t>LUCIANO ALVARENGA BARRETO</t>
  </si>
  <si>
    <t>JONATHAN LUIZ VIANA LINS SILVA</t>
  </si>
  <si>
    <t>ANDRE LUIZ PINTO BARBOSA JUNIOR</t>
  </si>
  <si>
    <t>ALEX MENDES ESTEVES</t>
  </si>
  <si>
    <t>ROGER MACHADO DOS SANTOS</t>
  </si>
  <si>
    <t>DENILSON TAVARES DOS SANTOS</t>
  </si>
  <si>
    <t>LUIZ PAULO FRANCA DA SILVA</t>
  </si>
  <si>
    <t>BRUNO DIEGO DA SILVA DINIZ FERREIRA</t>
  </si>
  <si>
    <t>YAGO DE BRITTO FONSECA</t>
  </si>
  <si>
    <t>LORRAM HENRIQUE SACRAMENTO DE VASCONCELLOS</t>
  </si>
  <si>
    <t>DIOGO DE REZENDE LOURENCO</t>
  </si>
  <si>
    <t>WALMIR DOS SANTOS</t>
  </si>
  <si>
    <t>WAGNER SILVA GENOVEVA</t>
  </si>
  <si>
    <t>MARCOS VINICIUS VIANNA DA ROCHA</t>
  </si>
  <si>
    <t>DIEGO ZANON PADUANO</t>
  </si>
  <si>
    <t>LUCIA HELENA FRUTUOSO NEVES</t>
  </si>
  <si>
    <t>ESTER ALVES FERREIRA</t>
  </si>
  <si>
    <t>BEATRIZ SANTOS DE MOURA</t>
  </si>
  <si>
    <t>GISELE DE AMORIM RODRIGUES</t>
  </si>
  <si>
    <t>FILIPE MATHEUS BARROS BRUNO</t>
  </si>
  <si>
    <t>CHARLES SILVA OLIVEIRA</t>
  </si>
  <si>
    <t>FABIANO BARROSO GONCALVES</t>
  </si>
  <si>
    <t>AMANDA MIGUEL PINTO DE SOUZA</t>
  </si>
  <si>
    <t>ALCIONE JAGNA DE MORAES</t>
  </si>
  <si>
    <t>LUIZ JOSE FRANCISCO FILHO</t>
  </si>
  <si>
    <t>PEDRO HENRIQUE CRISSIULLO DE LIMA</t>
  </si>
  <si>
    <t>LUCAS RODRIGUES DOS SANTOS LIMA</t>
  </si>
  <si>
    <t>ANDERSON BATISTA DA SILVA HONORIO</t>
  </si>
  <si>
    <t>KELLY REGINA SALLES VICENTE</t>
  </si>
  <si>
    <t>HENRIQUE CARLOS REIS SANTOS</t>
  </si>
  <si>
    <t>WELLINGTON OLIVEIRA DA SILVA</t>
  </si>
  <si>
    <t>RAPHAEL JORGE LOUREIRO</t>
  </si>
  <si>
    <t>MILENA SANTOS ALVES</t>
  </si>
  <si>
    <t>JULIO CESAR MOREIRA</t>
  </si>
  <si>
    <t>ROMANITO RICARDO GONCALVES</t>
  </si>
  <si>
    <t>SERGIO MURILO LUCIANO DA SILVA</t>
  </si>
  <si>
    <t>MARCELINO DIAS NETO</t>
  </si>
  <si>
    <t>PEDRO HENRIQUE PINHEIRO BARBOSA</t>
  </si>
  <si>
    <t>DILMEIA SANTOS DE SOUZA</t>
  </si>
  <si>
    <t>ELIELSON DA SILVA SOUZA</t>
  </si>
  <si>
    <t>MONICA DE OLIVEIRA</t>
  </si>
  <si>
    <t>ALBERT LUIS CANDIDO DA SILVA</t>
  </si>
  <si>
    <t>ALEX PAVAO DE MELLO</t>
  </si>
  <si>
    <t>YURI AZEVEDO DUARTE</t>
  </si>
  <si>
    <t>MARCOS SOARES DE SOUZA</t>
  </si>
  <si>
    <t>ANTONIO MARQUES DE SOUSA</t>
  </si>
  <si>
    <t>CELIO SANTOS</t>
  </si>
  <si>
    <t>JOSE ROBERTO DA SILVA BEZERRA</t>
  </si>
  <si>
    <t>JONATAN EUGENIO DOS SANTOS</t>
  </si>
  <si>
    <t>RAFAEL DA SILVA LAGE</t>
  </si>
  <si>
    <t>WELLERSON ROCHA CARDOSO SILVA</t>
  </si>
  <si>
    <t>SAMUEL MATHEUS GOMES DA SILVA</t>
  </si>
  <si>
    <t>KAIO FELLIPE DE ANDRADE DO NASCIMENTO</t>
  </si>
  <si>
    <t>RENAN MENDES DA SILVA DINIZ</t>
  </si>
  <si>
    <t>JOSE PEREIRA DA SILVA</t>
  </si>
  <si>
    <t>JONATHAN DA SILVA DE OLIVEIRA</t>
  </si>
  <si>
    <t>UENIO PECANHA VERISSIMO</t>
  </si>
  <si>
    <t>DIOGO DA SILVA MADUREIRA HENRIQUES</t>
  </si>
  <si>
    <t>WELLINGTON QUEIROZ GOMES DE SOUZA</t>
  </si>
  <si>
    <t>RAFAEL DO NASCIMENTO PEREIRA</t>
  </si>
  <si>
    <t>JORGE LUIZ DOS SANTOS ESCOBAR</t>
  </si>
  <si>
    <t>RAFAEL DE OLIVEIRA</t>
  </si>
  <si>
    <t>ANDRE LUIZ FERREIRA DE ARAUJO</t>
  </si>
  <si>
    <t>BRENO DA SILVA MENEZES SAMPAIO</t>
  </si>
  <si>
    <t>DANIEL GALDINO DA SILVA</t>
  </si>
  <si>
    <t>IAGO SANTOS SILVA</t>
  </si>
  <si>
    <t>BERGUESSON FREIRE DOS SANTOS</t>
  </si>
  <si>
    <t>DANIEL SANTOS DE OLIVEIRA</t>
  </si>
  <si>
    <t>JULIO CESAR RAPHAEL DA SILVA JUNIOR</t>
  </si>
  <si>
    <t>RENATO SOARES DOS REIS</t>
  </si>
  <si>
    <t>YURI DA SILVA BEZERRA</t>
  </si>
  <si>
    <t>JOSE VERISSIMO SEIXAS CABRAL</t>
  </si>
  <si>
    <t>CARLOS ANDRE DOS SANTOS CONSTANTINO JUNIOR</t>
  </si>
  <si>
    <t>KELSON SOUSA DE LIMA</t>
  </si>
  <si>
    <t>PEDRO HENRIQUE DA SILVA MARTINS REIS</t>
  </si>
  <si>
    <t>RAPHAEL DE SOUZA DA SILVA</t>
  </si>
  <si>
    <t>DANIEL BATISTA DA SILVA</t>
  </si>
  <si>
    <t>LUAN CASTRO LEITE</t>
  </si>
  <si>
    <t>JOAO GUILHERME RUFINO DA SILVA</t>
  </si>
  <si>
    <t>DANIEL AMOS LEMOS TEIXEIRA</t>
  </si>
  <si>
    <t>LUIZ JORGE DOS SANTOS</t>
  </si>
  <si>
    <t>JULIO CESAR ROSA NUNES PEREIRA</t>
  </si>
  <si>
    <t>LUIZ GUILHERME LEITE DA COSTA</t>
  </si>
  <si>
    <t>GUILHERME CORDEIRO LIMA</t>
  </si>
  <si>
    <t>RICARDO DE SOUZA DE BARROS</t>
  </si>
  <si>
    <t>NATHAN DOS SANTOS BUARQUE</t>
  </si>
  <si>
    <t>VICTOR HUGO DA CONCEICAO ROMUALDO</t>
  </si>
  <si>
    <t>IVO DA SILVA PORTES</t>
  </si>
  <si>
    <t>ERIC LUIZ DA FONSECA QUINTAS</t>
  </si>
  <si>
    <t>DANIEL CESCON MARTINS</t>
  </si>
  <si>
    <t>NATHAN GUERRA DAS CHAGAS</t>
  </si>
  <si>
    <t>YAN MORAES FRANCA</t>
  </si>
  <si>
    <t>MARCOS PAULO CLEMENTINO DE BRITO</t>
  </si>
  <si>
    <t>ROBSON LINCOLN ARAUJO DOS SANTOS</t>
  </si>
  <si>
    <t>DEYVISON RODRIGUES ROBERTO DE LIMA</t>
  </si>
  <si>
    <t>PAULO LIMA DA SILVA</t>
  </si>
  <si>
    <t>DIOGO DOS SANTOS CORA</t>
  </si>
  <si>
    <t>MAYCON CESAR CORREA TORRES</t>
  </si>
  <si>
    <t>JORGE DOUGLAS PINTO</t>
  </si>
  <si>
    <t>JULIA LEAL DA SILVA</t>
  </si>
  <si>
    <t>CARLOS ESTEVAO DA SILVA</t>
  </si>
  <si>
    <t>MARCO ANTONIO DO NASCIMENTO</t>
  </si>
  <si>
    <t>LUAN COSTA SANTOS</t>
  </si>
  <si>
    <t>JANETE MARIA MATEUS</t>
  </si>
  <si>
    <t>LEONARDO DA SILVA E SANTOS</t>
  </si>
  <si>
    <t>JARDIELSON SILVA SANTOS</t>
  </si>
  <si>
    <t>JONATAS GUIMARAES RIBEIRO MARQUES</t>
  </si>
  <si>
    <t>WASHINGTON LUIZ DA SILVA</t>
  </si>
  <si>
    <t>VIVIANE COSTA DE ALMEIDA</t>
  </si>
  <si>
    <t>ELISABETH VELEZ JACOB</t>
  </si>
  <si>
    <t>PATRICK MONTEIRO ALVES</t>
  </si>
  <si>
    <t>MARCELLA FERRAZ FREITAS DE OLIVEIRA</t>
  </si>
  <si>
    <t>DIOGO GOMES DOS SANTOS</t>
  </si>
  <si>
    <t>EMANUEL HENRIQUE DE LIMA QUIRGO</t>
  </si>
  <si>
    <t>THAIS DA SILVA ALVES</t>
  </si>
  <si>
    <t>JEANNE CRUZ DE ARAUJO</t>
  </si>
  <si>
    <t>MARCIA FARIAS TORRES</t>
  </si>
  <si>
    <t>GILDEON BISPO DOS SANTOS</t>
  </si>
  <si>
    <t>PAULO CESAR COSTA DE MORAIS</t>
  </si>
  <si>
    <t>ANA CLAUDIA FRANCISCA CORREIA</t>
  </si>
  <si>
    <t>MARCELO ZEFERINO RAIMUNDO</t>
  </si>
  <si>
    <t>GILCILENE MARIA DOS SANTOS</t>
  </si>
  <si>
    <t>ANTONIO CARLOS DOS SANTOS CUSTODIO</t>
  </si>
  <si>
    <t>LUIS FELIPE ARAUJO DOS SANTOS</t>
  </si>
  <si>
    <t>MARCELO MUNIZ DOS SANTOS</t>
  </si>
  <si>
    <t>JONATHAN DE OLIVEIRA MACIEL</t>
  </si>
  <si>
    <t>JOAO BRYAN ROSA DA SILVA</t>
  </si>
  <si>
    <t>FRANCINALDO VIEIRA DE MORAES</t>
  </si>
  <si>
    <t>THIAGO DA SILVA VIEIRA</t>
  </si>
  <si>
    <t>SONIA DA SILVA FONSECA</t>
  </si>
  <si>
    <t>ALCENI FLORES</t>
  </si>
  <si>
    <t>WILLIAN PESSOA DOS SANTOS GRIGORIO</t>
  </si>
  <si>
    <t>BRUNO RICARDO SILVA PEREIRA</t>
  </si>
  <si>
    <t>EDUARDO SANTANA DA SILVA</t>
  </si>
  <si>
    <t>EVERILDA MARIA FARIAS DE OLIVEIRA</t>
  </si>
  <si>
    <t>MARINALVA DA SILVA BARBOSA DA LUZ</t>
  </si>
  <si>
    <t>SONIA SILVA DE ALMEIDA</t>
  </si>
  <si>
    <t>MICHELE DE CASTRO BARBOZA</t>
  </si>
  <si>
    <t>ROSELENE DA CONCEICAO GONCALVES DA SILVA</t>
  </si>
  <si>
    <t>GILDA DOS ANJOS ARAUJO</t>
  </si>
  <si>
    <t>DEBORA REJANE DOS SANTOS</t>
  </si>
  <si>
    <t>ANA BEATRIZ DE ALMEIDA SANTOS</t>
  </si>
  <si>
    <t>LEONARDO DA SILVA ESTEVAO</t>
  </si>
  <si>
    <t>ANA PAULA DE SOUZA ROSA</t>
  </si>
  <si>
    <t>ROSEMERE CLOVES DOS SANTOS</t>
  </si>
  <si>
    <t>SANDY KATHELYN LOURENCO DOS SANTOS</t>
  </si>
  <si>
    <t>NATALIA LUIZA GONCALVES RODRIGUES</t>
  </si>
  <si>
    <t>MARCOS ROBERTO DA SILVA FLAUSINO</t>
  </si>
  <si>
    <t>CESAR SILVA DE SOUZA</t>
  </si>
  <si>
    <t>ALIF BRUNO SANTANA DA SILVA</t>
  </si>
  <si>
    <t>MAYANA SANTOS</t>
  </si>
  <si>
    <t>LUCAS GRACO DA ROCHA CLEMENTE</t>
  </si>
  <si>
    <t>JOANA VICENTE ROSA LAURIANO</t>
  </si>
  <si>
    <t>NILTON WAISMAN DUQUE CESAR</t>
  </si>
  <si>
    <t>WALDELI OQUIONI JERONYMO</t>
  </si>
  <si>
    <t>LEONARDO MATHEUS DA HORA ALVES</t>
  </si>
  <si>
    <t>JEFERSON DA SILVA CORTEZ CORDEIRO</t>
  </si>
  <si>
    <t>EZEQUIEL POLEGARIO DOS SANTOS</t>
  </si>
  <si>
    <t>WESLEY FRANCA DA CRUZ</t>
  </si>
  <si>
    <t>LUIZ PAULO CARDOSO BALDEZ</t>
  </si>
  <si>
    <t>PEDRO LUCAS DOS SANTOS GOMES</t>
  </si>
  <si>
    <t>MARCELE DA PENHA DE ANDRADE CARREIRO</t>
  </si>
  <si>
    <t>ELIAS RODRIGUES DE OLIVEIRA</t>
  </si>
  <si>
    <t>LEO CAMARGO DA COSTA</t>
  </si>
  <si>
    <t>FAGNER DO NASCIMENTO SILVA</t>
  </si>
  <si>
    <t>ELISEU JOSE DE ARAUJO SILVA</t>
  </si>
  <si>
    <t>RAIMUNDO CORREA SALES</t>
  </si>
  <si>
    <t>FELIPE PAZ LEITE</t>
  </si>
  <si>
    <t>PAULO CESAR DA SILVA BARBOSA</t>
  </si>
  <si>
    <t>ERINALDO SANTOS DA SILVA</t>
  </si>
  <si>
    <t>MARCIO GONCALVES DE OLIVEIRA</t>
  </si>
  <si>
    <t>ROGERIA CARVALHO DOS SANTOS</t>
  </si>
  <si>
    <t>DANIELA SANTOS DA SILVA</t>
  </si>
  <si>
    <t>JUAN MOREIRA RODRIGUES DE LIMA</t>
  </si>
  <si>
    <t>FELIPE LOPES DA ROCHA</t>
  </si>
  <si>
    <t>ALESSANDRA FERNANDES PRACA</t>
  </si>
  <si>
    <t>RENAN DE MOURA SOUZA</t>
  </si>
  <si>
    <t>ANA CARLA SILVA MOTA</t>
  </si>
  <si>
    <t>NIVEA VICENTE BATISTA</t>
  </si>
  <si>
    <t>DANIELE DIAS SANTOS DA SILVA</t>
  </si>
  <si>
    <t>RAYANE SEBASTIAO</t>
  </si>
  <si>
    <t>BRUNA DE OLIVEIRA CAVALCANTE</t>
  </si>
  <si>
    <t>ISABELA ESTELA PINTO</t>
  </si>
  <si>
    <t>JESSICA DA CONCEICAO SIQUEIRA</t>
  </si>
  <si>
    <t>NATALIA MARTINS PINHEIRO</t>
  </si>
  <si>
    <t>LUCIANA DE SOUZA AMARO</t>
  </si>
  <si>
    <t>GLAUCIA DA SILVA COSTA</t>
  </si>
  <si>
    <t>LAVINIA DA CONCEICAO ROSA</t>
  </si>
  <si>
    <t>SARA GAMA DE SOUZA</t>
  </si>
  <si>
    <t>MARCOS HENRIQUE DA SILVA REIS</t>
  </si>
  <si>
    <t>SONIA SANTOS VILLAS BOAS</t>
  </si>
  <si>
    <t>ROSINEA DOS SANTOS ALMEIDA</t>
  </si>
  <si>
    <t>EDILSON FERREIRA DE SOUSA</t>
  </si>
  <si>
    <t>ROGERIO MACHADO COSTA</t>
  </si>
  <si>
    <t>EDUARDO CASSIANO PAULINO CANDEIA</t>
  </si>
  <si>
    <t>GUILHERME DE MIRANDA ARAUJO</t>
  </si>
  <si>
    <t>JERONIL DE SOUZA CARVALHO</t>
  </si>
  <si>
    <t>CRISTIANE BAIHENSE</t>
  </si>
  <si>
    <t>ALAN DOS SANTOS COSTA</t>
  </si>
  <si>
    <t>THUANY DE PAULA DIAS</t>
  </si>
  <si>
    <t>FABIO DA MATA DOS SANTOS</t>
  </si>
  <si>
    <t>ALYSSON MARTINS DRUMOND</t>
  </si>
  <si>
    <t>ELOY JOAO PEDRO AGUIAR DE MELO</t>
  </si>
  <si>
    <t>LUCAS ALVES PEREIRA PERI</t>
  </si>
  <si>
    <t>MARIA REGINA CRUVER DOS SANTOS</t>
  </si>
  <si>
    <t>MONICA VIDAL DA SILVA</t>
  </si>
  <si>
    <t>VANESSA DE ARAUJO FERREIRA</t>
  </si>
  <si>
    <t>LUIZ FERNANDO MAGAVE DUTRA</t>
  </si>
  <si>
    <t>WENDEL DOS SANTOS REZENDE</t>
  </si>
  <si>
    <t>ROBERTO CARLOS PERES MARQUES</t>
  </si>
  <si>
    <t>LUIZ CARLOS CUSTODIO DOS SANTOS</t>
  </si>
  <si>
    <t>JOSUE GOMES DA SILVA</t>
  </si>
  <si>
    <t>LIDIANE DOS SANTOS DUARTE</t>
  </si>
  <si>
    <t>THIAGO DO NASCIMENTO MARTINS</t>
  </si>
  <si>
    <t>BRUNO CARLOS DOS SANTOS SILVA</t>
  </si>
  <si>
    <t>ALEXANDRE DOS SANTOS CARVALHO</t>
  </si>
  <si>
    <t>ALEXANDRE TELES DOS SANTOS</t>
  </si>
  <si>
    <t>DANIELLA DA SILVA LEOCADIO SEABRA</t>
  </si>
  <si>
    <t>SERGIO RIBEIRO DA SILVA JUNIOR</t>
  </si>
  <si>
    <t>PEDRO LUCAS PINHEIRO DA SILVA</t>
  </si>
  <si>
    <t>SONIA REGINA CARVALHO ARANTES</t>
  </si>
  <si>
    <t>CATIA DE ALMEIDA GOMES</t>
  </si>
  <si>
    <t>GABRIELLA BARBOSA DA SILVA</t>
  </si>
  <si>
    <t>ANA PAULA DA CRUZ FERREIRA</t>
  </si>
  <si>
    <t>MARIA GERLANIA BRUNA DE MORAES</t>
  </si>
  <si>
    <t>CAROLINA DA SILVA SOARES</t>
  </si>
  <si>
    <t>JANE CLAY DE SOUZA</t>
  </si>
  <si>
    <t>LUIZA CAROLINE MORAES</t>
  </si>
  <si>
    <t>MAYNARA GOMES DE SOUZA</t>
  </si>
  <si>
    <t>ANNANDA DE SOUZA DI PACE</t>
  </si>
  <si>
    <t>VALDILENE RIBEIRO TEIXEIRA</t>
  </si>
  <si>
    <t>FRANCISCO JORGE PEREIRA GOMES</t>
  </si>
  <si>
    <t>MARIA CLARA MONTEIRO DA SILVA</t>
  </si>
  <si>
    <t>GUSTAVO SILVA SOARES DE PAIVA</t>
  </si>
  <si>
    <t>VALCENIR DE SOUZA</t>
  </si>
  <si>
    <t>LOURIVAL DE LIMA GALDINO</t>
  </si>
  <si>
    <t>WILSON DA SILVA FERNANDES</t>
  </si>
  <si>
    <t>AILTON SILVA DOS SANTOS</t>
  </si>
  <si>
    <t>ISABELLY MAIA PEREIRA</t>
  </si>
  <si>
    <t>VINICIUS ALVES DE CASTRO</t>
  </si>
  <si>
    <t>NOELIA CARDOSO AQUINO</t>
  </si>
  <si>
    <t>PAULO ROBERTO FELIX DA SILVA</t>
  </si>
  <si>
    <t>YURI DOS SANTOS SILVA VIEIRA</t>
  </si>
  <si>
    <t>LUISA DE OLIVEIRA DA SILVA</t>
  </si>
  <si>
    <t>ALCIDES REZENDE ESPIRITO SANTOS</t>
  </si>
  <si>
    <t>WENDELL DO NASCIMENTO MOURA</t>
  </si>
  <si>
    <t>JOAO PAULO SILVA FULGENCIO</t>
  </si>
  <si>
    <t>DAVID RAMOS MACIEL</t>
  </si>
  <si>
    <t>IVANI COUTINHO OLIVEIRA DA SILVA</t>
  </si>
  <si>
    <t>JOSILEIDE DE PAULA</t>
  </si>
  <si>
    <t>ANDRESSA SILVA DOS SANTOS</t>
  </si>
  <si>
    <t>LUCIANA CUSTODIO DA SILVA</t>
  </si>
  <si>
    <t>THAYNA PEDRO SANTOS DE MELO</t>
  </si>
  <si>
    <t>ANGELICA MARIA SILVA DE ARAUJO</t>
  </si>
  <si>
    <t>SERGIO DA SILVA NASCIMENTO</t>
  </si>
  <si>
    <t>LUCIANO BENTO DA SILVA CUNHA</t>
  </si>
  <si>
    <t>ALBERTO SILVA</t>
  </si>
  <si>
    <t>LUCIANO DA CONCEICAO</t>
  </si>
  <si>
    <t>ROSANE TORTORI BONGESTAB</t>
  </si>
  <si>
    <t>JORGE LEMOS FERREIRA</t>
  </si>
  <si>
    <t>MARCOS ANTONIO RODRIGUES BEZERRA</t>
  </si>
  <si>
    <t>FAGNER JEFFERSON DA SILVA SANTOS</t>
  </si>
  <si>
    <t>JOYCE SALDANHA DOS SANTOS</t>
  </si>
  <si>
    <t>BRUNO DA SILVA DIAS</t>
  </si>
  <si>
    <t>ALLICIA VILELA PINTO DE SOUZA</t>
  </si>
  <si>
    <t>JORGE DE SOUZA LUCIO</t>
  </si>
  <si>
    <t>RONALDO DOS SANTOS CARVALHO</t>
  </si>
  <si>
    <t>LUCIANO CAMPOS DE LIMA</t>
  </si>
  <si>
    <t>TIAGO CAVALCANTE MARTINS</t>
  </si>
  <si>
    <t>RUI VIANA DE FARIAS</t>
  </si>
  <si>
    <t>BRENNER ISMAEL CARDOSO OLIVEIRA</t>
  </si>
  <si>
    <t>LYDIA ROSA DE OLIVEIRA VICENTE</t>
  </si>
  <si>
    <t>MAYRA CITERA OLIVEIRA DE MENEZES</t>
  </si>
  <si>
    <t>LUCINALDA MUNIZ DO NASCIMENTO</t>
  </si>
  <si>
    <t>MARCUS VINICIUS RELLO MESQUITA</t>
  </si>
  <si>
    <t>ALICIA KELLY CORREIA SOARES</t>
  </si>
  <si>
    <t>JOSE ROBERTO RUFINO</t>
  </si>
  <si>
    <t>LUIZ GUSTAVO FERNANDES DE OLIVEIRA</t>
  </si>
  <si>
    <t>MARCIA GOMES DE LIMA</t>
  </si>
  <si>
    <t>DEBORA CARVALHO NETO DE MELO</t>
  </si>
  <si>
    <t>JORGE FONSECA NUNES</t>
  </si>
  <si>
    <t>JESSICA REGINA MARTINS DE SOUZA</t>
  </si>
  <si>
    <t>DANIELE MARTINS DE SENA BARBOSA</t>
  </si>
  <si>
    <t>OSMAR SAMORA DA COSTA</t>
  </si>
  <si>
    <t>INGRID NASCIMENTO SANTANA</t>
  </si>
  <si>
    <t>JAIR VITOR DOS SANTOS RIBEIRO</t>
  </si>
  <si>
    <t>MARCO AURELIO FERREIRA DOS SANTOS</t>
  </si>
  <si>
    <t>EDIMILSON LUIZ DOS SANTOS</t>
  </si>
  <si>
    <t>VITORIA DA SILVA DE OLIVEIRA</t>
  </si>
  <si>
    <t>KLAYSON DE SOUZA DA FONSECA</t>
  </si>
  <si>
    <t>JUAN PHELLIPE SOUZA DA SILVA</t>
  </si>
  <si>
    <t>TAIS ROBERTA RODRIGUES DE ALMEIDA</t>
  </si>
  <si>
    <t>MARCOS ROBERTO DOS SANTOS</t>
  </si>
  <si>
    <t>CARLA CRISTINA DA SILVA</t>
  </si>
  <si>
    <t>GEOVAN SANTOS DA SILVA</t>
  </si>
  <si>
    <t>ITALO BRUNO DA SILVA FLAUSINO VIEIRA</t>
  </si>
  <si>
    <t>PLINIO LOPES CALDEIRA</t>
  </si>
  <si>
    <t>FABIANO HENRIQUE</t>
  </si>
  <si>
    <t>MARCIA CASTRO DA SILVA</t>
  </si>
  <si>
    <t>ISABEL CRISTINA DE OLIVEIRA DA COSTA</t>
  </si>
  <si>
    <t>MARIA JANAINA DA SILVA</t>
  </si>
  <si>
    <t>CRYSLANE CRISTINA PARANHOS CABRAL</t>
  </si>
  <si>
    <t>ARIZA DE OLIVEIRA</t>
  </si>
  <si>
    <t>JULIO CESAR VICENTE ROSA</t>
  </si>
  <si>
    <t>VANESSA DOS SANTOS TRAJANO DA SILVA</t>
  </si>
  <si>
    <t>GENIVALDO BARROS DE SOUZA</t>
  </si>
  <si>
    <t>ANTONIO BERNARDO FERREIRA</t>
  </si>
  <si>
    <t>RONALDO FLORES DE LIMA</t>
  </si>
  <si>
    <t>MARCO ANTONIO SOUZA DA CUNHA</t>
  </si>
  <si>
    <t>GILSON DA CONCEICAO IZALTINO</t>
  </si>
  <si>
    <t>JADER GOMES</t>
  </si>
  <si>
    <t>LUCIANO DO NASCIMENTO SILVA</t>
  </si>
  <si>
    <t>ROBERT NOVAES DO NASCIMENTO</t>
  </si>
  <si>
    <t>JADSON NASCIMENTO DOS SANTOS</t>
  </si>
  <si>
    <t>IZABEL CRISTINA VIEIRA DE SOUSA</t>
  </si>
  <si>
    <t>BARBARA APARECIDA DA SILVA</t>
  </si>
  <si>
    <t>ALEX AUGUSTO TRINDADE</t>
  </si>
  <si>
    <t>MAICON DE MELO DE ANDRADE</t>
  </si>
  <si>
    <t>WELLEN YBONNY REIS NOVAES</t>
  </si>
  <si>
    <t>ALESSANDRO CRISTIANO MENDONCA CANDIDO</t>
  </si>
  <si>
    <t>JAIRO COELHO DO NASCIMENTO</t>
  </si>
  <si>
    <t>ERICKA DOS SANTOS SILVA</t>
  </si>
  <si>
    <t>FRANCELINA TEODORA DOS SANTOS DE ANDRADE</t>
  </si>
  <si>
    <t>VINICIUS RAMOS SANTIAGO</t>
  </si>
  <si>
    <t>LUCIANO VELOSO DA SILVA</t>
  </si>
  <si>
    <t>ISRAEL DOS SANTOS LIMA</t>
  </si>
  <si>
    <t>AMANDA DA CONCEICAO MONTEIRO</t>
  </si>
  <si>
    <t>LEONARDO NOVAES MAURELLI JUNIOR</t>
  </si>
  <si>
    <t>RICARDO RAPHAEL NAEGELE CORREIA DA SILVEIRA</t>
  </si>
  <si>
    <t>SUANE LIMA DA SILVA</t>
  </si>
  <si>
    <t>ELIANA FERREIRA DA CUNHA</t>
  </si>
  <si>
    <t>NAYARA CABRAL SILVA</t>
  </si>
  <si>
    <t>PAULA CRISTINA CALDOGNI RIBEIRO</t>
  </si>
  <si>
    <t>LUCYMARY CARVALHO VASCONCELOS</t>
  </si>
  <si>
    <t>KAIO LEONARDO DA CONCEICAO DE OLIVEIRA</t>
  </si>
  <si>
    <t>TELMA DE SOUZA LIMA</t>
  </si>
  <si>
    <t>LEONE DA SILVA PIRES</t>
  </si>
  <si>
    <t>GLEICE CRISTINA DIAS CARDOSO</t>
  </si>
  <si>
    <t>MERILANE DA SILVA SIQUEIRA</t>
  </si>
  <si>
    <t>BARBARA SANTOS DA SILVA</t>
  </si>
  <si>
    <t>ALEX SANDRO GOMES AVELINO</t>
  </si>
  <si>
    <t>VIVIANE BATISTA LIMA DA COSTA</t>
  </si>
  <si>
    <t>VICTORIA CAROLINE RODRIGUES DE PINHO</t>
  </si>
  <si>
    <t>RICARDO DE ARAUJO DOS RAMOS</t>
  </si>
  <si>
    <t>INGRID SANTOS DE SOUZA DA SILVA</t>
  </si>
  <si>
    <t>LARISSA SANTOS RIBEIRO</t>
  </si>
  <si>
    <t>JAQUELINE DA SILVA</t>
  </si>
  <si>
    <t>IAGO LUIZ LARANJEIRA DOS ANJOS</t>
  </si>
  <si>
    <t>DORGIVAL RODRIGUES FILHO</t>
  </si>
  <si>
    <t>GABRIEL KENNED DE JESUS COUTO</t>
  </si>
  <si>
    <t>OTONIEL ALVES COSTA JUNIOR</t>
  </si>
  <si>
    <t>GABRIEL GOMES MATOS</t>
  </si>
  <si>
    <t>WESLEY SILVA SANTOS</t>
  </si>
  <si>
    <t>LEONARDO PEREIRA NICACIO</t>
  </si>
  <si>
    <t>ANA CRISTINA SANT ANNA TORRES</t>
  </si>
  <si>
    <t>CREUMA DA GLORIA PEREIRA DE SOUZA ALVES</t>
  </si>
  <si>
    <t>LUAN REIS MACHADO</t>
  </si>
  <si>
    <t>JANDERSON DE SANTANA MAGALHAES</t>
  </si>
  <si>
    <t>PAOLA DOMINGOS ARAUJO DO NASCIMENTO</t>
  </si>
  <si>
    <t>BIANCA EVILLYN GONCALVES DA SILVA</t>
  </si>
  <si>
    <t>BRENO PEREIRA RAMOS</t>
  </si>
  <si>
    <t>RONALD COSTA DE AGUIAR</t>
  </si>
  <si>
    <t>JOSE BISPO DOS SANTOS JUNIOR</t>
  </si>
  <si>
    <t>JULIO CESAR VAZ DE FREITAS</t>
  </si>
  <si>
    <t>JORGE LUIZ DA SILVA PIMENTEL</t>
  </si>
  <si>
    <t>DIOGO RICARDO ROSA</t>
  </si>
  <si>
    <t>WEBERSON ROSA BEZERRA</t>
  </si>
  <si>
    <t>DOUGLAS BARBOSA TORRES</t>
  </si>
  <si>
    <t>ALEXSANDRE JUSTINO BARCELLOS</t>
  </si>
  <si>
    <t>AURENIO DA SILVA LESSA</t>
  </si>
  <si>
    <t>ANA LARA TRIFLER</t>
  </si>
  <si>
    <t>JULIANA TEIXEIRA DOS SANTOS</t>
  </si>
  <si>
    <t>ROBERTO PEREIRA DA SILVA</t>
  </si>
  <si>
    <t>FABIANO DE SOUZA DA SILVA</t>
  </si>
  <si>
    <t>ROSEMERI AUGUSTO GONCALVES</t>
  </si>
  <si>
    <t>SAMARA VIEIRA AGUIAR</t>
  </si>
  <si>
    <t>CAIQUE DA SILVA FLAUSINO GOMES</t>
  </si>
  <si>
    <t>VANESSA BARBOSA RIBEIRO SILVA</t>
  </si>
  <si>
    <t>PEDRO HENRIQUE RODRIGUES DA SILVA</t>
  </si>
  <si>
    <t>THAIS MARQUES DE SOUZA</t>
  </si>
  <si>
    <t>FERNANDA DE LIMA LEANDRO</t>
  </si>
  <si>
    <t>ADRIANA MARCILENE SOUZA PAES</t>
  </si>
  <si>
    <t>WALLACE DA SILVA CABRAL</t>
  </si>
  <si>
    <t>GISELE CLEMENTE DA SILVA</t>
  </si>
  <si>
    <t>JULIANA LUCIANA DA SILVA</t>
  </si>
  <si>
    <t>STEPHANIE ROCHA SILVA SALDANHA</t>
  </si>
  <si>
    <t>VERONICA DA SILVA OLIVEIRA</t>
  </si>
  <si>
    <t>ANDREA CLEMENTE DE SOUZA</t>
  </si>
  <si>
    <t>ANDRESSA RAMOS DOS SANTOS</t>
  </si>
  <si>
    <t>DAYSE LIMA DOS SANTOS</t>
  </si>
  <si>
    <t>KELLY ALVIM DA SILVA</t>
  </si>
  <si>
    <t>FABIO DE OLIVEIRA DE ALMEIDA</t>
  </si>
  <si>
    <t>CLEYTON ROZA DE OLIVEIRA</t>
  </si>
  <si>
    <t>DIANA MORAIS PEDRO</t>
  </si>
  <si>
    <t>SHIRLEY MEDEIROS DE LIMA</t>
  </si>
  <si>
    <t>MARIA MARTA DOS ANJOS VIEIRA BELO</t>
  </si>
  <si>
    <t>CASSIANA SILVA TORRES</t>
  </si>
  <si>
    <t>EMILLY RIGUEIRO RODRIGUES</t>
  </si>
  <si>
    <t>ESTELA DOS SANTOS DE JESUS</t>
  </si>
  <si>
    <t>SAMARA GUIMARAES DE OLIVEIRA</t>
  </si>
  <si>
    <t>ALEF BARROS DA COSTA</t>
  </si>
  <si>
    <t>ALESSANDRA SOUZA DA SILVA</t>
  </si>
  <si>
    <t>ANA PAULA SILVA DE OLIVEIRA PINTO</t>
  </si>
  <si>
    <t>RAYANE DO NASCIMENTO ARAUJO</t>
  </si>
  <si>
    <t>JOCELANIA JUSTINO DA SILVA</t>
  </si>
  <si>
    <t>CINTIA DA COSTA SILVA</t>
  </si>
  <si>
    <t>ELAINE DO CARMO SILVA</t>
  </si>
  <si>
    <t>ALICE DE CASTRO EVIDIO</t>
  </si>
  <si>
    <t>VANESSA DE LIMA MAIA</t>
  </si>
  <si>
    <t>MARIANNE BRAZ AMORIM</t>
  </si>
  <si>
    <t>HASNA DE OLIVEIRA MADRUGA</t>
  </si>
  <si>
    <t>BRENDOM DE SANTANA MELLO</t>
  </si>
  <si>
    <t>FABIANA NASCIMENTO DE OLIVEIRA</t>
  </si>
  <si>
    <t>DAVID MAURICIO RODRIGUES DA SILVEIRA</t>
  </si>
  <si>
    <t>PATRICIA MARTINS DE ARAUJO DE SOUZA</t>
  </si>
  <si>
    <t>QUEILA CRISTIANE SPERANDIO SALGADO BRAGA</t>
  </si>
  <si>
    <t>ARGEMIRA DOS SANTOS DOMINGOS</t>
  </si>
  <si>
    <t>MARIA CLARA CHIAPPETA QUINTANILHA DE SOUZA</t>
  </si>
  <si>
    <t>AGHATA DE SOUZA GOMES</t>
  </si>
  <si>
    <t>LUCAS DA SILVA CARVALHO SOUZA</t>
  </si>
  <si>
    <t>ANDERSON DA SILVA QUADROS</t>
  </si>
  <si>
    <t>JOAO VINICIUS DE CARVALHO DA SILVA</t>
  </si>
  <si>
    <t>LUCAS LUIZ DA SILVA</t>
  </si>
  <si>
    <t>NAIELI DA COSTA ABREU</t>
  </si>
  <si>
    <t>NUBIA PEREIRA ANDRE DA LUZ</t>
  </si>
  <si>
    <t>FLAVIO DA SILVA FERREIRA</t>
  </si>
  <si>
    <t>LUCAS HENRIQUE MORENO</t>
  </si>
  <si>
    <t>MARCIO DOS SANTOS TEIXEIRA</t>
  </si>
  <si>
    <t>ED WILLIAM AGUIAR DE MELO</t>
  </si>
  <si>
    <t>PATRICK CHAGAS DA SILVA</t>
  </si>
  <si>
    <t>DIOGENES FERREIRA GADELHA</t>
  </si>
  <si>
    <t>LUIZ CARLOS GUIMARAES CAETANO</t>
  </si>
  <si>
    <t>WELLINGTON DE LIMA SILVA</t>
  </si>
  <si>
    <t>LEANDRO MENDES LOPES JUNIOR</t>
  </si>
  <si>
    <t>YURI GABRIEL DE JESUS PEREIRA</t>
  </si>
  <si>
    <t>PAULO HENRIQUE ALMEIDA DA SILVA</t>
  </si>
  <si>
    <t>DOUGLAS DA ROZA FAGUNDES</t>
  </si>
  <si>
    <t>ANTONIO CARLOS DE AMORIM ANTUNES</t>
  </si>
  <si>
    <t>GIDEAO BRUNO DOS SANTOS LAURINDO</t>
  </si>
  <si>
    <t>VITOR SOARES RIBEIRO</t>
  </si>
  <si>
    <t>SELAMAR MAIONE FERREIRA</t>
  </si>
  <si>
    <t>SALOMAO DE PAULA SALES</t>
  </si>
  <si>
    <t>MOACIR FRANKLIN DA SILVA</t>
  </si>
  <si>
    <t>MARIANE TAVARES DA SILVA</t>
  </si>
  <si>
    <t>ADRIANO SANTOS COSTA</t>
  </si>
  <si>
    <t>WILLIAN CUSTODIO ROSA JUNIOR</t>
  </si>
  <si>
    <t>LUIZ FILIPE RIBEIRO ADRIANO</t>
  </si>
  <si>
    <t>ELIANE DA SILVA ARAUJO</t>
  </si>
  <si>
    <t>EMERSON MARTINS DA SILVA MAIA</t>
  </si>
  <si>
    <t>WANDERSON MOREIRA DIAS</t>
  </si>
  <si>
    <t>CLEBER DE SOUZA LIMA</t>
  </si>
  <si>
    <t>ANDRE LAURINDO</t>
  </si>
  <si>
    <t>CLEBER ABREU EIRAS</t>
  </si>
  <si>
    <t>ANDREZA APARECIDA XIMENES DANTAS GOULART</t>
  </si>
  <si>
    <t>EDILSON FERREIRA LIMA</t>
  </si>
  <si>
    <t>JUAN GALDINO DA SILVA</t>
  </si>
  <si>
    <t>CAMILA CRISTINA PECANHA PEREIRA</t>
  </si>
  <si>
    <t>ROSILENE GUEDES DA CUNHA</t>
  </si>
  <si>
    <t>ANDRE DE VASCONCELOS</t>
  </si>
  <si>
    <t>THIAGO DE MOURA PEREIRA</t>
  </si>
  <si>
    <t>SANDRA ABALLO MORENO</t>
  </si>
  <si>
    <t>MAGNO DOS SANTOS SILVA</t>
  </si>
  <si>
    <t>CARLOS EDUARDO DA SILVA</t>
  </si>
  <si>
    <t>MATEUS MARCOS DE FREITAS</t>
  </si>
  <si>
    <t>DAYLANE DA SILVA DUARTE</t>
  </si>
  <si>
    <t>THIAGO DE OLIVEIRA</t>
  </si>
  <si>
    <t>ALINE DE ANDRADE LOPES</t>
  </si>
  <si>
    <t>ELANE LUCAS DA SILVA</t>
  </si>
  <si>
    <t>GUSTAVO DA SILVA SANTOS</t>
  </si>
  <si>
    <t>GUSTAVO ALVES SILVA</t>
  </si>
  <si>
    <t>BEATRIZ DA SILVA OLIVEIRA</t>
  </si>
  <si>
    <t>TATIANA PIRES BARBOSA CAROLINO</t>
  </si>
  <si>
    <t>JANAINA MELO LEITE DE LIMA</t>
  </si>
  <si>
    <t>ADILSON SILVA SANTOS</t>
  </si>
  <si>
    <t>ELIAS DOS SANTOS</t>
  </si>
  <si>
    <t>CARLOS HENRIQUE MOREIRA DA SILVA JUNIOR</t>
  </si>
  <si>
    <t>RICHARD BARBOSA SILVA</t>
  </si>
  <si>
    <t>HUDSON CRISTIANO PORTO NASCIMENTO</t>
  </si>
  <si>
    <t>ALMIR DOS REIS OLINTO</t>
  </si>
  <si>
    <t>PAULO ROBERTO DE SOUZA GOMES RODRIGUES</t>
  </si>
  <si>
    <t>RODRIGO GONCALVES DOS SANTOS</t>
  </si>
  <si>
    <t>RENATO BENTO DOS SANTOS JUNIOR</t>
  </si>
  <si>
    <t>ROBERTO SANTANA DOS ANJOS</t>
  </si>
  <si>
    <t>IURY PEREIRA DE BARROS</t>
  </si>
  <si>
    <t>DIOGENES DA SILVA TELES</t>
  </si>
  <si>
    <t>DARA ALVES DE JESUS PESSANHA</t>
  </si>
  <si>
    <t>TIAGO OLIVEIRA CABRAL DA SILVA</t>
  </si>
  <si>
    <t>MARCELO DO PATROCINIO DA ROCHA JUNIOR</t>
  </si>
  <si>
    <t>ADENESIO TOMAZ LUCIANO SILVA</t>
  </si>
  <si>
    <t>ADRIANA DO NASCIMENTO SIMOES</t>
  </si>
  <si>
    <t>RIAN DE OLIVEIRA DOS SANTOS</t>
  </si>
  <si>
    <t>PABLO FELIPE AMARAL SILVA</t>
  </si>
  <si>
    <t>MARCELLO LUIZ LEMOS DOS SANTOS</t>
  </si>
  <si>
    <t>WILLIAM PRAXEDES PEREIRA</t>
  </si>
  <si>
    <t>MATHEUS DE ALMEIDA MORAES</t>
  </si>
  <si>
    <t>ADRIANA DE SOUZA PINHEIRO DA SILVA</t>
  </si>
  <si>
    <t>FABIANA LIMA DE JESUS DE SOUZA</t>
  </si>
  <si>
    <t>RAQUEL JACOB DOS SANTOS</t>
  </si>
  <si>
    <t>NAIANE SILVA AYROSA RIGAO</t>
  </si>
  <si>
    <t>MARCELE SILVA PRATA</t>
  </si>
  <si>
    <t>LUANA LOPES MARINHO</t>
  </si>
  <si>
    <t>ANGELICA DA SILVA RODRIGUES DA SILVA</t>
  </si>
  <si>
    <t>TAILAINE ARAUJO LIRA</t>
  </si>
  <si>
    <t>ROMARIO DA SILVA RIBEIRO</t>
  </si>
  <si>
    <t>AGATHA JULYA SANTOS VIANA</t>
  </si>
  <si>
    <t>LUARA LUCIA GOMES DE OLIVEIRA</t>
  </si>
  <si>
    <t>ANA PAULA SILVA QUEIROZ</t>
  </si>
  <si>
    <t>LETICIA STEPHANIE FERREIRA DA SILVA</t>
  </si>
  <si>
    <t>SAMARA CRISTINA NEVES ANTONIO</t>
  </si>
  <si>
    <t>ALINE DAIANA DE OLIVEIRA LOPES AMARAL MACHADO</t>
  </si>
  <si>
    <t>LEILA FREIRE DE ARAUJO</t>
  </si>
  <si>
    <t>MARINES BATISTA DA SILVA</t>
  </si>
  <si>
    <t>STHEFANIE NASCIMENTO DA SILVA</t>
  </si>
  <si>
    <t>JOYCE VITORIA DE OLIVEIRA DIONISIO CERQUEIRA</t>
  </si>
  <si>
    <t>VALDINEIA DA SILVA HONORIO</t>
  </si>
  <si>
    <t>ELISAMA CUNHA RODRIGUES</t>
  </si>
  <si>
    <t>SONIA DO NASCIMENTO ALVES DE OLIVEIRA</t>
  </si>
  <si>
    <t>VIVIAN DA SILVA BAPTISTA</t>
  </si>
  <si>
    <t>SARA MARCELA FERREIRA FAGUNDES</t>
  </si>
  <si>
    <t>RENATA DA SILVA SIMOES PORTO</t>
  </si>
  <si>
    <t>MARIA CRISTINA ROMUALDO BORGES</t>
  </si>
  <si>
    <t>SARA BEATRIZ SANTOS</t>
  </si>
  <si>
    <t>PAOLA AGATA GUEDES NASCIMENTO LIMA</t>
  </si>
  <si>
    <t>RILLARY SILVA MOLEIRO</t>
  </si>
  <si>
    <t>VANESSA FRANCO DE MORAIS OLIVEIRA</t>
  </si>
  <si>
    <t>GISELE PEREIRA DE OLIVEIRA GOTTGTROY</t>
  </si>
  <si>
    <t>ANA CLAUDIA DE CAMARGO RODRIGUES</t>
  </si>
  <si>
    <t>THAYSSA DOS SANTOS CEZAR</t>
  </si>
  <si>
    <t>MARIANA DE SOUZA FERREIRA MAHOMED</t>
  </si>
  <si>
    <t>ANA CLARA DE OLIVEIRA DA SILVA</t>
  </si>
  <si>
    <t>MARIANA AYLA TEIXEIRA RODRIGUES</t>
  </si>
  <si>
    <t>STEPHANIE DE BRITO FERNANDES</t>
  </si>
  <si>
    <t>VIVIANE DE SOUZA SILVA</t>
  </si>
  <si>
    <t>ANA JULIA CARRILHO FERREIRA DA SILVA</t>
  </si>
  <si>
    <t>CRISLAINE CORREA SANTOS PIMENTA</t>
  </si>
  <si>
    <t>MELISSA VITORIA SANTOS MARTINS</t>
  </si>
  <si>
    <t>LORRANE MIRANDA DOS SANTOS</t>
  </si>
  <si>
    <t>CAMILA DA SILVA PINTO</t>
  </si>
  <si>
    <t>MARCOS PAULO DE SOUZA OLIVEIRA</t>
  </si>
  <si>
    <t>ORLANDO RODRIGUES DE OLIVEIRA</t>
  </si>
  <si>
    <t>CLEYDISON JEAN DEODORO GOUVEIA</t>
  </si>
  <si>
    <t>LUCAS DE MORAIS DE ALMEIDA LIMA</t>
  </si>
  <si>
    <t>DAVI HENRIQUE FELISBINO MORENO</t>
  </si>
  <si>
    <t>DENISE VIEIRA ALENCAR</t>
  </si>
  <si>
    <t>LUCILENE ALVES DA SILVA</t>
  </si>
  <si>
    <t>JOSE MARLON BAZETE</t>
  </si>
  <si>
    <t>CAUAN LUIZ SEIXAS TORRES</t>
  </si>
  <si>
    <t>MARINA LIMA VITORIO</t>
  </si>
  <si>
    <t>BRENO DE SOUSA OLIVEIRA</t>
  </si>
  <si>
    <t>ABDIAS PEREIRA MACHADO</t>
  </si>
  <si>
    <t>SAMUEL DE SOUZA SANTOS</t>
  </si>
  <si>
    <t>MATEUS GABRIEL MARQUES MOREIRA FERREIRA</t>
  </si>
  <si>
    <t>IGOR SILVA DE OLIVEIRA</t>
  </si>
  <si>
    <t>RENAN PRADO DE JESUS</t>
  </si>
  <si>
    <t>THYERRE DOS SANTOS CORREIA</t>
  </si>
  <si>
    <t>MARCOS PAULO DAS GRACAS</t>
  </si>
  <si>
    <t>LUIZ HENRIQUE LIBERATO DA COSTA</t>
  </si>
  <si>
    <t>WALLACE DE ALBUQUERQUE RAMOS DA SILVA</t>
  </si>
  <si>
    <t>ELAYNNI LOPES DO NASCIMENTO</t>
  </si>
  <si>
    <t>PATRICIA REJANE DA SILVA</t>
  </si>
  <si>
    <t>EMMANUELLE BARBOSA PRIMO</t>
  </si>
  <si>
    <t>BLENER FAUSTO DOMINGOS DA SILVA</t>
  </si>
  <si>
    <t>LUCAS DA SILVA ARAUJO</t>
  </si>
  <si>
    <t>ROBSON FERREIRA SANTOS</t>
  </si>
  <si>
    <t>JOSE CARLOS DIAS ROSA</t>
  </si>
  <si>
    <t>VALTER ALMEIDA DA COSTA</t>
  </si>
  <si>
    <t>MARIA SIMONE DA SILVA LUIZ</t>
  </si>
  <si>
    <t>IVONE NILCE FRANCA DOS SANTOS</t>
  </si>
  <si>
    <t>ANTONIA EDILEUZA CARVALHO CHAVES</t>
  </si>
  <si>
    <t>ALMOXARIFADO - UNIFORME / ADM</t>
  </si>
  <si>
    <t>BOMBEIROS</t>
  </si>
  <si>
    <t>COMERCIAL - ACOUGUE</t>
  </si>
  <si>
    <t>COMERCIAL - FLV</t>
  </si>
  <si>
    <t>COMERCIAL - LATICINIO</t>
  </si>
  <si>
    <t>COMERCIAL - MERCEARIA SALGADA</t>
  </si>
  <si>
    <t>COMERCIAL - PADARIA FAB PROPRIA</t>
  </si>
  <si>
    <t>CONGELADOS</t>
  </si>
  <si>
    <t>CONGELADOS - INVENTARIO</t>
  </si>
  <si>
    <t>CONGELADOS - PATRIMONIO</t>
  </si>
  <si>
    <t>CONTAS A RECEBER</t>
  </si>
  <si>
    <t>CPD</t>
  </si>
  <si>
    <t>DEPARTAMENTO PESSOAL</t>
  </si>
  <si>
    <t>FATURAMENTO (CONGELADO)</t>
  </si>
  <si>
    <t>FATURAMENTO (SECA)</t>
  </si>
  <si>
    <t>GERENCIA REGIONAL 1</t>
  </si>
  <si>
    <t>INFORMATICA</t>
  </si>
  <si>
    <t>INVENTARIO</t>
  </si>
  <si>
    <t>JOVEM APRENDIZ</t>
  </si>
  <si>
    <t>LOGISTICA</t>
  </si>
  <si>
    <t>LOGISTICA - FLV</t>
  </si>
  <si>
    <t>MEDICINA VETERINARIA</t>
  </si>
  <si>
    <t>NUTRICAO</t>
  </si>
  <si>
    <t>PATRIMONIO</t>
  </si>
  <si>
    <t>PEDIDO AUTOMATICO - WMS</t>
  </si>
  <si>
    <t>RECURSOS HUMANOS</t>
  </si>
  <si>
    <t>SEGURANCA DO TRABALHO</t>
  </si>
  <si>
    <t>SERVICOS GERAIS</t>
  </si>
  <si>
    <t>TRANSPORTE</t>
  </si>
  <si>
    <t>ACOUGUE</t>
  </si>
  <si>
    <t>DEPOSITO</t>
  </si>
  <si>
    <t>E-COMMERCE</t>
  </si>
  <si>
    <t>FLV</t>
  </si>
  <si>
    <t>FRENTE DE LOJA</t>
  </si>
  <si>
    <t>GERENCIA DE LOJA</t>
  </si>
  <si>
    <t>LATICINIOS</t>
  </si>
  <si>
    <t>MERCEARIA</t>
  </si>
  <si>
    <t>PADARIA</t>
  </si>
  <si>
    <t>MARKETING</t>
  </si>
  <si>
    <t>GASTRONOMIA</t>
  </si>
  <si>
    <t>CAFETERIA</t>
  </si>
  <si>
    <t>AUDITORIA</t>
  </si>
  <si>
    <t>COBRANCA</t>
  </si>
  <si>
    <t>COMERCIAL - IMPORTADOS</t>
  </si>
  <si>
    <t>COMERCIAL - RECEPCAO</t>
  </si>
  <si>
    <t>CONTROLADORIA</t>
  </si>
  <si>
    <t>FINANCEIRO</t>
  </si>
  <si>
    <t>FISCAL</t>
  </si>
  <si>
    <t>AUXILIAR DE ALMOXARIFADO</t>
  </si>
  <si>
    <t>BOMBEIRO CIVIL</t>
  </si>
  <si>
    <t>ESPECIALISTA EM ACOUGUE</t>
  </si>
  <si>
    <t>ESPECIALISTA EM FLV</t>
  </si>
  <si>
    <t>ASSISTENTE COMERCIAL</t>
  </si>
  <si>
    <t>ESPECIALISTA EM LATICINIO</t>
  </si>
  <si>
    <t>ESPECIALISTA EM MERCEARIA</t>
  </si>
  <si>
    <t>ESPECIALISTA EM PADARIA</t>
  </si>
  <si>
    <t>CONFERENTE DE CARGA FRIA</t>
  </si>
  <si>
    <t>CONFERENTE EXP DE CARGA FRIA</t>
  </si>
  <si>
    <t>AUX OPER DE LOGISTICA II (CARGA FRIA)</t>
  </si>
  <si>
    <t>AUX OPER DE LOGISTICA I (CARGA FRIA)</t>
  </si>
  <si>
    <t>CONFERENTE DE INVENTARIO CARGA FRIA</t>
  </si>
  <si>
    <t>OPERADOR DE PREV DE PERDAS (CARGA FRIA)</t>
  </si>
  <si>
    <t>AUXILIAR DE CONTAS A RECEBER PLENO</t>
  </si>
  <si>
    <t>AUXILIAR DE CONTAS A RECEBER JUNIOR</t>
  </si>
  <si>
    <t>AUXILIAR DE CPD</t>
  </si>
  <si>
    <t>ARQUIVISTA</t>
  </si>
  <si>
    <t>AUXILIAR DE FATURAMENTO (CARGA FRIA)</t>
  </si>
  <si>
    <t>AUXILIAR DE FATURAMENTO</t>
  </si>
  <si>
    <t>SUB GERENTE VOLANTE</t>
  </si>
  <si>
    <t>ANALISTA DE TI JUNIOR</t>
  </si>
  <si>
    <t>ANALISTA DE TI PLENO</t>
  </si>
  <si>
    <t>CONFERENTE DE INVENTARIO</t>
  </si>
  <si>
    <t>APRENDIZ EM SERV ADMINISTRATIVO</t>
  </si>
  <si>
    <t>CONFERENTE RECEBIMENTO</t>
  </si>
  <si>
    <t>CONFERENTE EXPEDICAO</t>
  </si>
  <si>
    <t>AUX OPERACOES DE LOGISTICA III</t>
  </si>
  <si>
    <t>AUX OPERACOES DE LOGISTICA II</t>
  </si>
  <si>
    <t>SUPERVISOR DE LOGISTICA JUNIOR</t>
  </si>
  <si>
    <t>AUX OPERACOES DE LOGISTICA I</t>
  </si>
  <si>
    <t>AUXILIAR DE LOGISTICA</t>
  </si>
  <si>
    <t>CONFERENTE</t>
  </si>
  <si>
    <t>TECNICO DE SEGURANCA DOS ALIMENTOS</t>
  </si>
  <si>
    <t>COZINHEIRO (A) II</t>
  </si>
  <si>
    <t>AJUDANTE DE COZINHA</t>
  </si>
  <si>
    <t>COZINHEIRO (A) I</t>
  </si>
  <si>
    <t>COZINHEIRO (A) (VOLANTE)</t>
  </si>
  <si>
    <t>OPERADOR DE PREVENCAO DE PERDAS</t>
  </si>
  <si>
    <t>AUXILIAR DE MONITORAMENTO</t>
  </si>
  <si>
    <t>ASSISTENTE PLENO DE ABASTECIMENTO AUTOMATICO</t>
  </si>
  <si>
    <t>ASSISTENTE RECURSOS HUMANOS SENIOR</t>
  </si>
  <si>
    <t>COORDENADOR DE RECURSOS HUMANOS</t>
  </si>
  <si>
    <t>AUXILIAR DE RECURSOS HUMANOS PLENO</t>
  </si>
  <si>
    <t>TECNICO EM SEGURANCA DO TRABALHO JUNIOR</t>
  </si>
  <si>
    <t>AUXILIAR DE SERVICOS GERAIS</t>
  </si>
  <si>
    <t>AUXILIAR DE TRANSPORTE</t>
  </si>
  <si>
    <t>BALCONISTA DE PADARIA</t>
  </si>
  <si>
    <t>BALCONISTA DE LATICINIOS</t>
  </si>
  <si>
    <t>REPOSITOR</t>
  </si>
  <si>
    <t>OPERADOR DE SUPERMERCADO I</t>
  </si>
  <si>
    <t>FISCAL DE CAIXA</t>
  </si>
  <si>
    <t>ESTOQUISTA</t>
  </si>
  <si>
    <t>OPERADOR DE CAIXA</t>
  </si>
  <si>
    <t>ACOUGUEIRO I</t>
  </si>
  <si>
    <t>AJUDANTE DE ACOUGUE</t>
  </si>
  <si>
    <t>GERENCIADOR DE ACOUGUE</t>
  </si>
  <si>
    <t>PROMOTOR (A) DE ACOUGUE</t>
  </si>
  <si>
    <t>BALCONISTA DE SALGADOS</t>
  </si>
  <si>
    <t>AUXILIAR DE E-COMMERCE</t>
  </si>
  <si>
    <t>BALCONISTA DE FLV</t>
  </si>
  <si>
    <t>ENCARREGADO FRENTE DE LOJA I</t>
  </si>
  <si>
    <t>SUB GERENTE</t>
  </si>
  <si>
    <t>APRENDIZ EM SERV DE VENDAS</t>
  </si>
  <si>
    <t>APRENDIZ EM SERV DE SUPERMERCADOS</t>
  </si>
  <si>
    <t>GERENCIADOR DE MERCEARIA</t>
  </si>
  <si>
    <t>MESTRE DE PADARIA I</t>
  </si>
  <si>
    <t>PADEIRO I</t>
  </si>
  <si>
    <t>AJUDANTE DE PADEIRO</t>
  </si>
  <si>
    <t>ENCARREGADO DE PREVENCAO DE PERDAS</t>
  </si>
  <si>
    <t>AUX ADM DE DEPTO PESSOAL</t>
  </si>
  <si>
    <t>ENCARREGADO DE DEPOSITO</t>
  </si>
  <si>
    <t>GERENCIADOR DE FLV</t>
  </si>
  <si>
    <t>GERENTE</t>
  </si>
  <si>
    <t>LOCUTOR</t>
  </si>
  <si>
    <t>CONFEITEIRO I</t>
  </si>
  <si>
    <t>AUXILIAR GASTRONOMICO PLENO</t>
  </si>
  <si>
    <t>OPERADOR DE ESTACIONAMENTO</t>
  </si>
  <si>
    <t>OPERADOR DE SUPERMERCADO V</t>
  </si>
  <si>
    <t>PROMOTOR (A) DE VINHO</t>
  </si>
  <si>
    <t>PROMOTOR (A) CAFE</t>
  </si>
  <si>
    <t>ATENDENTE DE SAC</t>
  </si>
  <si>
    <t>AUXILIAR DE SERVICOS GERAIS LIDER JUNIOR</t>
  </si>
  <si>
    <t>MESTRE DE PADARIA II</t>
  </si>
  <si>
    <t>ANALISTA DE E-COMMERCE JUNIOR</t>
  </si>
  <si>
    <t>AUXILIAR DE SERVICOS GERAIS LIDER</t>
  </si>
  <si>
    <t>PROMOTOR (A)</t>
  </si>
  <si>
    <t>ASSISTENTE DE AUDITORIA OPERACIONAL PLENO</t>
  </si>
  <si>
    <t>ASSISTENTE DE COBRANCA II</t>
  </si>
  <si>
    <t>AUXILIAR COMERCIAL SENIOR</t>
  </si>
  <si>
    <t>ESPECIALISTA EM VINHO</t>
  </si>
  <si>
    <t>RECEPCIONISTA</t>
  </si>
  <si>
    <t>ASSISTENTE DE CONTAS A RECEBER SENIOR</t>
  </si>
  <si>
    <t>ASSISTENTE DE CONTROLADORIA PLENO</t>
  </si>
  <si>
    <t>ANALISTA FINANCEIRO JUNIOR</t>
  </si>
  <si>
    <t>AUXILIAR ESCRITA FISCAL II</t>
  </si>
  <si>
    <t>ASSISTENTE DE MARKETING</t>
  </si>
  <si>
    <t>IVONILDA SIPRIANO DOS SANTOS</t>
  </si>
  <si>
    <t>REINALDO SANTOS DA SILVA</t>
  </si>
  <si>
    <t>MAIARA DA SILVA LOPES SOARES</t>
  </si>
  <si>
    <t>LORRANE GONCALVES DE OLIVEIRA</t>
  </si>
  <si>
    <t>VITORIA RAMOS GONZAGA</t>
  </si>
  <si>
    <t>DAYANE MACIEIRA BARBOSA</t>
  </si>
  <si>
    <t>ADILSON BRAZ BATISTA</t>
  </si>
  <si>
    <t>CRISTINA MATHIAS DUARTE</t>
  </si>
  <si>
    <t>THIAGO MATHEUS DA SILVA SANTANA</t>
  </si>
  <si>
    <t>LEANDRO DE OLIVEIRA ALVES</t>
  </si>
  <si>
    <t>EDMILSON JOSE DA SILVA</t>
  </si>
  <si>
    <t>ANGELICA RODRIGUES JACKSON</t>
  </si>
  <si>
    <t>ESTER DE MOURA SILVA</t>
  </si>
  <si>
    <t>DEBORA OLIVEIRA DOS SANTOS</t>
  </si>
  <si>
    <t>ANDREIA SILVA CARVALHO</t>
  </si>
  <si>
    <t>THIAGO SERGIO DUARTE DA SILVA</t>
  </si>
  <si>
    <t>TECNICO EM SEGURANCA DO TRABALHO PLENO</t>
  </si>
  <si>
    <t>ANALISTA DE INVENTARIO</t>
  </si>
  <si>
    <t>JOAO PEDRO VIEIRA JORGE</t>
  </si>
  <si>
    <t>ALEXANDRE COSTA LOPES</t>
  </si>
  <si>
    <t>RICHARD PIRES BEZERRA</t>
  </si>
  <si>
    <t>SAMARA CRISTINE DE SOUZA</t>
  </si>
  <si>
    <t>EZEDEQUIAS DOS SANTOS</t>
  </si>
  <si>
    <t>GABRIEL PEDRO SANTOS DA SILVA</t>
  </si>
  <si>
    <t>ALESSANDRA DE JESUS FERREIRA</t>
  </si>
  <si>
    <t>LUIS FELIPE GUIMARAES BONJOUR FERREIRA</t>
  </si>
  <si>
    <t>LUCIANO EDUARDO RIBEIRO ROCHA</t>
  </si>
  <si>
    <t>UBIRATAN DE CARVALHO SEVERINO</t>
  </si>
  <si>
    <t>MILENA MATOS DE FREITAS</t>
  </si>
  <si>
    <t>JEFFERSON DO NASCIMENTO FRAGAS CORREIA</t>
  </si>
  <si>
    <t>ROGERIO DE SOUZA FREITAS</t>
  </si>
  <si>
    <t>GABRIEL TEODORO SANTOS</t>
  </si>
  <si>
    <t>EDILAMARA MARTINS DE BRITO</t>
  </si>
  <si>
    <t>CAUA LUCIANO SILVA ALMEIDA</t>
  </si>
  <si>
    <t>KARLA MARIAH DANTAS STUART</t>
  </si>
  <si>
    <t>TARCIZIO VINICIUS HENRIQUE COUZINE</t>
  </si>
  <si>
    <t>STEFANE PAULA BISPO DE ALMEIDA</t>
  </si>
  <si>
    <t>YNGRID MATOS DE LIMA</t>
  </si>
  <si>
    <t>SIMONE CARVALHO GONCALVES DIAS</t>
  </si>
  <si>
    <t>ANA CLAUDIA GARCIA</t>
  </si>
  <si>
    <t>MARTA MARIA BORGES</t>
  </si>
  <si>
    <t>MATHEUS ARAUJO DA SILVA</t>
  </si>
  <si>
    <t>RAFAEL DE MOURA SANTOS</t>
  </si>
  <si>
    <t>SUELI FELIPE DE OLIVEIRA FREITAS</t>
  </si>
  <si>
    <t>OPERADOR DE EMPILHADEIRA</t>
  </si>
  <si>
    <t>OPER EMPILHADEIRA CARGA FRIA</t>
  </si>
  <si>
    <t>AUXILIAR DE DEPTO PESSOAL JR</t>
  </si>
  <si>
    <t>AUXILIAR DE DEPTO PESSOAL PL</t>
  </si>
  <si>
    <t>THIAGO NOCO GURGEL</t>
  </si>
  <si>
    <t>JONNATAS LIMA DE OLIVEIRA</t>
  </si>
  <si>
    <t>RAFAEL SANTOS OLIVEIRA</t>
  </si>
  <si>
    <t>JONATAS DE OLIVEIRA SOARES</t>
  </si>
  <si>
    <t>JOAO VITOR DE LIMA DA SILVA ALVES</t>
  </si>
  <si>
    <t>EDUARDO CARVALHO DO VALLE</t>
  </si>
  <si>
    <t>RONEI PECANHA DOS SANTOS</t>
  </si>
  <si>
    <t>DIEGO ALEXANDRE MEIRA NUNES</t>
  </si>
  <si>
    <t>GEOVANE DA SILVA QUINTANILHA</t>
  </si>
  <si>
    <t>JOSE LUCAS CANDIDO</t>
  </si>
  <si>
    <t>KAUA CARDOSO SOARES</t>
  </si>
  <si>
    <t>SYLVIO DOS SANTOS JOAQUIM</t>
  </si>
  <si>
    <t>ERIDAM ABREU DE SOUSA DA SILVA</t>
  </si>
  <si>
    <t>RAYANE MONTEIRO DA CONCEICAO</t>
  </si>
  <si>
    <t>DANIELLI DE SOUZA SANTOS DA SILVA</t>
  </si>
  <si>
    <t>RENAN SILVA EUGENIO DE SOUZA</t>
  </si>
  <si>
    <t>JANDERSON PEDRO GERMANIO</t>
  </si>
  <si>
    <t>LUIS AUGUSTO DE JESUS RODRIGUES</t>
  </si>
  <si>
    <t>PATRICIA CARLA MEDEIROS DE OLIVEIRA</t>
  </si>
  <si>
    <t>RAYANE ARAUJO COSTA</t>
  </si>
  <si>
    <t>KAYLAINNE VENTURA DE SOUZA</t>
  </si>
  <si>
    <t>ENZO GABRIEL LUIZ DO NASCIMENTO</t>
  </si>
  <si>
    <t>RAYSSA VITORIA SOUSA SANTOS</t>
  </si>
  <si>
    <t>ELAINE RODRIGUES SANTOS</t>
  </si>
  <si>
    <t>ISOMAR DE JESUS SOUSA PEREIRA</t>
  </si>
  <si>
    <t>TAINA MARTINS DA SILVA SANTOS</t>
  </si>
  <si>
    <t>RENAN MIGUEL LEITE MONTEIRO DOS SANTOS</t>
  </si>
  <si>
    <t>LUIZ HENRIQUE SOUZA DA SILVA</t>
  </si>
  <si>
    <t>STHEFANY DUARTE DE OLIVEIRA RAMOS</t>
  </si>
  <si>
    <t>DAVI SILVA DO NASCIMENTO</t>
  </si>
  <si>
    <t>RUAN COSTA DOS SANTOS</t>
  </si>
  <si>
    <t>JOAO VICTOR TAVARES SILVA</t>
  </si>
  <si>
    <t>VALDINEIA DE OLIVEIRA</t>
  </si>
  <si>
    <t>ALLAN PATRICK DA SILVA BARBOSA</t>
  </si>
  <si>
    <t>ANA CLAUDIA OLIVEIRA DE SANTANA</t>
  </si>
  <si>
    <t>DANIEL FRANCISCO DA LUZ</t>
  </si>
  <si>
    <t>KAIO MARCOS MOREIRA DE JESUS</t>
  </si>
  <si>
    <t>LUCAS DE OLIVEIRA DA ROCHA</t>
  </si>
  <si>
    <t>KAYLANE DOS SANTOS ARAUJO</t>
  </si>
  <si>
    <t>THALITA DE ARAUJO BERNARDINO</t>
  </si>
  <si>
    <t>KAMILA DE MIRANDA</t>
  </si>
  <si>
    <t>ERINALDO PEREIRA DE LIMA</t>
  </si>
  <si>
    <t>GIOVANNA DE ARAUJO GUIMARAES</t>
  </si>
  <si>
    <t>JEAN LUCAS CASSIANO DE SOUZA</t>
  </si>
  <si>
    <t>RAFAELLA KAUANA DA SILVA ARAUJO</t>
  </si>
  <si>
    <t>LARISSA DA SILVA NASCIMENTO</t>
  </si>
  <si>
    <t>VINICIUS ALVES JACOMO</t>
  </si>
  <si>
    <t>DAVI SANTOS SILVA</t>
  </si>
  <si>
    <t>GABRIEL PEREIRA DE LIMA DO NASCIMENTO</t>
  </si>
  <si>
    <t>DENILSON MONTEIRO DOS SANTOS</t>
  </si>
  <si>
    <t>EDNA DIOGO FONSECA GARCIA</t>
  </si>
  <si>
    <t>ALESSANDRA BALBIO TEIXEIRA</t>
  </si>
  <si>
    <t>PATRICIA ALVES PEQUENO</t>
  </si>
  <si>
    <t>NATHALIA FREITAS MERENCIO</t>
  </si>
  <si>
    <t>CINTIA DO NASCIMENTO OLIVEIRA</t>
  </si>
  <si>
    <t>VENICIUS ROCHA DOS SANTOS JUNIOR</t>
  </si>
  <si>
    <t>GABRIELLE DE SOUZA MORAES FERREIRA</t>
  </si>
  <si>
    <t>LUIS GUSTAVO PATRICK RODRIGUES DA SILVA BRAZ</t>
  </si>
  <si>
    <t>DENISE FERREIRA DA COSTA</t>
  </si>
  <si>
    <t>GIOVANNA ALVES TALARICO SIMOR</t>
  </si>
  <si>
    <t>MANOEL HENRIQUE SOUSA TETEO</t>
  </si>
  <si>
    <t>ISADORA LOIS DA SILVA</t>
  </si>
  <si>
    <t>MARCELLO MARTINS DO NASCIMENTO</t>
  </si>
  <si>
    <t>GABRIELLE FERNANDA BARBOSA MENEZES</t>
  </si>
  <si>
    <t>GABRIEL DA SILVA MACHADO VIANA</t>
  </si>
  <si>
    <t>NOHAN DE SOUZA DE OLIVEIRA</t>
  </si>
  <si>
    <t>PEDRO LUCAS OLIVEIRA PEDROZA</t>
  </si>
  <si>
    <t>DEBORA MAGNO DOS SANTOS SOUZA SILVERIO</t>
  </si>
  <si>
    <t>ALAN PAULO SANTOS RAMOS</t>
  </si>
  <si>
    <t>JEFFERSON LUIZ DOS SANTOS MORAES</t>
  </si>
  <si>
    <t>ELISANGELA JOSE DA SILVA</t>
  </si>
  <si>
    <t>JURIDICO</t>
  </si>
  <si>
    <t>ROMULO DA SILVA ESTEVES</t>
  </si>
  <si>
    <t>ANGELICA DA SILVA TERRA</t>
  </si>
  <si>
    <t>ANA VITORIA MARCELINO FERREIRA</t>
  </si>
  <si>
    <t>ANDRE LUIZ ARAUJO MUGICA</t>
  </si>
  <si>
    <t>MARIA EDUARDA FERREIRA CORDEIRO</t>
  </si>
  <si>
    <t>SABRINA SILVA ALVES LOURENCO</t>
  </si>
  <si>
    <t>RODRIGO BRANDAO</t>
  </si>
  <si>
    <t>GABRIEL SABINO DE LEMOS</t>
  </si>
  <si>
    <t>GERENCIADOR DE LATICINIOS</t>
  </si>
  <si>
    <t>ADVOGADO PLENO</t>
  </si>
  <si>
    <t>CAIO CESAR DA SILVA CAMPOS</t>
  </si>
  <si>
    <t>LEANDRO TEIXEIRA CORREA</t>
  </si>
  <si>
    <t>EMANUEL DE ARAUJO ALMEIDA DOS SANTOS</t>
  </si>
  <si>
    <t>GUSTAVO DA SILVA CANUTO</t>
  </si>
  <si>
    <t>JOAO GUSTAVO DO AMARAL RIBEIRO</t>
  </si>
  <si>
    <t>MARIANA DA SILVA ANDRADE</t>
  </si>
  <si>
    <t>TAYSSA CAROLINO DA SILVA</t>
  </si>
  <si>
    <t>LUCAS DO NASCIMENTO TEIXEIRA</t>
  </si>
  <si>
    <t>MARIZETE SOARES DA SILVA FRANCALINO</t>
  </si>
  <si>
    <t>THAUAN GALES DE OLIVEIRA</t>
  </si>
  <si>
    <t>GEOVANA FERREIRA DA SILVA</t>
  </si>
  <si>
    <t>GIOVANNA NASCIMENTO DO CARMO DA MOTTA</t>
  </si>
  <si>
    <t>WANDERSON RODRIGUES</t>
  </si>
  <si>
    <t>JONATHAS LUCAS TEIXEIRA DA SILVA</t>
  </si>
  <si>
    <t>NICHOLAS OLIVEIRA DE MORAES CASTANHEIRA</t>
  </si>
  <si>
    <t>MARIA VICTORIA NEVES BATISTA LINS</t>
  </si>
  <si>
    <t>EDSON RICARDO DOS SANTOS FILHO</t>
  </si>
  <si>
    <t>VITORIA DO NASCIMENTO ESTEVO</t>
  </si>
  <si>
    <t>VICTOR HUGO GOMES BARBOZA</t>
  </si>
  <si>
    <t>EMANUELLA SANTANA FRANCA DE ALMEIDA</t>
  </si>
  <si>
    <t>NATALIA SIQUEIRA NUNES DOS SANTOS</t>
  </si>
  <si>
    <t>PEDRO HENRIQUE DE MORAES CAETANO</t>
  </si>
  <si>
    <t>DEBORA CRISTINA PIMENTEL</t>
  </si>
  <si>
    <t>WILLIAM MARTINS BARROSO OLIVEIRA</t>
  </si>
  <si>
    <t>NAYARA DE OLIVEIRA CAVALCANTI LEITE</t>
  </si>
  <si>
    <t>ANA LUIZA MARINHO DE LIMA</t>
  </si>
  <si>
    <t>JUAN DIAS DO NASCIMENTO</t>
  </si>
  <si>
    <t>ROBSON OLIVEIRA DE SOUZA</t>
  </si>
  <si>
    <t>EDILEUZA SANTOS MOURA DE PAULA</t>
  </si>
  <si>
    <t>ALEXSANDRO PEREIRA DE JESUS</t>
  </si>
  <si>
    <t>REBEKA KAUANA DA SILVA ARAUJO</t>
  </si>
  <si>
    <t>CLEIBER LUIZ DE OLIVEIRA AMORIM</t>
  </si>
  <si>
    <t>AUXILIAR DE PRE NOTA</t>
  </si>
  <si>
    <t>RODRIGO RAGA OLIVEIRA</t>
  </si>
  <si>
    <t>MAURICIO DA SILVA</t>
  </si>
  <si>
    <t>IAN BARBOSA DA SILVA</t>
  </si>
  <si>
    <t>WALLACE FLAVIO SILVEIRA MACEDO ROCHA</t>
  </si>
  <si>
    <t>PEDRO HENRIQUE DE ALMEIDA LEMOS</t>
  </si>
  <si>
    <t>JUCILENE SOUZA DA SILVA</t>
  </si>
  <si>
    <t>MARIA LUIZA NEVES PAULUZZI</t>
  </si>
  <si>
    <t>DIEGO SUDRE DE FARIAS</t>
  </si>
  <si>
    <t>ADRIANO SANTOS NASCIMENTO DE ARAUJO</t>
  </si>
  <si>
    <t>SERGIO JUNIOR CORDEIRO RIBEIRO</t>
  </si>
  <si>
    <t>DAVID DE CAMPOS SILVA</t>
  </si>
  <si>
    <t>LUIZ FELLIPE DE MELO DO NASCIMENTO</t>
  </si>
  <si>
    <t>VICTOR HUGO KLEIN GUERREIRO</t>
  </si>
  <si>
    <t>FRANCIANE SILVA</t>
  </si>
  <si>
    <t>ANA CAROLINE DA SILVA CORREA</t>
  </si>
  <si>
    <t>LUIZ FELIPE SILVA DE MORAES</t>
  </si>
  <si>
    <t>ALESSANDRO DAMES MATHIAS</t>
  </si>
  <si>
    <t>TAYSA DA SILVA</t>
  </si>
  <si>
    <t>DANIEL SILVA COSTA</t>
  </si>
  <si>
    <t>DAVID HENRIQUE LIMA</t>
  </si>
  <si>
    <t>VITORIA TORRES DA SILVA</t>
  </si>
  <si>
    <t>ANALISTA DE MARKETING PLENO</t>
  </si>
  <si>
    <t>GABRIELA FIGUEIREDO CASTRO</t>
  </si>
  <si>
    <t>JULIO CESAR DE MOURA CERQUEIRA JUNIOR</t>
  </si>
  <si>
    <t>LUCIA FREITAS DA SILVA MORAES</t>
  </si>
  <si>
    <t>KAROLLYNE CONCEICAO DOS SANTOS</t>
  </si>
  <si>
    <t>ITALO RODRIGUES DE FREITAS</t>
  </si>
  <si>
    <t>PEDRO TIMOTHEO FERREIRA</t>
  </si>
  <si>
    <t>ERICK MARTINS BASTOS</t>
  </si>
  <si>
    <t>JOICE RODRIGUES DOS SANTOS SOUSA</t>
  </si>
  <si>
    <t>AMANDA MENDES DA SILVA</t>
  </si>
  <si>
    <t>MONALIZA DE OLIVEIRA MARINHO</t>
  </si>
  <si>
    <t>AMANDA ALVES FERNANDES</t>
  </si>
  <si>
    <t>EWERTON MARIANO DE LIMA</t>
  </si>
  <si>
    <t>THIAGO ANDRE DOS SANTOS</t>
  </si>
  <si>
    <t>MIKE PEREIRA BARBOSA DE LIMA</t>
  </si>
  <si>
    <t>ERICK CRISTIAN DOS SANTOS DE JESUS</t>
  </si>
  <si>
    <t>DOUGLAS BENEDITO LEOPOLDINO</t>
  </si>
  <si>
    <t>YAGO TELLES DA SILVA PORTES</t>
  </si>
  <si>
    <t>LARA CRISTINY DE LIMA SILVA</t>
  </si>
  <si>
    <t>EMILLY DA SILVA E SANTOS</t>
  </si>
  <si>
    <t>LUCAS RODRIGUES MARDINE</t>
  </si>
  <si>
    <t>CAIO VICTOR MOREIRA DA SILVA PAIVA</t>
  </si>
  <si>
    <t>NATHAN SOARES CIPRIANO DA SILVA</t>
  </si>
  <si>
    <t>MAYARA RAFAELY ROCHA DOS SANTOS</t>
  </si>
  <si>
    <t>LUIZ GUILHERME SIQUEIRA VIEIRA</t>
  </si>
  <si>
    <t>TARSIS DA SILVA SOUZA</t>
  </si>
  <si>
    <t>PAMELA JAMILY DA SILVA FERREIRA</t>
  </si>
  <si>
    <t>MICHELE SOUZA DO NASCIMENTO</t>
  </si>
  <si>
    <t>JULLY SOUZA DO NASCIMENTO</t>
  </si>
  <si>
    <t>GABRIELLE CAMPOS DOS SANTOS</t>
  </si>
  <si>
    <t>KETLLEN CRISTINA CORREA LISBOA</t>
  </si>
  <si>
    <t>LUCAS RODRIGUES AMARO ROSAS</t>
  </si>
  <si>
    <t>GUILHERME CAVALCANTE FERREIRA</t>
  </si>
  <si>
    <t>KEVYN CRISTIANO LISBOA GONCALVES</t>
  </si>
  <si>
    <t>KEROLLYN CRISTINY LISBOA GONCALVES</t>
  </si>
  <si>
    <t>ARTHUR REBELLO RANGEL</t>
  </si>
  <si>
    <t>LUIS ALBERTO AZEVEDO SOUZA</t>
  </si>
  <si>
    <t>THAIS LIMA LESSA</t>
  </si>
  <si>
    <t>RODRIGO CORDEIRO DE OLIVEIRA</t>
  </si>
  <si>
    <t>JACQUELINE COSTA DE OLIVEIRA</t>
  </si>
  <si>
    <t>EDILEIA TEODORO DE ARAUJO</t>
  </si>
  <si>
    <t>KEILA SOUZA DA SILVA</t>
  </si>
  <si>
    <t>IZAQUE EMANUEL DOS SANTOS SILVA</t>
  </si>
  <si>
    <t>DANIEL BAHIA TEIXEIRA</t>
  </si>
  <si>
    <t>DIOGO SILVEIRA SILVA</t>
  </si>
  <si>
    <t>EWERTON TIAGO SANTOS DE SOUZA</t>
  </si>
  <si>
    <t>CINTIA IZABEL MACEDO DE LIMA</t>
  </si>
  <si>
    <t>JOSE FERNANDO MARINHO DA SILVA JUNIOR</t>
  </si>
  <si>
    <t>YANDRA YASMIM ASSUNCAO BARBOSA</t>
  </si>
  <si>
    <t>JENNYFER PEREIRA DE SOUZA</t>
  </si>
  <si>
    <t>JOSE EMANOEL DA SILVA</t>
  </si>
  <si>
    <t>CLARICE GOMES PEREIRA</t>
  </si>
  <si>
    <t>GUILHERME RICARDO DOS SANTOS FREIRE</t>
  </si>
  <si>
    <t>KEZIA PAULA DE AZEVEDO DA ROCHA</t>
  </si>
  <si>
    <t>RENAN LISBOA RAMOS DA SILVA</t>
  </si>
  <si>
    <t>GRAZIELE RODRIGUES DOS SANTOS</t>
  </si>
  <si>
    <t>MARLON BARBOSA MATA</t>
  </si>
  <si>
    <t>KAIKY ELOI XAVIER DA SILVA</t>
  </si>
  <si>
    <t>EMANOEL DA SILVA PACHECO</t>
  </si>
  <si>
    <t>RAFAELA CAVALCANTE LISBOA</t>
  </si>
  <si>
    <t>JOYCE MATIAS NASCIMENTO</t>
  </si>
  <si>
    <t>FELIPE ARAUJO COSTA DOS SANTOS</t>
  </si>
  <si>
    <t>LUCIANA ALBUQUERQUE FREITAS</t>
  </si>
  <si>
    <t>LUAN FERREIRA VELLOSO</t>
  </si>
  <si>
    <t>MARCIA ROBERTA CALDEIRA PEREIRA</t>
  </si>
  <si>
    <t>RAPHAEL DA COSTA MACHADO</t>
  </si>
  <si>
    <t>ADRIANA DE LIMA SANTANA</t>
  </si>
  <si>
    <t>JENIFFER CAROLINE DA SILVA DE PAULA</t>
  </si>
  <si>
    <t>BEATRIZ MARIA DA SILVA</t>
  </si>
  <si>
    <t>ILZA LIMA DE OLIVEIRA</t>
  </si>
  <si>
    <t>CLEYSLA CRISTINA DOS REIS</t>
  </si>
  <si>
    <t>KHAYLANNE LIMA DE ALBUQUERQUE</t>
  </si>
  <si>
    <t>ESTAGIARIO</t>
  </si>
  <si>
    <t>F</t>
  </si>
  <si>
    <t>JOSE MARIA SOUZA JUNIOR</t>
  </si>
  <si>
    <t>CELSO SANTOS ANTONIO</t>
  </si>
  <si>
    <t>LEANDRO DE OLIVEIRA DIAS</t>
  </si>
  <si>
    <t>SAMUEL MESSIAS DOS SANTOS</t>
  </si>
  <si>
    <t>FELIPE GABRIEL DA SILVA</t>
  </si>
  <si>
    <t>SERGIO AZEVEDO ALMEIDA</t>
  </si>
  <si>
    <t>MARIANA LIMA OLIVEIRA</t>
  </si>
  <si>
    <t>FELIPE JONAS CAJUEIRO DA SILVA</t>
  </si>
  <si>
    <t>GRAZIELA MARINHO DOS SANTOS</t>
  </si>
  <si>
    <t>WELINGTON SOARES DA SILVA</t>
  </si>
  <si>
    <t>MICHEL GUIMARAES DA SILVA</t>
  </si>
  <si>
    <t>ELISA ROQUE FERREIRA</t>
  </si>
  <si>
    <t>JOAO VICTOR LEMOS DOS SANTOS</t>
  </si>
  <si>
    <t>ERICK MARCOS BARBOSA VALADAO</t>
  </si>
  <si>
    <t>CLAUDIO ENZO DE ANDRADE MENDES</t>
  </si>
  <si>
    <t>HEMERSON DE CASTRO ALVES DUARTE</t>
  </si>
  <si>
    <t>DIEGO VIEIRA FERREIRA GOMES</t>
  </si>
  <si>
    <t>MAICON DOUGLAS WERNECK DA SILVA</t>
  </si>
  <si>
    <t>ISMAEL FERNANDES DE OLIVEIRA DE ALMEIDA SILVA</t>
  </si>
  <si>
    <t>WASHINGTON BATISTA DA SILVA</t>
  </si>
  <si>
    <t>NEIDE MOURA TEIXEIRA</t>
  </si>
  <si>
    <t>RODRIGO NUNES DOS SANTOS</t>
  </si>
  <si>
    <t>BRUNA FERREIRA NAZARIO</t>
  </si>
  <si>
    <t>DIEGO MAURICIO LINHARES</t>
  </si>
  <si>
    <t>JULIO CESAR DOMINGOS DE OLIVEIRA</t>
  </si>
  <si>
    <t>GISELE REGINA PEIXOTO DA COSTA</t>
  </si>
  <si>
    <t>ROSANA ARAUJO MENDONCA</t>
  </si>
  <si>
    <t>KARINA BASTOS SUZANO</t>
  </si>
  <si>
    <t>MELENE GABRIELLE DOS SANTOS</t>
  </si>
  <si>
    <t>FRANCIELE ALVES DA SILVA</t>
  </si>
  <si>
    <t>THALITA LINHARES BELCHOT</t>
  </si>
  <si>
    <t>PEDRO PAULO DIAS SERINO VIEIRA</t>
  </si>
  <si>
    <t>JOAO JOSE MENDES</t>
  </si>
  <si>
    <t>WAGNER LUIZ DA SILVEIRA ROSA</t>
  </si>
  <si>
    <t>SIRLEI DIAS DE MOURA</t>
  </si>
  <si>
    <t>THIAGO DA SILVA FERNANDES</t>
  </si>
  <si>
    <t>VERONICA LEITE DOS SANTOS</t>
  </si>
  <si>
    <t>ROSANA ALMEIDA DOS SANTOS ALVES</t>
  </si>
  <si>
    <t>BRENDA DA SILVA TEIXEIRA DE OLIVEIRA</t>
  </si>
  <si>
    <t>ADRIANE TOMAZ DA SILVA</t>
  </si>
  <si>
    <t>LILIA GONCALVES DA SILVA</t>
  </si>
  <si>
    <t>ANA BEATRIZ PEREIRA DE SENA</t>
  </si>
  <si>
    <t>THALIA MATTA FONTES</t>
  </si>
  <si>
    <t>PAULO CONCEICAO DOS SANTOS</t>
  </si>
  <si>
    <t>SILVIO TUPINAMBA</t>
  </si>
  <si>
    <t>JOSIANE ROCHA BATISTA DE OLIVEIRA</t>
  </si>
  <si>
    <t>DANDARA RIBEIRO MACHADO</t>
  </si>
  <si>
    <t>VITORIA KAMYLE SANTOS DE SOUZA</t>
  </si>
  <si>
    <t>JULIANA DA SILVA NETO</t>
  </si>
  <si>
    <t>KESSIA SANTOS FARIAS</t>
  </si>
  <si>
    <t>DARLAN MOREIRA DOS SANTOS</t>
  </si>
  <si>
    <t>LUCAS SANTOS DE SOUZA</t>
  </si>
  <si>
    <t>FABIO NEVES DE OLIVEIRA</t>
  </si>
  <si>
    <t>MARCO ANTONIO DA SILVA</t>
  </si>
  <si>
    <t>SULAMITA PATRICIO FIGUEIRA</t>
  </si>
  <si>
    <t>LARISSA CUSTODIO DA SILVA</t>
  </si>
  <si>
    <t>VITOR DE FREITAS MIGUEL</t>
  </si>
  <si>
    <t>TAILON DE OLIVEIRA RODRIGUES MOREIRA</t>
  </si>
  <si>
    <t>BRUNA GABRIELA DE OLIVEIRA E SILVA MARTINS</t>
  </si>
  <si>
    <t>WELLINGTON DA SILVA SANTOS</t>
  </si>
  <si>
    <t>ANDERSON CARLOS LIMA ROSA</t>
  </si>
  <si>
    <t>CLEYCE MARQUES ALVES SEVERO</t>
  </si>
  <si>
    <t>YURI VIRGINIO NASCIMENTO DA SILVA</t>
  </si>
  <si>
    <t>LARISSA VITORIA DE ARAUJO PAULMANN</t>
  </si>
  <si>
    <t>LUCAS SANTOS DA SILVA</t>
  </si>
  <si>
    <t>CLAUDIO DE SOUZA MARTINS</t>
  </si>
  <si>
    <t>SOFIA PERGENTINO DO AMOR DIVINO</t>
  </si>
  <si>
    <t>JENNIFER STEPHANY HENRIQUE DA CUNHA</t>
  </si>
  <si>
    <t>RENATO ANDERSON DE JESUS SILVA</t>
  </si>
  <si>
    <t>JADE OLIVEIRA BATISTA</t>
  </si>
  <si>
    <t>RODRIGO OLIVEIRA SANTOS</t>
  </si>
  <si>
    <t>WLADIMIR DOS SANTOS NEVES</t>
  </si>
  <si>
    <t>LORENA ANSELMO PEREIRA</t>
  </si>
  <si>
    <t>VALERIA DE LIMA OLAVO</t>
  </si>
  <si>
    <t>SILVANA SANTOS HENRIQUES DO PRADO</t>
  </si>
  <si>
    <t>DAYANE DE FARIA DA SILVA</t>
  </si>
  <si>
    <t>KAREN SILVA FARIA</t>
  </si>
  <si>
    <t>DAIANE DA SILVA COSTA</t>
  </si>
  <si>
    <t>DIANA COELHO DE PAULA</t>
  </si>
  <si>
    <t>CAMILA SANTOS DO NASCIMENTO</t>
  </si>
  <si>
    <t>CELI CONCEICAO DA SILVA</t>
  </si>
  <si>
    <t>KATHLEEN CRISTINE FERREIRA DOS SANTOS</t>
  </si>
  <si>
    <t>KAYLANE SOARES DE OLIVEIRA</t>
  </si>
  <si>
    <t>RUAN CARLOS MELO PINHEIRO</t>
  </si>
  <si>
    <t>WESLEY SILVA DO NASCIMENTO</t>
  </si>
  <si>
    <t>RICARDO VIEIRA MIRANDA</t>
  </si>
  <si>
    <t>SIRLENE CORREIA DA SILVA</t>
  </si>
  <si>
    <t>LUIZ FERNANDO DOS SANTOS SILVERIO DE PAULA</t>
  </si>
  <si>
    <t>JOSEILTON FERREIRA SANTOS</t>
  </si>
  <si>
    <t>LUCAS NATHAN LOPES DOS SANTOS</t>
  </si>
  <si>
    <t>RAQUEL RED VITORIO</t>
  </si>
  <si>
    <t>JORGE MATHEUS DE ANDRADE DA SILVA</t>
  </si>
  <si>
    <t>DIANA LETICIA CAETANO DE LIMA</t>
  </si>
  <si>
    <t>JOSELINE VICENTE DA SILVEIRA</t>
  </si>
  <si>
    <t>MATHEUS SILVA DE ARAUJO</t>
  </si>
  <si>
    <t>WENDERSON BORGES DA SILVA</t>
  </si>
  <si>
    <t>INGRID VITORIA DA SILVA</t>
  </si>
  <si>
    <t>ALEX AZEVEDO ALVES DE LIMA</t>
  </si>
  <si>
    <t>CAMILA ALVES BARBOSA</t>
  </si>
  <si>
    <t>AGEDEAO DE ABREU LEITE</t>
  </si>
  <si>
    <t>ANANIAS EGIDIO</t>
  </si>
  <si>
    <t>JEFFERSON LUIS PEREIRA</t>
  </si>
  <si>
    <t>MEDICINA DO TRABALHO</t>
  </si>
  <si>
    <t>OFICINA MECANICA</t>
  </si>
  <si>
    <t>AUXILIAR DE CPD ( VOLANTE )</t>
  </si>
  <si>
    <t>TECNICO DE ENFERMAGEM DO TRABALHO JUNIOR</t>
  </si>
  <si>
    <t>AUXILIAR DE MECANICO I</t>
  </si>
  <si>
    <t>AUXILIAR ADMINISTRATIVO I</t>
  </si>
  <si>
    <t>SIDNEI DIAS DO NASCIMENTO</t>
  </si>
  <si>
    <t>JOSE VITOR FERREIRA DOS SANTOS DIAS</t>
  </si>
  <si>
    <t>JOSUEL TEODOSIO DA SILVA</t>
  </si>
  <si>
    <t>BRUNO PEREIRA DE OLIVEIRA</t>
  </si>
  <si>
    <t>GABRIEL LEONARDO ALVES SOARES MACHADO</t>
  </si>
  <si>
    <t>MICHELI ARAUJO DOS SANTOS CARDOSO</t>
  </si>
  <si>
    <t>WESLLEY BATALHA BARCELO</t>
  </si>
  <si>
    <t>RENAN OLIVEIRA MELO</t>
  </si>
  <si>
    <t>JAMILLY VIEIRA MAGALHAES</t>
  </si>
  <si>
    <t>PAULO SERGIO CORREA DE SOUZA</t>
  </si>
  <si>
    <t>LEANDRO PIO DE OLIVEIRA</t>
  </si>
  <si>
    <t>LUIZ FERNANDO DANTAS TEIXEIRA</t>
  </si>
  <si>
    <t>ROMARIO LUCAS SANTOS DA SILVA</t>
  </si>
  <si>
    <t>MARCELO ALEIXO</t>
  </si>
  <si>
    <t>MARCELO FELIPE RODRIGUES DE FREITAS SANTOS</t>
  </si>
  <si>
    <t>LEOMIR RENNE DE SOUZA VALENCA</t>
  </si>
  <si>
    <t>WESLLEY CAROLINO DA SILVA</t>
  </si>
  <si>
    <t>CARLOS EDUARDO DE ARAUJO BARBOSA MARINHO</t>
  </si>
  <si>
    <t>PAULO ROBERTO DA SILVA SANTOS</t>
  </si>
  <si>
    <t>JEFFERSON SOARES DE ALBUQUERQUE</t>
  </si>
  <si>
    <t>DAVID DE SALES DE LIMA ANDRADE</t>
  </si>
  <si>
    <t>ANDRE FERREIRA DA SILVA</t>
  </si>
  <si>
    <t>CLAUDIO LIMA SILVA</t>
  </si>
  <si>
    <t>CARLOS THIAGO PAULA DA SILVA</t>
  </si>
  <si>
    <t>JANAINA DA SILVA MORAES</t>
  </si>
  <si>
    <t>CARLOS ALBERTO DE SOUZA</t>
  </si>
  <si>
    <t>GERSON DO COUTO MEDEIROS JUNIOR</t>
  </si>
  <si>
    <t>IGOR SANTANA GALLART</t>
  </si>
  <si>
    <t>SINTIA REGINA DA SILVA RIBEIRO</t>
  </si>
  <si>
    <t>RAYANE LEANDRO DA SILVA</t>
  </si>
  <si>
    <t>RAYANNE DOS SANTOS COUTINHO</t>
  </si>
  <si>
    <t>MARIA EDUARDA BATISTA DA COSTA</t>
  </si>
  <si>
    <t>SEVERINA RINELLY DELFINO DE OLIVEIRA BARBOSA</t>
  </si>
  <si>
    <t>VILMA COELHO DA SILVA</t>
  </si>
  <si>
    <t>PAULO ROBERTO PONTES DA SILVA</t>
  </si>
  <si>
    <t>RICARDO DE ALBUQUERQUE PEREIRA</t>
  </si>
  <si>
    <t>GIOVANI LIMA DA SILVA</t>
  </si>
  <si>
    <t>VINICIUS ALVES DE OLIVEIRA</t>
  </si>
  <si>
    <t>RONALDO DA SILVA APPOLINARIO</t>
  </si>
  <si>
    <t>RODRIGO FERREIRA DA CONCEICAO</t>
  </si>
  <si>
    <t>PAULO VITOR DE AQUINO CABRAL</t>
  </si>
  <si>
    <t>ALINE MIRANDA DE ARAUJO POLY</t>
  </si>
  <si>
    <t>ROBERTA CAMILLO DO ROSARIO SANTIAGO</t>
  </si>
  <si>
    <t>NICOLLY SOARES DA CONCEICAO</t>
  </si>
  <si>
    <t>DEIVID MARTINS LOPES</t>
  </si>
  <si>
    <t>ADRIANO BRAGA DE MELO FELISBINO</t>
  </si>
  <si>
    <t>ANA BEATRIZ SILVA DE OLIVEIRA</t>
  </si>
  <si>
    <t>MATHEUS COSTA DE SENA</t>
  </si>
  <si>
    <t>GABRIEL BRANDAO DE OLIVEIRA PRACA</t>
  </si>
  <si>
    <t>MATHEUS HARTT DA SILVA</t>
  </si>
  <si>
    <t>ADRIAN DIAS DOS SANTOS</t>
  </si>
  <si>
    <t>WINNER FRAGA FERNANDES</t>
  </si>
  <si>
    <t>CRISTIANE APARECIDA DOS SANTOS LIMA</t>
  </si>
  <si>
    <t>MARCO AURELIO DA SILVA</t>
  </si>
  <si>
    <t>EDILENE EWELYN PINTO BARBOSA</t>
  </si>
  <si>
    <t>INGRID MELO DA SILVA</t>
  </si>
  <si>
    <t>VIVIANE ROCHA DOS SANTOS</t>
  </si>
  <si>
    <t>JULIENE VIEIRA DA SILVA</t>
  </si>
  <si>
    <t>FLOR COSENDEY DE SOUSA</t>
  </si>
  <si>
    <t>SABRYNA CABRAL DOS SANTOS LOPES</t>
  </si>
  <si>
    <t>NATALIA ISABELE MANOEL GASPAR</t>
  </si>
  <si>
    <t>PEDRO PAULO LESSA DE SOUZA</t>
  </si>
  <si>
    <t>TAIS VELOZO MARTINS</t>
  </si>
  <si>
    <t>BEATRIZ FERREIRA DE SOUSA</t>
  </si>
  <si>
    <t>FRANK CARDOSO UCHOA DA SILVA</t>
  </si>
  <si>
    <t>MARCUS VINICIUS DA FONSECA DE AQUINO</t>
  </si>
  <si>
    <t>ANDREA DA SILVA LESSA</t>
  </si>
  <si>
    <t>ALAN DE ANDRADE ROSA</t>
  </si>
  <si>
    <t>LEONARDO DE FARIAS MOCO</t>
  </si>
  <si>
    <t>CLAUDIA MARIA LEAL DA SILVA</t>
  </si>
  <si>
    <t>PATRICIA GONCALVES DE SOUZA</t>
  </si>
  <si>
    <t>FABIANO DE ANDRADE</t>
  </si>
  <si>
    <t>VITORIA APRIGIO DE OLIVEIRA</t>
  </si>
  <si>
    <t>AGATHA CREINDIA DA SILVA PINTO</t>
  </si>
  <si>
    <t>AILSON DA COSTA DOS SANTOS</t>
  </si>
  <si>
    <t>JOEDSON RICARDO DA SILVA DIOMEDES</t>
  </si>
  <si>
    <t>DIOVANA OLIVEIRA DE SOUZA</t>
  </si>
  <si>
    <t>PATRICIA DA SILVA SANTOS DE OLIVEIRA</t>
  </si>
  <si>
    <t>DIEGO RAFAEL COSTA FLORINDO DOS SANTOS</t>
  </si>
  <si>
    <t>LUIZ CLAUDIO HORACIO</t>
  </si>
  <si>
    <t>MATHEUS DE CASTRO SOUZA RODRIGUES</t>
  </si>
  <si>
    <t>JONATHAN ROCHA MARQUES</t>
  </si>
  <si>
    <t>ISAIAS BARROS CANDIDO</t>
  </si>
  <si>
    <t>VINICIUS AVELINO BASILIO</t>
  </si>
  <si>
    <t>JONATHAN DOS SANTOS PEREIRA DA SILVA</t>
  </si>
  <si>
    <t>JUCIARA PEREIRA DE OLIVEIRA</t>
  </si>
  <si>
    <t>ANDREW ALBERTO VIANA DA SILVA</t>
  </si>
  <si>
    <t>EMILIA DOS SANTOS TORRES CARNEIRO VIANA</t>
  </si>
  <si>
    <t>SUELI MONTEIRO</t>
  </si>
  <si>
    <t>VERIANI COSTA GOMES</t>
  </si>
  <si>
    <t>VITOR DOS SANTOS SOUZA</t>
  </si>
  <si>
    <t>CARLA CRISTINA DA SILVA AMARO</t>
  </si>
  <si>
    <t>EVELYN JAMILLY DE OLIVEIRA</t>
  </si>
  <si>
    <t>ROSIMERY BATISTA FRANCA</t>
  </si>
  <si>
    <t>HADASSA RIGUEIRO LEITE</t>
  </si>
  <si>
    <t>GRAZYELLE GOMES FONTES</t>
  </si>
  <si>
    <t>INGRID GABRIELLE SIQUEIRA DOS SANTOS</t>
  </si>
  <si>
    <t>OZIEL SOARES DA SILVA</t>
  </si>
  <si>
    <t>ANTONIO FELIPE DOS SANTOS FILHO</t>
  </si>
  <si>
    <t>FELLIPE DA SILVA DE SANTANA</t>
  </si>
  <si>
    <t>LEONARDO LEOCADIO DOS SANTOS</t>
  </si>
  <si>
    <t>PAULO MIGUEL ANDRADE NUNES</t>
  </si>
  <si>
    <t>MAYCON DOUGLAS DE SOUSA CARVALHO</t>
  </si>
  <si>
    <t>ALMIR DE PAIVA MENDES</t>
  </si>
  <si>
    <t>GABRIEL GONCALVES FRANCA DUTRA DA SILVA</t>
  </si>
  <si>
    <t>RENAM LIMA DA SILVA</t>
  </si>
  <si>
    <t>BIANCA RANGEL TAVARES</t>
  </si>
  <si>
    <t>LUCAS RAYNNE EGIDIO SILVA</t>
  </si>
  <si>
    <t>MAXWELL FARIA BATISTA</t>
  </si>
  <si>
    <t>PAULO CESAR DA SILVA MENEZES</t>
  </si>
  <si>
    <t>CAIO MARCIO CORREIA GOMES</t>
  </si>
  <si>
    <t>WELINGTON DE OLIVEIRA PASSOS</t>
  </si>
  <si>
    <t>BRUNA BERNARDES DE CASTRO</t>
  </si>
  <si>
    <t>ERASMO KENNEDY DO NASCIMENTO</t>
  </si>
  <si>
    <t>MARTA CRISTINA DOS SANTOS</t>
  </si>
  <si>
    <t>KELLY DA CONCEICAO DE OLIVEIRA MENDES</t>
  </si>
  <si>
    <t>MARIANA FRANCISCO DE OLIVEIRA</t>
  </si>
  <si>
    <t>JULIANA MARGARIDA DA CONCEICAO</t>
  </si>
  <si>
    <t>LILIAN RODRIGUES DA SILVA FERREIRA</t>
  </si>
  <si>
    <t>CARLOS DANIEL GONCALVES DE SOUZA</t>
  </si>
  <si>
    <t>VICTOR NEVES DA SILVA</t>
  </si>
  <si>
    <t>SUZANA DA COSTA SILVA</t>
  </si>
  <si>
    <t>JONAS TEIXEIRA PINHEIRO</t>
  </si>
  <si>
    <t>MATHEUS DOS SANTOS</t>
  </si>
  <si>
    <t>JOSELAINE FERREIRA FURTADO</t>
  </si>
  <si>
    <t>FABIO DA SILVA ARAUJO</t>
  </si>
  <si>
    <t>BRUNA CEZAR VENTURA</t>
  </si>
  <si>
    <t>NUBIA SAMPAIO AFFONSO</t>
  </si>
  <si>
    <t>ALMOXARIFADO - MANUTENCAO</t>
  </si>
  <si>
    <t>COMERCIAL - BOMBONIERE</t>
  </si>
  <si>
    <t>CONTABIL</t>
  </si>
  <si>
    <t>AUXILIAR DE ALMOXARIFADO II</t>
  </si>
  <si>
    <t>AUXILIAR DE DEPTO PESSOAL SENIOR</t>
  </si>
  <si>
    <t>CONFERENTE DE AVARIA</t>
  </si>
  <si>
    <t>ENCARREGADO OPERACIONAL</t>
  </si>
  <si>
    <t>ASSISTENTE COMPRAS</t>
  </si>
  <si>
    <t>ANALISTA CONTABIL JUNIOR</t>
  </si>
  <si>
    <t>ANALISTA CONTABIL SENIOR</t>
  </si>
  <si>
    <t>ASSISTENTE FINANCEIRO I</t>
  </si>
  <si>
    <t>PROMOTOR (A) PERFUMARIA</t>
  </si>
  <si>
    <t>GLOSA MÊS DE NOVEMBRO 2025</t>
  </si>
  <si>
    <t>MYLLENA DOS SANTOS DE LIMA</t>
  </si>
  <si>
    <t>MAYCON DA SILVA MOURA</t>
  </si>
  <si>
    <t>ABRAAO DA SILVA RIBEIRO</t>
  </si>
  <si>
    <t>JONATHAN RODRIGUES DA ROCHA</t>
  </si>
  <si>
    <t>ISMAEL PEREIRA CARDOSO</t>
  </si>
  <si>
    <t>JONAS ROCHA SOARES JUNIOR</t>
  </si>
  <si>
    <t>NATANAEL DIAS FILHO</t>
  </si>
  <si>
    <t>ANA PAULA CUSTODIO DA SILVA GOMES DA SILVA</t>
  </si>
  <si>
    <t>FILIPE MARIANO DA SILVA</t>
  </si>
  <si>
    <t>DEBORA RAMOS ZAPAROLLI</t>
  </si>
  <si>
    <t>ALUISIO PEREIRA RANGEL</t>
  </si>
  <si>
    <t>ESTEPHANI BAPTISTA DOS SANTOS BARROS</t>
  </si>
  <si>
    <t>ALESSANDRA EUGENIA ROMUALDO</t>
  </si>
  <si>
    <t>LETICIA DOS SANTOS XAVIER DE SOUZA</t>
  </si>
  <si>
    <t>SUZANA SANTANA DA COSTA OLIVEIRA</t>
  </si>
  <si>
    <t>ALYNE SILVA DOS SANTOS</t>
  </si>
  <si>
    <t>JULIA DUTRA DA SILVA</t>
  </si>
  <si>
    <t>RENATO DA SILVA</t>
  </si>
  <si>
    <t>GLORIA MARIA DE OLIVEIRA DA SILVA</t>
  </si>
  <si>
    <t>FABIO ASSIVEIS FERREIRA BEZERRA JUNIOR</t>
  </si>
  <si>
    <t>JOAO VITOR FERREIRA GONCALVES</t>
  </si>
  <si>
    <t>CARMEN LUCIA BARBOSA LOBO</t>
  </si>
  <si>
    <t>JULIA DOS SANTOS LIBANIO</t>
  </si>
  <si>
    <t>THALITA MADEIRA DA SILVA</t>
  </si>
  <si>
    <t>THIAGO DA COSTA DOS SANTOS</t>
  </si>
  <si>
    <t>BEATRIZ DOS SANTOS FERNANDES VIEIRA</t>
  </si>
  <si>
    <t>BEATRIZ DE OLIVEIRA ARAUJO</t>
  </si>
  <si>
    <t>ANNE NICE PAULA DE ARAUJO</t>
  </si>
  <si>
    <t>ALEXANDRE FERREIRA DE ALMEIDA DA COSTA</t>
  </si>
  <si>
    <t>SUELEN DE JESUS SANTOS</t>
  </si>
  <si>
    <t>RAYSSA DA CONCEICAO MUNIZ</t>
  </si>
  <si>
    <t>BRENO FABIANO JANUARIO DA SILVA BATISTA</t>
  </si>
  <si>
    <t>LEONARDO GIOLO SANTIAGO DA SILVA</t>
  </si>
  <si>
    <t>RAMON SILVA OLIVEIRA</t>
  </si>
  <si>
    <t>AUXILIAR ADMINISTRATIVO</t>
  </si>
  <si>
    <t>THIAGO TAVARES DA SILVA</t>
  </si>
  <si>
    <t>ALEXANDRE DOMINGUES</t>
  </si>
  <si>
    <t>ISABEL CRISTINA BARBOSA DOS SANTOS</t>
  </si>
  <si>
    <t>ROSILENE DA SILVA FRANCO GOMES</t>
  </si>
  <si>
    <t>CARLOS EDUARDO DE ALMEIDA ROSARIO</t>
  </si>
  <si>
    <t>ANTONIO ALEXANDRE DE LIMA</t>
  </si>
  <si>
    <t>ARNALDO PERES DA SILVA</t>
  </si>
  <si>
    <t>PATRICIA RIBEIRO DE OLIVEIRA</t>
  </si>
  <si>
    <t>ROBERTA FERREIRA DA SILVA</t>
  </si>
  <si>
    <t>ANA VITORIA CONCEICAO DA SILVA</t>
  </si>
  <si>
    <t>MARCIO PEREIRA JOVIANO</t>
  </si>
  <si>
    <t>MARIA LUCIA MARTINS DE OLIVEIRA DOS SANTOS</t>
  </si>
  <si>
    <t>ROMARIO ALMEIDA DOS SANTOS</t>
  </si>
  <si>
    <t>LEONARDO DE ARAUJO SILVA DA LUZ</t>
  </si>
  <si>
    <t>DAVID D AJUDA</t>
  </si>
  <si>
    <t>THAYNARA EDUARDA DOS SANTOS PACHECO</t>
  </si>
  <si>
    <t>MATHEUS DE SOUZA CORREIA</t>
  </si>
  <si>
    <t>PATRICIA VALLE BARROS VIEIRA</t>
  </si>
  <si>
    <t>ALINE SANTOS DA SILVA</t>
  </si>
  <si>
    <t>ELISABETE DE OLIVEIRA</t>
  </si>
  <si>
    <t>ROBERTO DE SOUZA</t>
  </si>
  <si>
    <t>CLAUDIO MATOS DA COSTA</t>
  </si>
  <si>
    <t>DANIELA DA SILVA OLIVEIRA</t>
  </si>
  <si>
    <t>SARAH DE OLIVEIRA THEODORO</t>
  </si>
  <si>
    <t>TATIANE DE OLIVEIRA PEREIRA</t>
  </si>
  <si>
    <t>GILVAN PEDRO DA SILVA</t>
  </si>
  <si>
    <t>KAYLLANE NUNES PEREIRA</t>
  </si>
  <si>
    <t>PAULA DE SOUSA SILVA</t>
  </si>
  <si>
    <t>VICTOR GOMES DE SOUZA SILVA</t>
  </si>
  <si>
    <t>VITOR MATHIAS LIMA</t>
  </si>
  <si>
    <t>ROSIANE DE JESUS SUPRIANO DE OLIVEIRA</t>
  </si>
  <si>
    <t>LEANDRO DA SILVA SANTOS</t>
  </si>
  <si>
    <t>PAULA REGINA GOMES DE LIMA</t>
  </si>
  <si>
    <r>
      <t xml:space="preserve">RELATÓRIO DE VALORES ACUMULADOS FEVEREIRO 2026  </t>
    </r>
    <r>
      <rPr>
        <b/>
        <sz val="26"/>
        <color rgb="FFFF0000"/>
        <rFont val="Calibri"/>
        <family val="2"/>
      </rPr>
      <t>(FILIAL 01)</t>
    </r>
  </si>
  <si>
    <t>CARLOS CHAGAS DE LIMA</t>
  </si>
  <si>
    <t>MARIANA DA COSTA ALVES</t>
  </si>
  <si>
    <t>VICTOR HUGO DE PAULA TEIXEIRA</t>
  </si>
  <si>
    <t>ANTONY PAULO DE CARVALHO FLORENTINO</t>
  </si>
  <si>
    <t>JOAO VICTOR VASCONCELOS DE SOUZA</t>
  </si>
  <si>
    <t>THIAGO DE ALMEIDA DE MELLO</t>
  </si>
  <si>
    <t>ANA PAULA LEOCADIO DA SILVA BENELIS</t>
  </si>
  <si>
    <t>ANDERSON GONCALVES DE SOUZA</t>
  </si>
  <si>
    <t>DAVID BRUNO BERNARDO CAMPOS</t>
  </si>
  <si>
    <t>FERNANDA DA SILVA MOTA RAMOS</t>
  </si>
  <si>
    <t>EVANEIDE PINHEIRO DE LIMA DE CASTILHO</t>
  </si>
  <si>
    <t>JORGE ROBERTO CARNEIRO DA CUNHA</t>
  </si>
  <si>
    <t>JHONATAN CLEMENTEL SANT ANNA</t>
  </si>
  <si>
    <t>VALQUIRIA PEREIRA DE SOUSA MARCELINO</t>
  </si>
  <si>
    <t>CARLOS EDUARDO CARNEIRO DA SILVA</t>
  </si>
  <si>
    <t>PATRICK WASHINGTON DOS SANTOS SILVA</t>
  </si>
  <si>
    <t>PAULO HENRIQUE DA SILVA SANTOS</t>
  </si>
  <si>
    <t>ANTONIA MEIRIANA DE MELO ARAUJO</t>
  </si>
  <si>
    <t>ADRIELLE VITORIA SANTOS VIEIRA</t>
  </si>
  <si>
    <t>RICHARD ANDREY DA SILVA LIMA</t>
  </si>
  <si>
    <t>ANNA LARA MENDES DE LIMA</t>
  </si>
  <si>
    <t>ISAQUE CAVALCANTE DA SILVA</t>
  </si>
  <si>
    <t>RAFAELLA CRISTINA PEREIRA DE ANDRADE</t>
  </si>
  <si>
    <t>ANDRIELY ROTELA BAZILIO</t>
  </si>
  <si>
    <t>GUSTAVO YURI LIMA DE ARAUJO</t>
  </si>
  <si>
    <t>CRISTIANE DE OLIVEIRA JOSUE</t>
  </si>
  <si>
    <t>JEFFERSON CARLOS MARTINS SOUZA</t>
  </si>
  <si>
    <t>ANA CLARA DO NASCIMENTO GRANADO</t>
  </si>
  <si>
    <t>ENZO EMANUEL DE JESUS BARBOSA</t>
  </si>
  <si>
    <t>MOISES ALVES NASCIMENTO</t>
  </si>
  <si>
    <t>LUCAS DANIEL SILVA BARROS</t>
  </si>
  <si>
    <t>ALEXSANDRO PAIVA DE ANDRADE BUZELI</t>
  </si>
  <si>
    <t>LUIS FERNANDO OLIVEIRA CARNEIRO</t>
  </si>
  <si>
    <t>LUIZ ALBERTO REIS DOS SANTOS</t>
  </si>
  <si>
    <t>LUCAS GABRIEL PEREIRA DA SILVA</t>
  </si>
  <si>
    <t>HUGO RAPHAEL DA SILVA CAVALCANTE</t>
  </si>
  <si>
    <t>JOAO VICTOR FRANCA LOPES</t>
  </si>
  <si>
    <t>GUILHERME DOS SANTOS DE ALMEIDA</t>
  </si>
  <si>
    <t>RAFAEL PEREIRA DA COSTA</t>
  </si>
  <si>
    <t>ALICIA DOS PRAZERES PEREIRA</t>
  </si>
  <si>
    <t>LUIS RODRIGO DOS SANTOS DA SILVA</t>
  </si>
  <si>
    <t>LUIZA GUIDO CARVALHO</t>
  </si>
  <si>
    <t>EVALDO DOS SANTOS CARVALHO</t>
  </si>
  <si>
    <t>PEDRO PAULO DE SOUSA CAVALCANTE</t>
  </si>
  <si>
    <t>MATHEUS FREITAS PEIXOTO</t>
  </si>
  <si>
    <t>ISADORA DOS SANTOS AQUINO</t>
  </si>
  <si>
    <t>VALDECI GOMES DA SILVA</t>
  </si>
  <si>
    <t>UBIRAJARA MACHADO DA SILVA</t>
  </si>
  <si>
    <t>ANSELMO LUIZ DE SOUZA</t>
  </si>
  <si>
    <t>INTELIGENCIA COMERCIAL</t>
  </si>
  <si>
    <t>AUXILIAR DE PRECIFICACAO E CONTROLE DE PRODUTOS</t>
  </si>
  <si>
    <t>AUXILIAR COMERCIAL JUNIOR</t>
  </si>
  <si>
    <t>RENNAN RAPHAEL ROCHA BATISTA</t>
  </si>
  <si>
    <t>VICTOR HUGO OLIVEIRA DOS ANJOS</t>
  </si>
  <si>
    <t>LARICIARA DAS DORES COSTA DOS SANTOS</t>
  </si>
  <si>
    <t>ANA CAROLINA OTAVIANO SEVERO DE OLIVEIRA</t>
  </si>
  <si>
    <t>ADRIANO SA DO NASCIMENTO</t>
  </si>
  <si>
    <t>CARLOS HENRIQUE DE SOUZA CARDOSO</t>
  </si>
  <si>
    <t>FELIPE DA SILVA CARLOS</t>
  </si>
  <si>
    <t>WENDRIL BEZERRA DE OLIVEIRA</t>
  </si>
  <si>
    <t>KENNEDY DOS SANTOS FERNANDES</t>
  </si>
  <si>
    <t>THIAGO DA SILVA NAZARETH</t>
  </si>
  <si>
    <t>LUIZ ALBERTO FAUSTINO DO ROSARIO</t>
  </si>
  <si>
    <t>DENILSON RODRIGUES SANTOS</t>
  </si>
  <si>
    <t>CLAUDIO DE SOUZA COUTO</t>
  </si>
  <si>
    <t>MARCUS BRYAN PAULA RAMALHO</t>
  </si>
  <si>
    <t>AUGUSTO DA SILVA GONCALVES</t>
  </si>
  <si>
    <t>GEICE FONSECA DE OLIVEIRA SILVA</t>
  </si>
  <si>
    <t>THIAGO DA SILVA AFONSO</t>
  </si>
  <si>
    <t>JUVENAL NUNES DE ALMEIDA FILHO</t>
  </si>
  <si>
    <t>ALEX RODRIGO PEREIRA VIEIRA</t>
  </si>
  <si>
    <t>RAFAEL GOMES DE SOUZA SANTOS</t>
  </si>
  <si>
    <t>JUAN DOUGLAS HILARIO DA HORA</t>
  </si>
  <si>
    <t>JORGE LUIS DE MORAES REGO OLIVEIRA</t>
  </si>
  <si>
    <t>PAULO ROBERTO DA SILVA FERREIRA</t>
  </si>
  <si>
    <t>MATHEUS SANTOS CONCEICAO</t>
  </si>
  <si>
    <t>TALITA FRANCO DO VALLE</t>
  </si>
  <si>
    <t>JOSE CARLOS LIRA DE VAZ</t>
  </si>
  <si>
    <t>MARCUS VINICIUS MACIEL DA SILVA</t>
  </si>
  <si>
    <t>CARLA BATISTA DIAS</t>
  </si>
  <si>
    <t>RENATO RIBEIRO DA SILVA</t>
  </si>
  <si>
    <t>JULIANO CORREA DE SOUZA MARCONDES</t>
  </si>
  <si>
    <t>MATHEUS LAMBOTH PEREIRA NASCIMENTO</t>
  </si>
  <si>
    <t>IRINETE DOS SANTOS SOARES</t>
  </si>
  <si>
    <t>MARIA EDUARDA FABIREZA VITAL MACIEL</t>
  </si>
  <si>
    <t>LUCAS BRUNO BENTO DA SILVA</t>
  </si>
  <si>
    <t>RONALDO DE JESUS ARAUJO</t>
  </si>
  <si>
    <t>NATALIA SERZEDELLO MADRUGA MERCES</t>
  </si>
  <si>
    <t>FABIO DOS ANJOS LOPES</t>
  </si>
  <si>
    <t>LARISSA ABADE BANDEIRA</t>
  </si>
  <si>
    <t>SAMUEL ESTEVAM DOS SANTOS LIMA</t>
  </si>
  <si>
    <t>ADRIANO VIANA SANTOS</t>
  </si>
  <si>
    <t>LUCIANO SOARES BENTHER</t>
  </si>
  <si>
    <t>EZEQUIAS BARBOSA DA SILVA</t>
  </si>
  <si>
    <t>MATEUS CARDOSO DA SILVA</t>
  </si>
  <si>
    <t>ADRIANA DE OLIVEIRA DA SILVA</t>
  </si>
  <si>
    <t>JOYCE LEANDRO SOUZA DA SILVA</t>
  </si>
  <si>
    <t>ISABEL LUCENA DOS SANTOS SILVA</t>
  </si>
  <si>
    <t>CRISLENE DE SOUZA CANDIDO</t>
  </si>
  <si>
    <t>ANA BIATRIZ SANTOS CONCEICAO</t>
  </si>
  <si>
    <t>FRANCIELE PEREIRA DA COSTA MAGALHAES</t>
  </si>
  <si>
    <t>DANIELE CABRAL DOS SANTOS DA CONCEICAO</t>
  </si>
  <si>
    <t>GABRIELA DE MELO BRITO VILAS BOAS</t>
  </si>
  <si>
    <t>JULIANA GUIMARAES DA SILVA</t>
  </si>
  <si>
    <t>JORGE LUCAS LIMA RANGEL</t>
  </si>
  <si>
    <t>CARLOS ANTONIO DA SILVA</t>
  </si>
  <si>
    <t>ANA BEATRIZ MARQUES DA SILVA</t>
  </si>
  <si>
    <t>JANAINA SIMAO MENDONCA</t>
  </si>
  <si>
    <t>DAMIANA MENDES NERI</t>
  </si>
  <si>
    <t>JOSUE SANTOS RIBEIRO</t>
  </si>
  <si>
    <t>HELEN LOURDES AUGUSTO ACIOLY</t>
  </si>
  <si>
    <t>LARISSA DA SILVA SANTOS</t>
  </si>
  <si>
    <t>LUCIANA PEREIRA DA SILVA MENDES</t>
  </si>
  <si>
    <t>KEVELIN CASCABRINI CAMPOS</t>
  </si>
  <si>
    <t>JESSICA FIGUEIRA DA SILVA DOS SANTOS</t>
  </si>
  <si>
    <t>LEIDIANE APARECIDA DA SILVA</t>
  </si>
  <si>
    <t>IANDRA VITORIA DA SILVA FERREIRA</t>
  </si>
  <si>
    <t>GEORGE NEPOMUCENO DA SILVA</t>
  </si>
  <si>
    <t>LUCIANA DA COSTA GUIMARAES</t>
  </si>
  <si>
    <t>ADRIANA DOS SANTOS LEITE</t>
  </si>
  <si>
    <t>RODRIGO SACH FERREIRA</t>
  </si>
  <si>
    <t>FRANCISCO JORGE MENDES DOS SANTOS</t>
  </si>
  <si>
    <t>MARCIONIL MOREIRA DE CARVALHO</t>
  </si>
  <si>
    <t>VINICIUS FERREIRA</t>
  </si>
  <si>
    <t>RAFAEL DOS SANTOS BARBOSA</t>
  </si>
  <si>
    <t>MARIA LUIZA GONCALVES DOS SANTOS</t>
  </si>
  <si>
    <t>RANIELI AVELINO DA SILVA</t>
  </si>
  <si>
    <t>ALINE MELQUIADES DE SOUZA</t>
  </si>
  <si>
    <t>AMANDA CRISTINA DA SILVA</t>
  </si>
  <si>
    <t>CLAUDIA ALVES DOS SANTOS</t>
  </si>
  <si>
    <t>TALITA DOS SANTOS</t>
  </si>
  <si>
    <t>EDUARDA SANTOS MARTINS</t>
  </si>
  <si>
    <t>CRISTHIANO MARQUES BANDEIRA GOMES</t>
  </si>
  <si>
    <t>DANIELE PEREIRA DO NASCIMENTO</t>
  </si>
  <si>
    <t>ISRAEL SENNA PIMENTEL</t>
  </si>
  <si>
    <t>HUMBERTO MANOEL DE LIMA</t>
  </si>
  <si>
    <t>DANIELLE DA SILVA SANTOS</t>
  </si>
  <si>
    <t>ELOA DOS SANTOS COSTA</t>
  </si>
  <si>
    <t>FATIMA CRISTINA RODRIGUES FERREIRA DOS SANTOS</t>
  </si>
  <si>
    <t>ALINE PEDROZA DE SOUZA</t>
  </si>
  <si>
    <t>GRACIELLEN SILVA RODRIGUES</t>
  </si>
  <si>
    <t>HENRIQUE SILVA DOS SANTOS</t>
  </si>
  <si>
    <t>MARCELO HENRIQUE CASTORINO DA CRUZ</t>
  </si>
  <si>
    <t>PAULO HENRIQUE DE SOUSA ARAUJO</t>
  </si>
  <si>
    <t>JOICE DE SOUZA LOPES</t>
  </si>
  <si>
    <t>PATRIQUE DOS SANTOS</t>
  </si>
  <si>
    <t>JULIANA MONTEIRO RIBEIRO</t>
  </si>
  <si>
    <t>RENATO MARTINS DA SILVA</t>
  </si>
  <si>
    <t>PEDRO AUGUSTO DOS SANTOS SILVA</t>
  </si>
  <si>
    <t>JULIO CESAR DOS SANTOS SILVA</t>
  </si>
  <si>
    <t>CASSIO ANDRE DE LIMA</t>
  </si>
  <si>
    <t>YNGRID GABRIELLY DE SOUZA DOS SANTOS</t>
  </si>
  <si>
    <t>REINALDO COSTA RODRIGUES</t>
  </si>
  <si>
    <t>RAMON VALADAO TEREZA</t>
  </si>
  <si>
    <t>MATHEUS FONSECA SANTOS</t>
  </si>
  <si>
    <t>CLAUDIA COSTA DOS SANTOS</t>
  </si>
  <si>
    <t>LAISE FERREIRA CABRAL SILVA CALAZANS</t>
  </si>
  <si>
    <t>ALIENE DOS SANTOS SOUZA</t>
  </si>
  <si>
    <t>LUZIVANIA FERREIRA DIAS</t>
  </si>
  <si>
    <t>MARIA EVANIR GOMES FARIAS</t>
  </si>
  <si>
    <t>RENATA VIANA FERREIRA DOS SANTOS</t>
  </si>
  <si>
    <t>KETHELLEN OLIVEIRA RODRIGUES</t>
  </si>
  <si>
    <t>MURILO GONCALO DE CASTRO DA SILVA</t>
  </si>
  <si>
    <t>JUAN VITOR GOMES MACIEL</t>
  </si>
  <si>
    <t>ISAAC DA SILVA VIEIRA</t>
  </si>
  <si>
    <t>FABIO GOMES SANTANA</t>
  </si>
  <si>
    <t>JEANDERSON ALVES MANOEL</t>
  </si>
  <si>
    <t>MARIA SABRINA ARAUJO DA SILVA</t>
  </si>
  <si>
    <t>CAMILA DE OLIVEIRA MOREIRA</t>
  </si>
  <si>
    <t>JAIR JOSE HONORATO DE SANTANA</t>
  </si>
  <si>
    <t>ROBSON BOSCARINO DE SOUZA</t>
  </si>
  <si>
    <t>ANGELINA DO CARMO BATISTA</t>
  </si>
  <si>
    <t>NILZA MARIANO DE AGUIAR</t>
  </si>
  <si>
    <t>PATRICIA DE LIMA RODRIGUES DA ROCHA</t>
  </si>
  <si>
    <t>MARIA IZABEL MOURA WANDERMUREM</t>
  </si>
  <si>
    <t>ANDERSON VALERIO FELIX RIBEIRO</t>
  </si>
  <si>
    <t>DENILSON MARTINS DE CASTRO</t>
  </si>
  <si>
    <t>EZEQUIEL DA SILVA TRINDADE</t>
  </si>
  <si>
    <t>JEFFERSON VINICIUS PIRES CEZAR</t>
  </si>
  <si>
    <t>KATHLEEN SILVA DOS SANTOS</t>
  </si>
  <si>
    <t>ROGINERIO PIRES CORADELO</t>
  </si>
  <si>
    <t>FABRICIO FERREIRA MENDES DOS SANTOS</t>
  </si>
  <si>
    <t>FRANCISCA LEILA RODRIGUES DE MORAIS</t>
  </si>
  <si>
    <t>ADRIANA DUTRA REYNAUD</t>
  </si>
  <si>
    <t>NICOLY GABRIELLE VIANA SOARES</t>
  </si>
  <si>
    <t>TAYNA SANTOS DA SILVA</t>
  </si>
  <si>
    <t>LETICIA MACHADO RIBEIRO</t>
  </si>
  <si>
    <t>GILSON DE OLIVEIRA DANIEL</t>
  </si>
  <si>
    <t>KAIO SEABRA LEITE</t>
  </si>
  <si>
    <t>KATHELEEN DOS SANTOS LOPES</t>
  </si>
  <si>
    <t>DAVI DOS SANTOS DA SILVA</t>
  </si>
  <si>
    <t>MARCOS FERNANDO GONCALVES SERPA CARDOSO</t>
  </si>
  <si>
    <t>MARIA EDUARDA DA SILVA MENDONCA</t>
  </si>
  <si>
    <t>ERICA GODINHO DE AVILA</t>
  </si>
  <si>
    <t>FABIO MACARIO DA SILVA JUNIOR</t>
  </si>
  <si>
    <t>ROSANGELA SENA ORLANDO</t>
  </si>
  <si>
    <t>FLAVIO CORREIA DA SILVA</t>
  </si>
  <si>
    <t>ALEXANDRA DA SILVA DIAS</t>
  </si>
  <si>
    <t>THAINA CRISTINA PEREIRA RODRIGUES</t>
  </si>
  <si>
    <t>ALEXANDRE DANIEL SILVA CONCEICAO</t>
  </si>
  <si>
    <t>ROBSON LUIZ DA SILVA FLAUSINO</t>
  </si>
  <si>
    <t>JACQUELINE DA SILVA DE OLIVEIRA</t>
  </si>
  <si>
    <t>CARLOS HENRIQUE HENAUT</t>
  </si>
  <si>
    <t>MARCILIA MORAIS DO NASCIMENTO</t>
  </si>
  <si>
    <t>ALAN DA SILVA CAJAZEIRA</t>
  </si>
  <si>
    <t>LUANCY DE ALMEIDA RODRIGUES</t>
  </si>
  <si>
    <t>DESIGNER GRAFICO</t>
  </si>
  <si>
    <t>LUIZ HENRIQUE VIEIRA DE ALMEIDA</t>
  </si>
  <si>
    <t>172.534.507-28</t>
  </si>
  <si>
    <t>01.04.14444255-8</t>
  </si>
  <si>
    <t>213.420.437-07</t>
  </si>
  <si>
    <t>01.04.12815138-2</t>
  </si>
  <si>
    <t>018.336.417-10</t>
  </si>
  <si>
    <t>150.247.737-80</t>
  </si>
  <si>
    <t>01.04.13134397-1</t>
  </si>
  <si>
    <t>156.319.307-81</t>
  </si>
  <si>
    <t>01.04.14618082-8</t>
  </si>
  <si>
    <t>034.148.713-94</t>
  </si>
  <si>
    <t>01.04.16146360-6</t>
  </si>
  <si>
    <t>038.377.397-08</t>
  </si>
  <si>
    <t>01.04.15361344-1</t>
  </si>
  <si>
    <t>095.568.044-12</t>
  </si>
  <si>
    <t>01.04.13976209-4</t>
  </si>
  <si>
    <t>125.730.917-08</t>
  </si>
  <si>
    <t>01.04.15147143-6</t>
  </si>
  <si>
    <t>112.031.417-85</t>
  </si>
  <si>
    <t>01.04.13011355-7</t>
  </si>
  <si>
    <t>121.747.234-76</t>
  </si>
  <si>
    <t>01.04.13477225-3</t>
  </si>
  <si>
    <t>024.865.707-05</t>
  </si>
  <si>
    <t>01.04.08241509-9</t>
  </si>
  <si>
    <t>075.202.507-41</t>
  </si>
  <si>
    <t>01.04.15763848-1</t>
  </si>
  <si>
    <t>988.051.185-91</t>
  </si>
  <si>
    <t>01.04.12273852-7</t>
  </si>
  <si>
    <t>135.515.537-18</t>
  </si>
  <si>
    <t>01.04.12237975-6</t>
  </si>
  <si>
    <t>041.916.627-08</t>
  </si>
  <si>
    <t>01.04.11867929-5</t>
  </si>
  <si>
    <t>170.351.747-45</t>
  </si>
  <si>
    <t>01.04.14258681-1</t>
  </si>
  <si>
    <t>117.695.037-14</t>
  </si>
  <si>
    <t>01.04.15796698-4</t>
  </si>
  <si>
    <t>033.517.627-55</t>
  </si>
  <si>
    <t>01.04.15832610-5</t>
  </si>
  <si>
    <t>162.638.087-21</t>
  </si>
  <si>
    <t>01.04.12304440-5</t>
  </si>
  <si>
    <t>124.232.337-60</t>
  </si>
  <si>
    <t>01.04.08873527-3</t>
  </si>
  <si>
    <t>129.731.017-94</t>
  </si>
  <si>
    <t>01.04.08620520-1</t>
  </si>
  <si>
    <t>096.280.047-35</t>
  </si>
  <si>
    <t>01.04.15833057-9</t>
  </si>
  <si>
    <t>038.636.727-20</t>
  </si>
  <si>
    <t>01.04.08240351-1</t>
  </si>
  <si>
    <t>129.735.507-50</t>
  </si>
  <si>
    <t>01.04.13659136-1</t>
  </si>
  <si>
    <t>150.096.357-71</t>
  </si>
  <si>
    <t>01.04.12257890-2</t>
  </si>
  <si>
    <t>166.098.957-40</t>
  </si>
  <si>
    <t>01.04.12803072-1</t>
  </si>
  <si>
    <t>018.010.397-04</t>
  </si>
  <si>
    <t>01.04.15723634-1</t>
  </si>
  <si>
    <t>154.614.857-40</t>
  </si>
  <si>
    <t>01.04.11968222-2</t>
  </si>
  <si>
    <t>201.754.797-20</t>
  </si>
  <si>
    <t>01.04.14037076-5</t>
  </si>
  <si>
    <t>172.641.017-03</t>
  </si>
  <si>
    <t>01.04.14795460-6</t>
  </si>
  <si>
    <t>162.489.747-99</t>
  </si>
  <si>
    <t>01.04.12728142-8</t>
  </si>
  <si>
    <t>111.752.457-47</t>
  </si>
  <si>
    <t>01.04.08662939-5</t>
  </si>
  <si>
    <t>167.708.687-41</t>
  </si>
  <si>
    <t>01.04.12257425-7</t>
  </si>
  <si>
    <t>163.830.717-26</t>
  </si>
  <si>
    <t>01.04.13863011-9</t>
  </si>
  <si>
    <t>130.811.787-62</t>
  </si>
  <si>
    <t>01.04.12241567-1</t>
  </si>
  <si>
    <t>175.391.447-77</t>
  </si>
  <si>
    <t>01.04.11820722-9</t>
  </si>
  <si>
    <t>135.686.237-30</t>
  </si>
  <si>
    <t>01.04.12137247-2</t>
  </si>
  <si>
    <t>154.726.307-54</t>
  </si>
  <si>
    <t>01.04.13234470-1</t>
  </si>
  <si>
    <t>184.027.567-78</t>
  </si>
  <si>
    <t>01.04.12446174-3</t>
  </si>
  <si>
    <t>167.931.627-30</t>
  </si>
  <si>
    <t>01.04.12571633-8</t>
  </si>
  <si>
    <t>171.743.597-10</t>
  </si>
  <si>
    <t>01.04.12055832-7</t>
  </si>
  <si>
    <t>176.602.007-04</t>
  </si>
  <si>
    <t>01.04.15472221-9</t>
  </si>
  <si>
    <t>188.540.977-05</t>
  </si>
  <si>
    <t>01.04.12373936-5</t>
  </si>
  <si>
    <t>190.165.357-99</t>
  </si>
  <si>
    <t>01.04.14780097-8</t>
  </si>
  <si>
    <t>135.045.537-74</t>
  </si>
  <si>
    <t>01.04.12034645-1</t>
  </si>
  <si>
    <t>069.893.717-14</t>
  </si>
  <si>
    <t>01.04.13667927-7</t>
  </si>
  <si>
    <t>917.986.207-15</t>
  </si>
  <si>
    <t>01.04.15794001-2</t>
  </si>
  <si>
    <t>154.609.437-79</t>
  </si>
  <si>
    <t>01.04.15017119-6</t>
  </si>
  <si>
    <t>185.235.347-33</t>
  </si>
  <si>
    <t>01.04.12419598-9</t>
  </si>
  <si>
    <t>012.174.197-48</t>
  </si>
  <si>
    <t>01.04.16170610-1</t>
  </si>
  <si>
    <t>153.684.577-90</t>
  </si>
  <si>
    <t>01.04.16481978-9</t>
  </si>
  <si>
    <t>164.343.767-40</t>
  </si>
  <si>
    <t>01.04.15882167-1</t>
  </si>
  <si>
    <t>137.982.497-41</t>
  </si>
  <si>
    <t>01.04.11867925-2</t>
  </si>
  <si>
    <t>181.082.127-40</t>
  </si>
  <si>
    <t>01.04.12858322-3</t>
  </si>
  <si>
    <t>171.638.667-55</t>
  </si>
  <si>
    <t>01.04.13060290-6</t>
  </si>
  <si>
    <t>186.607.487-35</t>
  </si>
  <si>
    <t>01.04.12446173-5</t>
  </si>
  <si>
    <t>151.615.597-13</t>
  </si>
  <si>
    <t>01.04.14398704-6</t>
  </si>
  <si>
    <t>089.022.235-58</t>
  </si>
  <si>
    <t>01.04.13255177-2</t>
  </si>
  <si>
    <t>122.992.207-55</t>
  </si>
  <si>
    <t>01.04.15160839-3</t>
  </si>
  <si>
    <t>137.528.197-66</t>
  </si>
  <si>
    <t>01.04.15470107-6</t>
  </si>
  <si>
    <t>028.732.282-37</t>
  </si>
  <si>
    <t>01.04.15971201-7</t>
  </si>
  <si>
    <t>166.223.317-58</t>
  </si>
  <si>
    <t>01.04.13060289-2</t>
  </si>
  <si>
    <t>119.618.987-05</t>
  </si>
  <si>
    <t>01.04.15003731-7</t>
  </si>
  <si>
    <t>083.729.497-51</t>
  </si>
  <si>
    <t>01.04.08294273-1</t>
  </si>
  <si>
    <t>072.212.167-97</t>
  </si>
  <si>
    <t>01.04.12395423-1</t>
  </si>
  <si>
    <t>160.711.387-28</t>
  </si>
  <si>
    <t>01.04.13267226-1</t>
  </si>
  <si>
    <t>192.699.157-51</t>
  </si>
  <si>
    <t>01.04.13779382-1</t>
  </si>
  <si>
    <t>091.775.387-90</t>
  </si>
  <si>
    <t>01.04.12418669-6</t>
  </si>
  <si>
    <t>984.067.107-30</t>
  </si>
  <si>
    <t>01.04.08908660-1</t>
  </si>
  <si>
    <t>169.340.437-07</t>
  </si>
  <si>
    <t>01.04.12237970-5</t>
  </si>
  <si>
    <t>152.411.007-84</t>
  </si>
  <si>
    <t>01.04.16197366-3</t>
  </si>
  <si>
    <t>136.129.537-61</t>
  </si>
  <si>
    <t>01.04.13018396-2</t>
  </si>
  <si>
    <t>032.577.394-78</t>
  </si>
  <si>
    <t>01.04.11867928-7</t>
  </si>
  <si>
    <t>178.508.257-48</t>
  </si>
  <si>
    <t>01.04.15972924-6</t>
  </si>
  <si>
    <t>081.183.417-47</t>
  </si>
  <si>
    <t>01.04.14215628-1</t>
  </si>
  <si>
    <t>162.930.637-16</t>
  </si>
  <si>
    <t>01.04.14813273-1</t>
  </si>
  <si>
    <t>117.096.257-24</t>
  </si>
  <si>
    <t>01.04.12729160-1</t>
  </si>
  <si>
    <t>055.412.017-80</t>
  </si>
  <si>
    <t>01.04.15611323-6</t>
  </si>
  <si>
    <t>028.969.867-74</t>
  </si>
  <si>
    <t>01.04.11982102-8</t>
  </si>
  <si>
    <t>216.295.387-01</t>
  </si>
  <si>
    <t>01.04.13119080-6</t>
  </si>
  <si>
    <t>154.344.937-96</t>
  </si>
  <si>
    <t>01.04.13382174-9</t>
  </si>
  <si>
    <t>126.383.917-78</t>
  </si>
  <si>
    <t>01.04.16333865-5</t>
  </si>
  <si>
    <t>184.923.307-16</t>
  </si>
  <si>
    <t>01.04.12307740-1</t>
  </si>
  <si>
    <t>136.172.827-25</t>
  </si>
  <si>
    <t>01.04.12035693-7</t>
  </si>
  <si>
    <t>154.128.137-39</t>
  </si>
  <si>
    <t>01.04.11924511-6</t>
  </si>
  <si>
    <t>082.407.317-75</t>
  </si>
  <si>
    <t>01.04.13695339-5</t>
  </si>
  <si>
    <t>126.640.617-47</t>
  </si>
  <si>
    <t>01.04.08983523-9</t>
  </si>
  <si>
    <t>177.950.697-03</t>
  </si>
  <si>
    <t>01.04.12816250-3</t>
  </si>
  <si>
    <t>167.624.907-94</t>
  </si>
  <si>
    <t>01.04.12237967-5</t>
  </si>
  <si>
    <t>117.565.484-12</t>
  </si>
  <si>
    <t>01.04.11894296-4</t>
  </si>
  <si>
    <t>179.412.397-01</t>
  </si>
  <si>
    <t>01.04.11935473-1</t>
  </si>
  <si>
    <t>194.159.067-58</t>
  </si>
  <si>
    <t>01.04.11868151-6</t>
  </si>
  <si>
    <t>192.159.867-07</t>
  </si>
  <si>
    <t>01.04.11980607-1</t>
  </si>
  <si>
    <t>068.519.887-12</t>
  </si>
  <si>
    <t>01.04.15161411-3</t>
  </si>
  <si>
    <t>054.385.107-92</t>
  </si>
  <si>
    <t>01.04.15967207-4</t>
  </si>
  <si>
    <t>027.142.127-43</t>
  </si>
  <si>
    <t>01.04.16156398-8</t>
  </si>
  <si>
    <t>088.474.537-63</t>
  </si>
  <si>
    <t>01.04.13636272-9</t>
  </si>
  <si>
    <t>057.808.417-13</t>
  </si>
  <si>
    <t>01.04.15937673-4</t>
  </si>
  <si>
    <t>006.141.437-99</t>
  </si>
  <si>
    <t>01.04.12815139-1</t>
  </si>
  <si>
    <t>145.197.647-00</t>
  </si>
  <si>
    <t>01.04.14414169-8</t>
  </si>
  <si>
    <t>091.406.077-55</t>
  </si>
  <si>
    <t>01.04.15673601-2</t>
  </si>
  <si>
    <t>030.310.157-11</t>
  </si>
  <si>
    <t>01.04.15859196-8</t>
  </si>
  <si>
    <t>121.101.477-09</t>
  </si>
  <si>
    <t>01.04.12446180-8</t>
  </si>
  <si>
    <t>165.477.907-54</t>
  </si>
  <si>
    <t>01.04.12956254-8</t>
  </si>
  <si>
    <t>088.410.897-09</t>
  </si>
  <si>
    <t>01.04.16628996-5</t>
  </si>
  <si>
    <t>030.268.897-84</t>
  </si>
  <si>
    <t>01.04.14813374-6</t>
  </si>
  <si>
    <t>152.814.907-61</t>
  </si>
  <si>
    <t>01.04.12882085-3</t>
  </si>
  <si>
    <t>144.073.687-13</t>
  </si>
  <si>
    <t>01.04.11907838-4</t>
  </si>
  <si>
    <t>189.890.587-83</t>
  </si>
  <si>
    <t>01.04.12100186-5</t>
  </si>
  <si>
    <t>125.064.107-16</t>
  </si>
  <si>
    <t>01.04.16650897-7</t>
  </si>
  <si>
    <t>087.566.147-56</t>
  </si>
  <si>
    <t>01.04.11904980-5</t>
  </si>
  <si>
    <t>089.405.407-43</t>
  </si>
  <si>
    <t>01.04.13185045-8</t>
  </si>
  <si>
    <t>081.844.337-51</t>
  </si>
  <si>
    <t>01.04.12446179-4</t>
  </si>
  <si>
    <t>188.219.137-40</t>
  </si>
  <si>
    <t>01.04.13382172-2</t>
  </si>
  <si>
    <t>107.290.737-26</t>
  </si>
  <si>
    <t>01.04.12804212-5</t>
  </si>
  <si>
    <t>183.477.587-60</t>
  </si>
  <si>
    <t>01.04.14968175-5</t>
  </si>
  <si>
    <t>148.417.487-92</t>
  </si>
  <si>
    <t>01.04.11867930-9</t>
  </si>
  <si>
    <t>199.198.497-90</t>
  </si>
  <si>
    <t>01.04.14792254-2</t>
  </si>
  <si>
    <t>158.894.227-90</t>
  </si>
  <si>
    <t>01.04.14161460-9</t>
  </si>
  <si>
    <t>155.811.497-12</t>
  </si>
  <si>
    <t>01.04.12050926-1</t>
  </si>
  <si>
    <t>059.889.227-32</t>
  </si>
  <si>
    <t>01.04.14495553-9</t>
  </si>
  <si>
    <t>159.487.837-40</t>
  </si>
  <si>
    <t>01.04.14595545-1</t>
  </si>
  <si>
    <t>157.637.427-02</t>
  </si>
  <si>
    <t>01.04.15138965-9</t>
  </si>
  <si>
    <t>171.401.957-81</t>
  </si>
  <si>
    <t>01.04.12571631-1</t>
  </si>
  <si>
    <t>126.535.317-47</t>
  </si>
  <si>
    <t>01.04.12445957-9</t>
  </si>
  <si>
    <t>156.306.237-29</t>
  </si>
  <si>
    <t>01.04.14151523-6</t>
  </si>
  <si>
    <t>176.943.697-95</t>
  </si>
  <si>
    <t>01.04.13391885-8</t>
  </si>
  <si>
    <t>127.536.157-99</t>
  </si>
  <si>
    <t>01.04.11959869-8</t>
  </si>
  <si>
    <t>728.424.667-72</t>
  </si>
  <si>
    <t>01.04.15826638-2</t>
  </si>
  <si>
    <t>157.215.267-26</t>
  </si>
  <si>
    <t>01.04.16286722-1</t>
  </si>
  <si>
    <t>122.961.747-79</t>
  </si>
  <si>
    <t>01.04.12035667-8</t>
  </si>
  <si>
    <t>163.512.007-17</t>
  </si>
  <si>
    <t>01.04.13455747-6</t>
  </si>
  <si>
    <t>121.029.747-74</t>
  </si>
  <si>
    <t>01.04.13733404-4</t>
  </si>
  <si>
    <t>127.444.957-00</t>
  </si>
  <si>
    <t>01.04.13138285-3</t>
  </si>
  <si>
    <t>199.595.297-46</t>
  </si>
  <si>
    <t>01.04.12237966-7</t>
  </si>
  <si>
    <t>196.719.347-90</t>
  </si>
  <si>
    <t>01.04.13750888-3</t>
  </si>
  <si>
    <t>173.353.657-40</t>
  </si>
  <si>
    <t>01.04.13274821-5</t>
  </si>
  <si>
    <t>170.601.017-64</t>
  </si>
  <si>
    <t>01.04.12137245-6</t>
  </si>
  <si>
    <t>210.722.177-40</t>
  </si>
  <si>
    <t>01.04.13204246-1</t>
  </si>
  <si>
    <t>155.807.917-39</t>
  </si>
  <si>
    <t>01.04.13208340-1</t>
  </si>
  <si>
    <t>173.982.487-33</t>
  </si>
  <si>
    <t>01.04.13208341-8</t>
  </si>
  <si>
    <t>186.813.427-03</t>
  </si>
  <si>
    <t>01.04.13049316-3</t>
  </si>
  <si>
    <t>094.403.507-84</t>
  </si>
  <si>
    <t>01.04.13208336-1</t>
  </si>
  <si>
    <t>204.512.737-02</t>
  </si>
  <si>
    <t>01.04.12728134-7</t>
  </si>
  <si>
    <t>200.820.587-84</t>
  </si>
  <si>
    <t>01.04.12522709-4</t>
  </si>
  <si>
    <t>205.882.847-00</t>
  </si>
  <si>
    <t>01.04.13049319-8</t>
  </si>
  <si>
    <t>154.996.787-82</t>
  </si>
  <si>
    <t>01.04.12035697-1</t>
  </si>
  <si>
    <t>205.065.937-70</t>
  </si>
  <si>
    <t>01.04.12745905-7</t>
  </si>
  <si>
    <t>224.596.807-75</t>
  </si>
  <si>
    <t>01.04.11968220-6</t>
  </si>
  <si>
    <t>158.318.697-25</t>
  </si>
  <si>
    <t>01.04.12765303-1</t>
  </si>
  <si>
    <t>966.000.717-53</t>
  </si>
  <si>
    <t>01.04.16719633-2</t>
  </si>
  <si>
    <t>128.536.187-30</t>
  </si>
  <si>
    <t>01.04.12956265-3</t>
  </si>
  <si>
    <t>183.873.877-03</t>
  </si>
  <si>
    <t>01.04.12794397-8</t>
  </si>
  <si>
    <t>184.340.697-76</t>
  </si>
  <si>
    <t>01.04.12993231-1</t>
  </si>
  <si>
    <t>218.200.757-10</t>
  </si>
  <si>
    <t>01.04.12973829-8</t>
  </si>
  <si>
    <t>139.986.797-07</t>
  </si>
  <si>
    <t>01.04.15158839-2</t>
  </si>
  <si>
    <t>192.383.327-89</t>
  </si>
  <si>
    <t>01.04.12614988-7</t>
  </si>
  <si>
    <t>170.731.047-59</t>
  </si>
  <si>
    <t>01.04.11867917-1</t>
  </si>
  <si>
    <t>186.425.977-98</t>
  </si>
  <si>
    <t>01.04.12614990-9</t>
  </si>
  <si>
    <t>078.365.164-31</t>
  </si>
  <si>
    <t>01.04.13545172-8</t>
  </si>
  <si>
    <t>196.064.767-90</t>
  </si>
  <si>
    <t>01.04.11904979-1</t>
  </si>
  <si>
    <t>126.411.377-39</t>
  </si>
  <si>
    <t>01.04.15089765-1</t>
  </si>
  <si>
    <t>156.615.967-90</t>
  </si>
  <si>
    <t>01.04.12522467-2</t>
  </si>
  <si>
    <t>109.852.007-66</t>
  </si>
  <si>
    <t>01.04.12903149-6</t>
  </si>
  <si>
    <t>189.884.607-31</t>
  </si>
  <si>
    <t>01.04.15700726-1</t>
  </si>
  <si>
    <t>192.622.867-75</t>
  </si>
  <si>
    <t>01.04.12746209-1</t>
  </si>
  <si>
    <t>160.091.767-43</t>
  </si>
  <si>
    <t>01.04.15953681-2</t>
  </si>
  <si>
    <t>154.167.497-92</t>
  </si>
  <si>
    <t>01.04.12116309-1</t>
  </si>
  <si>
    <t>025.411.667-10</t>
  </si>
  <si>
    <t>01.04.12373736-2</t>
  </si>
  <si>
    <t>008.719.015-01</t>
  </si>
  <si>
    <t>01.04.14237268-4</t>
  </si>
  <si>
    <t>066.536.217-07</t>
  </si>
  <si>
    <t>01.04.12450253-9</t>
  </si>
  <si>
    <t>127.924.257-41</t>
  </si>
  <si>
    <t>01.04.16488766-1</t>
  </si>
  <si>
    <t>207.492.337-61</t>
  </si>
  <si>
    <t>01.04.12376700-8</t>
  </si>
  <si>
    <t>208.654.487-10</t>
  </si>
  <si>
    <t>01.04.12035461-6</t>
  </si>
  <si>
    <t>858.489.985-58</t>
  </si>
  <si>
    <t>01.04.12222293-8</t>
  </si>
  <si>
    <t>174.405.617-08</t>
  </si>
  <si>
    <t>01.04.15241073-2</t>
  </si>
  <si>
    <t>183.545.377-57</t>
  </si>
  <si>
    <t>01.04.12194296-1</t>
  </si>
  <si>
    <t>120.674.997-00</t>
  </si>
  <si>
    <t>01.04.14970120-9</t>
  </si>
  <si>
    <t>186.192.417-88</t>
  </si>
  <si>
    <t>01.04.12106372-1</t>
  </si>
  <si>
    <t>083.442.367-70</t>
  </si>
  <si>
    <t>01.04.11891350-6</t>
  </si>
  <si>
    <t>143.208.847-52</t>
  </si>
  <si>
    <t>01.04.12106376-3</t>
  </si>
  <si>
    <t>111.135.817-60</t>
  </si>
  <si>
    <t>01.04.12117027-6</t>
  </si>
  <si>
    <t>140.279.497-57</t>
  </si>
  <si>
    <t>01.04.12724649-5</t>
  </si>
  <si>
    <t>169.743.327-85</t>
  </si>
  <si>
    <t>01.04.12124598-5</t>
  </si>
  <si>
    <t>176.856.427-27</t>
  </si>
  <si>
    <t>01.04.12139781-5</t>
  </si>
  <si>
    <t>194.606.217-08</t>
  </si>
  <si>
    <t>01.04.12139780-7</t>
  </si>
  <si>
    <t>864.740.875-60</t>
  </si>
  <si>
    <t>01.04.11851870-4</t>
  </si>
  <si>
    <t>154.189.707-20</t>
  </si>
  <si>
    <t>01.04.11891343-3</t>
  </si>
  <si>
    <t>167.098.327-75</t>
  </si>
  <si>
    <t>01.04.11894298-1</t>
  </si>
  <si>
    <t>185.277.217-40</t>
  </si>
  <si>
    <t>01.04.11968221-4</t>
  </si>
  <si>
    <t>208.029.367-25</t>
  </si>
  <si>
    <t>01.04.12014666-5</t>
  </si>
  <si>
    <t>204.885.537-76</t>
  </si>
  <si>
    <t>01.04.11915950-3</t>
  </si>
  <si>
    <t>226.112.477-57</t>
  </si>
  <si>
    <t>01.04.11921705-8</t>
  </si>
  <si>
    <t>196.692.267-16</t>
  </si>
  <si>
    <t>01.04.12157513-6</t>
  </si>
  <si>
    <t>160.193.587-04</t>
  </si>
  <si>
    <t>01.04.12162522-2</t>
  </si>
  <si>
    <t>081.079.457-86</t>
  </si>
  <si>
    <t>01.04.13242529-7</t>
  </si>
  <si>
    <t>149.295.997-92</t>
  </si>
  <si>
    <t>01.04.12050911-3</t>
  </si>
  <si>
    <t>173.647.087-66</t>
  </si>
  <si>
    <t>01.04.12071998-3</t>
  </si>
  <si>
    <t>216.044.347-67</t>
  </si>
  <si>
    <t>01.04.12013100-5</t>
  </si>
  <si>
    <t>176.752.967-88</t>
  </si>
  <si>
    <t>01.04.11831486-6</t>
  </si>
  <si>
    <t>116.226.807-74</t>
  </si>
  <si>
    <t>199.066.987-56</t>
  </si>
  <si>
    <t>01.04.11820727-1</t>
  </si>
  <si>
    <t>065.963.817-73</t>
  </si>
  <si>
    <t>01.04.11851871-2</t>
  </si>
  <si>
    <t>178.739.227-90</t>
  </si>
  <si>
    <t>01.04.11963774-1</t>
  </si>
  <si>
    <t>123.724.177-46</t>
  </si>
  <si>
    <t>01.04.11820721-1</t>
  </si>
  <si>
    <t>184.438.097-10</t>
  </si>
  <si>
    <t>01.04.11963714-6</t>
  </si>
  <si>
    <t>082.579.017-41</t>
  </si>
  <si>
    <t>01.04.12425636-8</t>
  </si>
  <si>
    <t>171.532.877-95</t>
  </si>
  <si>
    <t>01.04.12406298-9</t>
  </si>
  <si>
    <t>140.400.477-70</t>
  </si>
  <si>
    <t>170.440.667-63</t>
  </si>
  <si>
    <t>01.04.12550481-1</t>
  </si>
  <si>
    <t>096.765.757-12</t>
  </si>
  <si>
    <t>062.715.687-85</t>
  </si>
  <si>
    <t>01.04.12819508-8</t>
  </si>
  <si>
    <t>021.358.877-30</t>
  </si>
  <si>
    <t>01.04.15786744-7</t>
  </si>
  <si>
    <t>059.128.207-00</t>
  </si>
  <si>
    <t>01.04.14386021-6</t>
  </si>
  <si>
    <t>167.042.147-39</t>
  </si>
  <si>
    <t>01.04.13498259-2</t>
  </si>
  <si>
    <t>168.594.927-40</t>
  </si>
  <si>
    <t>01.04.15078560-7</t>
  </si>
  <si>
    <t>112.778.297-56</t>
  </si>
  <si>
    <t>01.04.08885087-1</t>
  </si>
  <si>
    <t>193.564.537-48</t>
  </si>
  <si>
    <t>01.04.12353147-1</t>
  </si>
  <si>
    <t>090.147.457-61</t>
  </si>
  <si>
    <t>01.04.16079278-9</t>
  </si>
  <si>
    <t>116.297.797-33</t>
  </si>
  <si>
    <t>01.04.12249950-6</t>
  </si>
  <si>
    <t>117.140.667-38</t>
  </si>
  <si>
    <t>01.04.11982405-1</t>
  </si>
  <si>
    <t>032.668.177-96</t>
  </si>
  <si>
    <t>01.04.08215874-6</t>
  </si>
  <si>
    <t>191.732.487-11</t>
  </si>
  <si>
    <t>01.04.11967859-4</t>
  </si>
  <si>
    <t>184.291.297-66</t>
  </si>
  <si>
    <t>01.04.11894297-2</t>
  </si>
  <si>
    <t>131.340.407-19</t>
  </si>
  <si>
    <t>01.04.12257892-9</t>
  </si>
  <si>
    <t>084.555.867-61</t>
  </si>
  <si>
    <t>01.04.12050909-1</t>
  </si>
  <si>
    <t>082.995.817-70</t>
  </si>
  <si>
    <t>01.04.14227049-1</t>
  </si>
  <si>
    <t>717.653.603-15</t>
  </si>
  <si>
    <t>01.04.12446176-1</t>
  </si>
  <si>
    <t>102.733.397-45</t>
  </si>
  <si>
    <t>01.04.14872657-7</t>
  </si>
  <si>
    <t>902.925.107-72</t>
  </si>
  <si>
    <t>01.04.12035696-1</t>
  </si>
  <si>
    <t>209.318.037-56</t>
  </si>
  <si>
    <t>01.04.12019104-1</t>
  </si>
  <si>
    <t>141.159.467-33</t>
  </si>
  <si>
    <t>01.04.11868154-1</t>
  </si>
  <si>
    <t>163.922.917-50</t>
  </si>
  <si>
    <t>01.04.11963776-6</t>
  </si>
  <si>
    <t>168.642.017-08</t>
  </si>
  <si>
    <t>01.04.13757633-1</t>
  </si>
  <si>
    <t>904.841.187-49</t>
  </si>
  <si>
    <t>01.04.13400674-7</t>
  </si>
  <si>
    <t>040.826.615-57</t>
  </si>
  <si>
    <t>01.04.15938734-5</t>
  </si>
  <si>
    <t>047.885.427-73</t>
  </si>
  <si>
    <t>01.04.11896828-9</t>
  </si>
  <si>
    <t>103.276.687-50</t>
  </si>
  <si>
    <t>01.04.14134775-9</t>
  </si>
  <si>
    <t>141.589.927-45</t>
  </si>
  <si>
    <t>01.04.08596718-1</t>
  </si>
  <si>
    <t>151.343.617-11</t>
  </si>
  <si>
    <t>01.04.12803075-5</t>
  </si>
  <si>
    <t>036.162.177-92</t>
  </si>
  <si>
    <t>01.04.08929378-9</t>
  </si>
  <si>
    <t>023.918.627-33</t>
  </si>
  <si>
    <t>01.04.08687704-6</t>
  </si>
  <si>
    <t>169.647.417-55</t>
  </si>
  <si>
    <t>01.04.08719745-6</t>
  </si>
  <si>
    <t>165.350.117-04</t>
  </si>
  <si>
    <t>01.04.15642151-8</t>
  </si>
  <si>
    <t>027.434.757-14</t>
  </si>
  <si>
    <t>01.04.13674395-1</t>
  </si>
  <si>
    <t>145.687.757-79</t>
  </si>
  <si>
    <t>01.04.15611858-1</t>
  </si>
  <si>
    <t>124.700.857-64</t>
  </si>
  <si>
    <t>01.04.15954445-9</t>
  </si>
  <si>
    <t>114.762.877-75</t>
  </si>
  <si>
    <t>01.04.15187515-4</t>
  </si>
  <si>
    <t>110.382.307-80</t>
  </si>
  <si>
    <t>01.04.16425535-4</t>
  </si>
  <si>
    <t>181.673.507-89</t>
  </si>
  <si>
    <t>01.04.13361627-4</t>
  </si>
  <si>
    <t>148.544.637-67</t>
  </si>
  <si>
    <t>01.04.12446182-4</t>
  </si>
  <si>
    <t>163.770.637-50</t>
  </si>
  <si>
    <t>01.04.13795632-1</t>
  </si>
  <si>
    <t>162.333.477-26</t>
  </si>
  <si>
    <t>01.04.12373938-1</t>
  </si>
  <si>
    <t>137.373.857-00</t>
  </si>
  <si>
    <t>01.04.12880654-1</t>
  </si>
  <si>
    <t>125.632.147-85</t>
  </si>
  <si>
    <t>01.04.08884242-8</t>
  </si>
  <si>
    <t>155.941.387-57</t>
  </si>
  <si>
    <t>01.04.16344119-7</t>
  </si>
  <si>
    <t>131.769.417-14</t>
  </si>
  <si>
    <t>01.04.13905617-3</t>
  </si>
  <si>
    <t>540.680.008-67</t>
  </si>
  <si>
    <t>01.04.11867926-1</t>
  </si>
  <si>
    <t>087.299.957-28</t>
  </si>
  <si>
    <t>01.04.13924609-6</t>
  </si>
  <si>
    <t>096.489.007-01</t>
  </si>
  <si>
    <t>01.04.12180723-1</t>
  </si>
  <si>
    <t>145.808.517-14</t>
  </si>
  <si>
    <t>01.04.15870459-2</t>
  </si>
  <si>
    <t>092.391.517-61</t>
  </si>
  <si>
    <t>01.04.08765821-6</t>
  </si>
  <si>
    <t>014.527.357-19</t>
  </si>
  <si>
    <t>01.04.12993228-1</t>
  </si>
  <si>
    <t>030.122.547-81</t>
  </si>
  <si>
    <t>01.04.08922151-6</t>
  </si>
  <si>
    <t>086.332.337-54</t>
  </si>
  <si>
    <t>01.04.12237969-1</t>
  </si>
  <si>
    <t>051.550.487-45</t>
  </si>
  <si>
    <t>01.04.12054316-8</t>
  </si>
  <si>
    <t>129.519.227-60</t>
  </si>
  <si>
    <t>01.04.12050910-5</t>
  </si>
  <si>
    <t>148.077.117-17</t>
  </si>
  <si>
    <t>01.04.13503296-2</t>
  </si>
  <si>
    <t>926.453.647-72</t>
  </si>
  <si>
    <t>01.04.16031437-2</t>
  </si>
  <si>
    <t>180.815.287-50</t>
  </si>
  <si>
    <t>01.04.12141790-5</t>
  </si>
  <si>
    <t>106.529.677-01</t>
  </si>
  <si>
    <t>01.04.12162521-4</t>
  </si>
  <si>
    <t>206.476.007-57</t>
  </si>
  <si>
    <t>01.04.12260646-9</t>
  </si>
  <si>
    <t>147.757.617-73</t>
  </si>
  <si>
    <t>01.04.11820728-8</t>
  </si>
  <si>
    <t>017.948.327-77</t>
  </si>
  <si>
    <t>01.04.15686965-9</t>
  </si>
  <si>
    <t>146.367.547-00</t>
  </si>
  <si>
    <t>01.04.15686964-1</t>
  </si>
  <si>
    <t>131.643.387-08</t>
  </si>
  <si>
    <t>01.04.15824728-1</t>
  </si>
  <si>
    <t>180.894.597-22</t>
  </si>
  <si>
    <t>01.04.15733468-6</t>
  </si>
  <si>
    <t>014.309.064-05</t>
  </si>
  <si>
    <t>01.04.16593774-2</t>
  </si>
  <si>
    <t>180.846.197-56</t>
  </si>
  <si>
    <t>01.04.11867931-7</t>
  </si>
  <si>
    <t>168.092.677-27</t>
  </si>
  <si>
    <t>01.04.11831489-1</t>
  </si>
  <si>
    <t>130.126.427-06</t>
  </si>
  <si>
    <t>01.04.11921699-1</t>
  </si>
  <si>
    <t>104.653.437-83</t>
  </si>
  <si>
    <t>01.04.08789954-1</t>
  </si>
  <si>
    <t>495.711.090-53</t>
  </si>
  <si>
    <t>01.04.15735317-6</t>
  </si>
  <si>
    <t>128.586.577-42</t>
  </si>
  <si>
    <t>01.04.11906257-7</t>
  </si>
  <si>
    <t>175.434.637-50</t>
  </si>
  <si>
    <t>01.04.11980605-3</t>
  </si>
  <si>
    <t>128.472.617-70</t>
  </si>
  <si>
    <t>01.04.11820725-3</t>
  </si>
  <si>
    <t>203.283.317-40</t>
  </si>
  <si>
    <t>01.04.11868155-9</t>
  </si>
  <si>
    <t>152.264.027-40</t>
  </si>
  <si>
    <t>01.04.12460437-4</t>
  </si>
  <si>
    <t>223.694.697-06</t>
  </si>
  <si>
    <t>01.04.13498888-4</t>
  </si>
  <si>
    <t>212.685.707-70</t>
  </si>
  <si>
    <t>01.04.13490537-7</t>
  </si>
  <si>
    <t>009.357.117-83</t>
  </si>
  <si>
    <t>01.04.12353149-7</t>
  </si>
  <si>
    <t>024.228.957-60</t>
  </si>
  <si>
    <t>01.04.13369314-7</t>
  </si>
  <si>
    <t>013.701.397-30</t>
  </si>
  <si>
    <t>01.04.08743892-5</t>
  </si>
  <si>
    <t>059.351.987-62</t>
  </si>
  <si>
    <t>01.04.16463123-2</t>
  </si>
  <si>
    <t>005.859.017-08</t>
  </si>
  <si>
    <t>01.04.16256807-1</t>
  </si>
  <si>
    <t>105.633.787-78</t>
  </si>
  <si>
    <t>01.04.15763426-4</t>
  </si>
  <si>
    <t>207.863.497-27</t>
  </si>
  <si>
    <t>01.04.16710798-4</t>
  </si>
  <si>
    <t>105.889.744-63</t>
  </si>
  <si>
    <t>01.04.08315446-9</t>
  </si>
  <si>
    <t>015.593.837-12</t>
  </si>
  <si>
    <t>01.04.12444842-9</t>
  </si>
  <si>
    <t>089.211.097-06</t>
  </si>
  <si>
    <t>01.04.08706073-6</t>
  </si>
  <si>
    <t>192.268.867-33</t>
  </si>
  <si>
    <t>01.04.14715138-4</t>
  </si>
  <si>
    <t>097.146.017-54</t>
  </si>
  <si>
    <t>01.04.14017307-2</t>
  </si>
  <si>
    <t>206.458.777-27</t>
  </si>
  <si>
    <t>01.04.11906264-1</t>
  </si>
  <si>
    <t>164.161.537-00</t>
  </si>
  <si>
    <t>01.04.13050687-7</t>
  </si>
  <si>
    <t>128.862.057-88</t>
  </si>
  <si>
    <t>01.04.13014533-5</t>
  </si>
  <si>
    <t>187.722.177-58</t>
  </si>
  <si>
    <t>01.04.11973957-7</t>
  </si>
  <si>
    <t>203.126.667-56</t>
  </si>
  <si>
    <t>01.04.12655359-9</t>
  </si>
  <si>
    <t>180.490.927-04</t>
  </si>
  <si>
    <t>01.04.12716257-7</t>
  </si>
  <si>
    <t>194.557.007-51</t>
  </si>
  <si>
    <t>01.04.13940875-4</t>
  </si>
  <si>
    <t>197.739.297-01</t>
  </si>
  <si>
    <t>01.04.12832481-3</t>
  </si>
  <si>
    <t>065.787.427-27</t>
  </si>
  <si>
    <t>01.04.13789207-1</t>
  </si>
  <si>
    <t>132.469.287-11</t>
  </si>
  <si>
    <t>01.04.12110894-5</t>
  </si>
  <si>
    <t>132.283.807-00</t>
  </si>
  <si>
    <t>01.04.15398672-7</t>
  </si>
  <si>
    <t>149.986.957-62</t>
  </si>
  <si>
    <t>01.04.15099380-3</t>
  </si>
  <si>
    <t>137.901.367-43</t>
  </si>
  <si>
    <t>01.04.12038616-1</t>
  </si>
  <si>
    <t>095.687.597-19</t>
  </si>
  <si>
    <t>01.04.12992891-7</t>
  </si>
  <si>
    <t>095.132.847-60</t>
  </si>
  <si>
    <t>01.04.13876764-5</t>
  </si>
  <si>
    <t>138.246.847-48</t>
  </si>
  <si>
    <t>01.04.11820726-1</t>
  </si>
  <si>
    <t>092.103.247-14</t>
  </si>
  <si>
    <t>01.04.15133337-8</t>
  </si>
  <si>
    <t>071.428.487-40</t>
  </si>
  <si>
    <t>01.04.13134393-9</t>
  </si>
  <si>
    <t>201.717.827-63</t>
  </si>
  <si>
    <t>01.04.12344543-4</t>
  </si>
  <si>
    <t>805.095.177-49</t>
  </si>
  <si>
    <t>01.04.12543965-2</t>
  </si>
  <si>
    <t>130.625.617-85</t>
  </si>
  <si>
    <t>01.04.12951836-1</t>
  </si>
  <si>
    <t>230.149.507-85</t>
  </si>
  <si>
    <t>01.04.12800862-8</t>
  </si>
  <si>
    <t>212.304.227-73</t>
  </si>
  <si>
    <t>01.04.11901974-4</t>
  </si>
  <si>
    <t>219.725.807-95</t>
  </si>
  <si>
    <t>01.04.11901973-6</t>
  </si>
  <si>
    <t>189.080.217-44</t>
  </si>
  <si>
    <t>01.04.11935475-6</t>
  </si>
  <si>
    <t>216.444.227-00</t>
  </si>
  <si>
    <t>01.04.12038615-1</t>
  </si>
  <si>
    <t>023.752.957-22</t>
  </si>
  <si>
    <t>01.04.11935474-8</t>
  </si>
  <si>
    <t>203.860.277-81</t>
  </si>
  <si>
    <t>01.04.11935479-9</t>
  </si>
  <si>
    <t>229.592.107-43</t>
  </si>
  <si>
    <t>01.04.11935478-1</t>
  </si>
  <si>
    <t>088.559.467-30</t>
  </si>
  <si>
    <t>01.04.13063127-2</t>
  </si>
  <si>
    <t>219.657.937-89</t>
  </si>
  <si>
    <t>01.04.11935477-2</t>
  </si>
  <si>
    <t>419.772.974-04</t>
  </si>
  <si>
    <t>01.04.12239334-1</t>
  </si>
  <si>
    <t>165.750.827-77</t>
  </si>
  <si>
    <t>01.04.12956262-9</t>
  </si>
  <si>
    <t>159.006.237-00</t>
  </si>
  <si>
    <t>01.04.13635082-8</t>
  </si>
  <si>
    <t>159.665.947-59</t>
  </si>
  <si>
    <t>01.04.15803858-4</t>
  </si>
  <si>
    <t>205.429.217-66</t>
  </si>
  <si>
    <t>01.04.13267228-6</t>
  </si>
  <si>
    <t>166.871.667-43</t>
  </si>
  <si>
    <t>01.04.16480568-1</t>
  </si>
  <si>
    <t>016.243.067-13</t>
  </si>
  <si>
    <t>01.04.12512680-8</t>
  </si>
  <si>
    <t>874.551.457-72</t>
  </si>
  <si>
    <t>01.04.11973956-9</t>
  </si>
  <si>
    <t>036.302.707-60</t>
  </si>
  <si>
    <t>01.04.13815852-5</t>
  </si>
  <si>
    <t>185.692.237-57</t>
  </si>
  <si>
    <t>01.04.14858395-4</t>
  </si>
  <si>
    <t>176.740.357-78</t>
  </si>
  <si>
    <t>01.04.14330966-8</t>
  </si>
  <si>
    <t>129.162.527-54</t>
  </si>
  <si>
    <t>01.04.14204437-7</t>
  </si>
  <si>
    <t>178.191.777-99</t>
  </si>
  <si>
    <t>01.04.13028699-1</t>
  </si>
  <si>
    <t>115.633.437-38</t>
  </si>
  <si>
    <t>01.04.11906265-8</t>
  </si>
  <si>
    <t>188.829.137-08</t>
  </si>
  <si>
    <t>01.04.12450257-1</t>
  </si>
  <si>
    <t>209.384.747-74</t>
  </si>
  <si>
    <t>01.04.12077305-8</t>
  </si>
  <si>
    <t>221.930.747-63</t>
  </si>
  <si>
    <t>01.04.12038614-3</t>
  </si>
  <si>
    <t>038.580.037-19</t>
  </si>
  <si>
    <t>01.04.11980606-1</t>
  </si>
  <si>
    <t>186.469.527-70</t>
  </si>
  <si>
    <t>01.04.14119613-1</t>
  </si>
  <si>
    <t>136.849.217-77</t>
  </si>
  <si>
    <t>01.04.12106378-1</t>
  </si>
  <si>
    <t>164.231.457-92</t>
  </si>
  <si>
    <t>01.04.12615263-2</t>
  </si>
  <si>
    <t>082.914.397-10</t>
  </si>
  <si>
    <t>01.04.11831488-2</t>
  </si>
  <si>
    <t>214.382.877-20</t>
  </si>
  <si>
    <t>01.04.12194297-1</t>
  </si>
  <si>
    <t>025.827.207-47</t>
  </si>
  <si>
    <t>173.268.157-04</t>
  </si>
  <si>
    <t>01.04.15846016-2</t>
  </si>
  <si>
    <t>090.939.787-21</t>
  </si>
  <si>
    <t>01.04.12239333-3</t>
  </si>
  <si>
    <t>108.292.627-25</t>
  </si>
  <si>
    <t>01.04.13988233-2</t>
  </si>
  <si>
    <t>094.160.337-74</t>
  </si>
  <si>
    <t>01.04.15707728-4</t>
  </si>
  <si>
    <t>110.661.577-82</t>
  </si>
  <si>
    <t>01.04.12906274-1</t>
  </si>
  <si>
    <t>959.797.437-15</t>
  </si>
  <si>
    <t>01.04.12038620-8</t>
  </si>
  <si>
    <t>036.467.907-76</t>
  </si>
  <si>
    <t>01.04.15563476-3</t>
  </si>
  <si>
    <t>097.192.694-80</t>
  </si>
  <si>
    <t>01.04.13050691-5</t>
  </si>
  <si>
    <t>083.026.257-10</t>
  </si>
  <si>
    <t>01.04.12019101-6</t>
  </si>
  <si>
    <t>140.209.767-08</t>
  </si>
  <si>
    <t>01.04.12951811-5</t>
  </si>
  <si>
    <t>087.204.277-43</t>
  </si>
  <si>
    <t>01.04.14965015-9</t>
  </si>
  <si>
    <t>194.384.977-30</t>
  </si>
  <si>
    <t>01.04.12025378-1</t>
  </si>
  <si>
    <t>227.693.097-73</t>
  </si>
  <si>
    <t>01.04.13374596-1</t>
  </si>
  <si>
    <t>109.094.507-81</t>
  </si>
  <si>
    <t>01.04.12010789-9</t>
  </si>
  <si>
    <t>091.625.687-10</t>
  </si>
  <si>
    <t>01.04.12071216-4</t>
  </si>
  <si>
    <t>058.164.257-06</t>
  </si>
  <si>
    <t>01.04.12071218-1</t>
  </si>
  <si>
    <t>081.805.377-14</t>
  </si>
  <si>
    <t>01.04.08842922-9</t>
  </si>
  <si>
    <t>111.038.277-40</t>
  </si>
  <si>
    <t>01.04.12027575-9</t>
  </si>
  <si>
    <t>091.020.157-90</t>
  </si>
  <si>
    <t>01.04.12248669-2</t>
  </si>
  <si>
    <t>073.460.397-50</t>
  </si>
  <si>
    <t>01.04.13786366-7</t>
  </si>
  <si>
    <t>164.401.727-00</t>
  </si>
  <si>
    <t>01.04.11945059-3</t>
  </si>
  <si>
    <t>056.576.757-70</t>
  </si>
  <si>
    <t>01.04.13512494-8</t>
  </si>
  <si>
    <t>187.447.087-18</t>
  </si>
  <si>
    <t>01.04.12081356-4</t>
  </si>
  <si>
    <t>160.660.457-09</t>
  </si>
  <si>
    <t>01.04.08310889-1</t>
  </si>
  <si>
    <t>141.408.187-19</t>
  </si>
  <si>
    <t>01.04.13465713-6</t>
  </si>
  <si>
    <t>061.246.437-74</t>
  </si>
  <si>
    <t>01.04.12803069-1</t>
  </si>
  <si>
    <t>110.481.897-32</t>
  </si>
  <si>
    <t>01.04.13018381-4</t>
  </si>
  <si>
    <t>231.130.367-80</t>
  </si>
  <si>
    <t>01.04.11976655-8</t>
  </si>
  <si>
    <t>037.699.067-80</t>
  </si>
  <si>
    <t>01.04.15973516-5</t>
  </si>
  <si>
    <t>130.027.707-60</t>
  </si>
  <si>
    <t>01.04.11904975-9</t>
  </si>
  <si>
    <t>190.520.347-02</t>
  </si>
  <si>
    <t>01.04.15197646-5</t>
  </si>
  <si>
    <t>172.536.047-09</t>
  </si>
  <si>
    <t>01.04.12139776-9</t>
  </si>
  <si>
    <t>119.454.237-90</t>
  </si>
  <si>
    <t>01.04.12993229-9</t>
  </si>
  <si>
    <t>103.254.327-24</t>
  </si>
  <si>
    <t>01.04.16227824-1</t>
  </si>
  <si>
    <t>044.794.427-40</t>
  </si>
  <si>
    <t>01.04.16142291-8</t>
  </si>
  <si>
    <t>134.384.057-09</t>
  </si>
  <si>
    <t>01.04.08770953-8</t>
  </si>
  <si>
    <t>042.701.557-01</t>
  </si>
  <si>
    <t>01.04.15160167-4</t>
  </si>
  <si>
    <t>073.515.227-66</t>
  </si>
  <si>
    <t>01.04.15659786-1</t>
  </si>
  <si>
    <t>036.039.307-11</t>
  </si>
  <si>
    <t>01.04.15779629-9</t>
  </si>
  <si>
    <t>212.523.477-74</t>
  </si>
  <si>
    <t>01.04.13529048-1</t>
  </si>
  <si>
    <t>158.053.437-62</t>
  </si>
  <si>
    <t>01.04.12063117-2</t>
  </si>
  <si>
    <t>145.153.567-80</t>
  </si>
  <si>
    <t>01.04.14919008-5</t>
  </si>
  <si>
    <t>011.877.447-60</t>
  </si>
  <si>
    <t>01.04.13117931-4</t>
  </si>
  <si>
    <t>150.759.457-75</t>
  </si>
  <si>
    <t>01.04.13067137-1</t>
  </si>
  <si>
    <t>152.234.657-09</t>
  </si>
  <si>
    <t>01.04.12902391-4</t>
  </si>
  <si>
    <t>164.020.677-92</t>
  </si>
  <si>
    <t>01.04.12906759-8</t>
  </si>
  <si>
    <t>200.678.497-84</t>
  </si>
  <si>
    <t>01.04.11859988-7</t>
  </si>
  <si>
    <t>173.056.217-57</t>
  </si>
  <si>
    <t>01.04.12785987-1</t>
  </si>
  <si>
    <t>126.019.487-60</t>
  </si>
  <si>
    <t>01.04.12940230-3</t>
  </si>
  <si>
    <t>127.759.497-03</t>
  </si>
  <si>
    <t>01.04.12770252-1</t>
  </si>
  <si>
    <t>144.764.737-84</t>
  </si>
  <si>
    <t>01.04.12770398-5</t>
  </si>
  <si>
    <t>167.905.597-60</t>
  </si>
  <si>
    <t>01.04.12783097-9</t>
  </si>
  <si>
    <t>200.847.997-81</t>
  </si>
  <si>
    <t>01.04.13932364-3</t>
  </si>
  <si>
    <t>184.093.577-47</t>
  </si>
  <si>
    <t>01.04.12728183-5</t>
  </si>
  <si>
    <t>229.761.457-84</t>
  </si>
  <si>
    <t>01.04.12749370-1</t>
  </si>
  <si>
    <t>185.133.617-63</t>
  </si>
  <si>
    <t>01.04.14558226-4</t>
  </si>
  <si>
    <t>123.458.897-80</t>
  </si>
  <si>
    <t>01.04.12715834-1</t>
  </si>
  <si>
    <t>163.795.287-25</t>
  </si>
  <si>
    <t>01.04.14069705-5</t>
  </si>
  <si>
    <t>199.057.087-90</t>
  </si>
  <si>
    <t>01.04.12470013-6</t>
  </si>
  <si>
    <t>198.031.287-79</t>
  </si>
  <si>
    <t>01.04.15177471-4</t>
  </si>
  <si>
    <t>128.437.877-26</t>
  </si>
  <si>
    <t>01.04.12483039-1</t>
  </si>
  <si>
    <t>164.528.697-52</t>
  </si>
  <si>
    <t>01.04.12477231-5</t>
  </si>
  <si>
    <t>191.973.547-08</t>
  </si>
  <si>
    <t>01.04.12135715-5</t>
  </si>
  <si>
    <t>180.200.587-02</t>
  </si>
  <si>
    <t>01.04.12348523-1</t>
  </si>
  <si>
    <t>234.874.747-27</t>
  </si>
  <si>
    <t>01.04.12093211-3</t>
  </si>
  <si>
    <t>116.282.037-30</t>
  </si>
  <si>
    <t>01.04.12084911-9</t>
  </si>
  <si>
    <t>165.575.767-98</t>
  </si>
  <si>
    <t>01.04.12084913-5</t>
  </si>
  <si>
    <t>191.784.137-02</t>
  </si>
  <si>
    <t>01.04.12063118-1</t>
  </si>
  <si>
    <t>088.051.337-36</t>
  </si>
  <si>
    <t>01.04.15322988-8</t>
  </si>
  <si>
    <t>190.745.867-08</t>
  </si>
  <si>
    <t>01.04.11927517-1</t>
  </si>
  <si>
    <t>189.079.807-05</t>
  </si>
  <si>
    <t>01.04.11935492-6</t>
  </si>
  <si>
    <t>142.492.807-99</t>
  </si>
  <si>
    <t>01.04.11895382-6</t>
  </si>
  <si>
    <t>128.982.427-48</t>
  </si>
  <si>
    <t>01.04.11904976-7</t>
  </si>
  <si>
    <t>187.559.377-21</t>
  </si>
  <si>
    <t>01.04.12356305-4</t>
  </si>
  <si>
    <t>156.908.837-35</t>
  </si>
  <si>
    <t>01.04.13267044-5</t>
  </si>
  <si>
    <t>112.646.137-76</t>
  </si>
  <si>
    <t>01.04.11844361-5</t>
  </si>
  <si>
    <t>210.335.597-09</t>
  </si>
  <si>
    <t>01.04.11987058-4</t>
  </si>
  <si>
    <t>188.692.747-21</t>
  </si>
  <si>
    <t>01.04.12059772-1</t>
  </si>
  <si>
    <t>085.785.047-47</t>
  </si>
  <si>
    <t>01.04.11826934-8</t>
  </si>
  <si>
    <t>198.689.047-30</t>
  </si>
  <si>
    <t>01.04.13572365-5</t>
  </si>
  <si>
    <t>044.237.367-80</t>
  </si>
  <si>
    <t>01.04.12019338-8</t>
  </si>
  <si>
    <t>086.410.707-29</t>
  </si>
  <si>
    <t>01.04.13482878-1</t>
  </si>
  <si>
    <t>076.092.497-00</t>
  </si>
  <si>
    <t>01.04.12723746-1</t>
  </si>
  <si>
    <t>085.594.567-24</t>
  </si>
  <si>
    <t>01.04.15065978-4</t>
  </si>
  <si>
    <t>155.307.147-65</t>
  </si>
  <si>
    <t>01.04.11963765-1</t>
  </si>
  <si>
    <t>220.649.187-79</t>
  </si>
  <si>
    <t>01.04.11875306-1</t>
  </si>
  <si>
    <t>114.451.587-44</t>
  </si>
  <si>
    <t>01.04.13110844-1</t>
  </si>
  <si>
    <t>757.820.577-34</t>
  </si>
  <si>
    <t>01.04.15977396-2</t>
  </si>
  <si>
    <t>030.193.647-10</t>
  </si>
  <si>
    <t>01.04.14167108-4</t>
  </si>
  <si>
    <t>189.428.177-26</t>
  </si>
  <si>
    <t>01.04.12222115-1</t>
  </si>
  <si>
    <t>201.996.897-50</t>
  </si>
  <si>
    <t>01.04.12075671-4</t>
  </si>
  <si>
    <t>231.896.397-52</t>
  </si>
  <si>
    <t>01.04.11935382-2</t>
  </si>
  <si>
    <t>181.548.387-37</t>
  </si>
  <si>
    <t>01.04.11935379-2</t>
  </si>
  <si>
    <t>212.088.967-84</t>
  </si>
  <si>
    <t>01.04.11935381-4</t>
  </si>
  <si>
    <t>212.088.097-25</t>
  </si>
  <si>
    <t>01.04.11935380-6</t>
  </si>
  <si>
    <t>166.985.557-03</t>
  </si>
  <si>
    <t>01.04.11935378-4</t>
  </si>
  <si>
    <t>213.021.417-75</t>
  </si>
  <si>
    <t>01.04.11961161-9</t>
  </si>
  <si>
    <t>107.650.055-22</t>
  </si>
  <si>
    <t>01.04.11961162-7</t>
  </si>
  <si>
    <t>065.953.577-71</t>
  </si>
  <si>
    <t>01.04.11961163-5</t>
  </si>
  <si>
    <t>196.922.337-58</t>
  </si>
  <si>
    <t>01.04.11873973-5</t>
  </si>
  <si>
    <t>134.689.437-09</t>
  </si>
  <si>
    <t>01.04.08851404-8</t>
  </si>
  <si>
    <t>116.839.177-66</t>
  </si>
  <si>
    <t>01.04.13613626-5</t>
  </si>
  <si>
    <t>164.855.317-69</t>
  </si>
  <si>
    <t>01.04.11985793-6</t>
  </si>
  <si>
    <t>703.300.414-10</t>
  </si>
  <si>
    <t>01.04.12757015-2</t>
  </si>
  <si>
    <t>144.532.777-50</t>
  </si>
  <si>
    <t>01.04.14514830-1</t>
  </si>
  <si>
    <t>157.661.397-64</t>
  </si>
  <si>
    <t>01.04.13109930-2</t>
  </si>
  <si>
    <t>100.776.467-89</t>
  </si>
  <si>
    <t>01.04.11891344-1</t>
  </si>
  <si>
    <t>074.883.627-64</t>
  </si>
  <si>
    <t>01.04.12662375-9</t>
  </si>
  <si>
    <t>151.242.137-52</t>
  </si>
  <si>
    <t>01.04.15824631-4</t>
  </si>
  <si>
    <t>165.023.747-27</t>
  </si>
  <si>
    <t>01.04.12036346-1</t>
  </si>
  <si>
    <t>156.993.347-26</t>
  </si>
  <si>
    <t>01.04.13026416-4</t>
  </si>
  <si>
    <t>027.374.797-54</t>
  </si>
  <si>
    <t>01.04.13942712-1</t>
  </si>
  <si>
    <t>069.340.357-80</t>
  </si>
  <si>
    <t>01.04.08443342-6</t>
  </si>
  <si>
    <t>144.087.897-80</t>
  </si>
  <si>
    <t>01.04.13392527-7</t>
  </si>
  <si>
    <t>121.615.097-48</t>
  </si>
  <si>
    <t>01.04.13529035-1</t>
  </si>
  <si>
    <t>132.880.907-24</t>
  </si>
  <si>
    <t>01.04.12275153-1</t>
  </si>
  <si>
    <t>174.377.457-55</t>
  </si>
  <si>
    <t>01.04.12706356-1</t>
  </si>
  <si>
    <t>188.899.597-11</t>
  </si>
  <si>
    <t>01.04.12624771-4</t>
  </si>
  <si>
    <t>180.124.947-44</t>
  </si>
  <si>
    <t>01.04.12736602-4</t>
  </si>
  <si>
    <t>206.266.027-85</t>
  </si>
  <si>
    <t>01.04.12715837-5</t>
  </si>
  <si>
    <t>210.351.157-35</t>
  </si>
  <si>
    <t>01.04.12458662-7</t>
  </si>
  <si>
    <t>207.221.787-35</t>
  </si>
  <si>
    <t>01.04.12416742-1</t>
  </si>
  <si>
    <t>194.410.577-89</t>
  </si>
  <si>
    <t>01.04.11947291-1</t>
  </si>
  <si>
    <t>972.357.097-15</t>
  </si>
  <si>
    <t>01.04.13222852-1</t>
  </si>
  <si>
    <t>098.038.266-11</t>
  </si>
  <si>
    <t>01.04.12926522-5</t>
  </si>
  <si>
    <t>929.276.027-00</t>
  </si>
  <si>
    <t>01.04.16357631-9</t>
  </si>
  <si>
    <t>109.671.117-65</t>
  </si>
  <si>
    <t>01.04.11983583-5</t>
  </si>
  <si>
    <t>108.593.107-28</t>
  </si>
  <si>
    <t>01.04.11823466-8</t>
  </si>
  <si>
    <t>130.446.817-82</t>
  </si>
  <si>
    <t>01.04.15799685-9</t>
  </si>
  <si>
    <t>117.949.437-73</t>
  </si>
  <si>
    <t>01.04.08677114-1</t>
  </si>
  <si>
    <t>198.882.947-09</t>
  </si>
  <si>
    <t>01.04.12288151-6</t>
  </si>
  <si>
    <t>220.074.987-23</t>
  </si>
  <si>
    <t>01.04.14037040-4</t>
  </si>
  <si>
    <t>037.681.967-71</t>
  </si>
  <si>
    <t>01.04.13054412-4</t>
  </si>
  <si>
    <t>182.505.827-05</t>
  </si>
  <si>
    <t>01.04.13288301-5</t>
  </si>
  <si>
    <t>057.244.087-16</t>
  </si>
  <si>
    <t>01.04.12210189-8</t>
  </si>
  <si>
    <t>158.486.537-71</t>
  </si>
  <si>
    <t>01.04.11960830-8</t>
  </si>
  <si>
    <t>195.843.646-18</t>
  </si>
  <si>
    <t>01.04.11997009-1</t>
  </si>
  <si>
    <t>855.443.887-68</t>
  </si>
  <si>
    <t>01.04.15779707-4</t>
  </si>
  <si>
    <t>135.490.997-62</t>
  </si>
  <si>
    <t>01.04.12691796-5</t>
  </si>
  <si>
    <t>112.844.737-16</t>
  </si>
  <si>
    <t>01.04.12697274-5</t>
  </si>
  <si>
    <t>091.064.927-89</t>
  </si>
  <si>
    <t>01.04.15925240-7</t>
  </si>
  <si>
    <t>080.323.187-39</t>
  </si>
  <si>
    <t>01.04.13905616-5</t>
  </si>
  <si>
    <t>081.286.316-08</t>
  </si>
  <si>
    <t>01.04.13856208-3</t>
  </si>
  <si>
    <t>168.027.077-05</t>
  </si>
  <si>
    <t>01.04.12264789-1</t>
  </si>
  <si>
    <t>121.108.367-50</t>
  </si>
  <si>
    <t>01.04.12935396-5</t>
  </si>
  <si>
    <t>055.943.657-29</t>
  </si>
  <si>
    <t>01.04.11875305-3</t>
  </si>
  <si>
    <t>127.924.057-16</t>
  </si>
  <si>
    <t>01.04.15661492-8</t>
  </si>
  <si>
    <t>082.886.097-16</t>
  </si>
  <si>
    <t>01.04.08661754-1</t>
  </si>
  <si>
    <t>071.897.135-30</t>
  </si>
  <si>
    <t>01.04.12880649-4</t>
  </si>
  <si>
    <t>081.120.317-46</t>
  </si>
  <si>
    <t>01.04.14360081-8</t>
  </si>
  <si>
    <t>010.648.247-57</t>
  </si>
  <si>
    <t>01.04.12377083-1</t>
  </si>
  <si>
    <t>095.236.977-06</t>
  </si>
  <si>
    <t>01.04.16103293-1</t>
  </si>
  <si>
    <t>186.452.727-76</t>
  </si>
  <si>
    <t>01.04.12389571-5</t>
  </si>
  <si>
    <t>014.927.297-95</t>
  </si>
  <si>
    <t>01.04.11942950-1</t>
  </si>
  <si>
    <t>060.788.883-07</t>
  </si>
  <si>
    <t>01.04.12188697-2</t>
  </si>
  <si>
    <t>043.869.535-66</t>
  </si>
  <si>
    <t>01.04.16555383-9</t>
  </si>
  <si>
    <t>170.736.847-39</t>
  </si>
  <si>
    <t>01.04.12371488-5</t>
  </si>
  <si>
    <t>112.953.117-12</t>
  </si>
  <si>
    <t>01.04.16204199-3</t>
  </si>
  <si>
    <t>027.292.767-85</t>
  </si>
  <si>
    <t>01.04.13960141-4</t>
  </si>
  <si>
    <t>019.359.067-04</t>
  </si>
  <si>
    <t>01.04.15558742-1</t>
  </si>
  <si>
    <t>097.737.827-60</t>
  </si>
  <si>
    <t>01.04.13785171-5</t>
  </si>
  <si>
    <t>117.448.827-11</t>
  </si>
  <si>
    <t>01.04.13604300-3</t>
  </si>
  <si>
    <t>141.105.747-30</t>
  </si>
  <si>
    <t>01.04.12671244-1</t>
  </si>
  <si>
    <t>088.819.574-50</t>
  </si>
  <si>
    <t>183.075.617-60</t>
  </si>
  <si>
    <t>01.04.11873984-1</t>
  </si>
  <si>
    <t>144.558.057-88</t>
  </si>
  <si>
    <t>01.04.15609694-3</t>
  </si>
  <si>
    <t>157.772.797-59</t>
  </si>
  <si>
    <t>01.04.11980602-9</t>
  </si>
  <si>
    <t>194.637.957-31</t>
  </si>
  <si>
    <t>01.04.13748187-1</t>
  </si>
  <si>
    <t>149.299.517-71</t>
  </si>
  <si>
    <t>01.04.12056428-9</t>
  </si>
  <si>
    <t>009.258.657-02</t>
  </si>
  <si>
    <t>01.04.16643770-1</t>
  </si>
  <si>
    <t>090.511.317-98</t>
  </si>
  <si>
    <t>01.04.15054619-1</t>
  </si>
  <si>
    <t>664.235.625-04</t>
  </si>
  <si>
    <t>01.04.16663480-8</t>
  </si>
  <si>
    <t>158.415.727-50</t>
  </si>
  <si>
    <t>01.04.13808213-8</t>
  </si>
  <si>
    <t>172.144.467-07</t>
  </si>
  <si>
    <t>01.04.12376695-8</t>
  </si>
  <si>
    <t>134.214.387-65</t>
  </si>
  <si>
    <t>01.04.12395955-1</t>
  </si>
  <si>
    <t>147.770.507-42</t>
  </si>
  <si>
    <t>01.04.16012502-2</t>
  </si>
  <si>
    <t>102.362.137-17</t>
  </si>
  <si>
    <t>01.04.13604309-7</t>
  </si>
  <si>
    <t>146.214.297-44</t>
  </si>
  <si>
    <t>01.04.14769516-3</t>
  </si>
  <si>
    <t>116.818.387-10</t>
  </si>
  <si>
    <t>01.04.13520613-8</t>
  </si>
  <si>
    <t>097.552.557-37</t>
  </si>
  <si>
    <t>01.04.15316503-1</t>
  </si>
  <si>
    <t>215.482.617-26</t>
  </si>
  <si>
    <t>01.04.14444353-8</t>
  </si>
  <si>
    <t>185.040.917-08</t>
  </si>
  <si>
    <t>01.04.13020906-6</t>
  </si>
  <si>
    <t>044.724.777-85</t>
  </si>
  <si>
    <t>01.04.13609430-9</t>
  </si>
  <si>
    <t>361.871.005-49</t>
  </si>
  <si>
    <t>01.04.15765764-7</t>
  </si>
  <si>
    <t>150.690.597-85</t>
  </si>
  <si>
    <t>01.04.12839290-8</t>
  </si>
  <si>
    <t>217.174.747-13</t>
  </si>
  <si>
    <t>01.04.12736603-2</t>
  </si>
  <si>
    <t>213.548.147-54</t>
  </si>
  <si>
    <t>01.04.11906270-4</t>
  </si>
  <si>
    <t>222.369.417-90</t>
  </si>
  <si>
    <t>01.04.12728184-3</t>
  </si>
  <si>
    <t>163.799.357-97</t>
  </si>
  <si>
    <t>01.04.11899446-8</t>
  </si>
  <si>
    <t>196.250.457-32</t>
  </si>
  <si>
    <t>01.04.12470015-2</t>
  </si>
  <si>
    <t>184.157.397-37</t>
  </si>
  <si>
    <t>01.04.14401663-1</t>
  </si>
  <si>
    <t>117.645.327-08</t>
  </si>
  <si>
    <t>01.04.12206877-7</t>
  </si>
  <si>
    <t>195.406.117-09</t>
  </si>
  <si>
    <t>01.04.12260033-9</t>
  </si>
  <si>
    <t>072.954.663-20</t>
  </si>
  <si>
    <t>01.04.12133046-1</t>
  </si>
  <si>
    <t>183.931.427-33</t>
  </si>
  <si>
    <t>01.04.11826931-3</t>
  </si>
  <si>
    <t>137.485.537-57</t>
  </si>
  <si>
    <t>01.04.08482488-3</t>
  </si>
  <si>
    <t>023.812.567-09</t>
  </si>
  <si>
    <t>01.04.16588795-8</t>
  </si>
  <si>
    <t>119.378.757-25</t>
  </si>
  <si>
    <t>01.04.15982579-2</t>
  </si>
  <si>
    <t>173.210.247-33</t>
  </si>
  <si>
    <t>01.04.11922203-5</t>
  </si>
  <si>
    <t>139.456.937-80</t>
  </si>
  <si>
    <t>01.04.14252967-2</t>
  </si>
  <si>
    <t>152.954.347-96</t>
  </si>
  <si>
    <t>01.04.12062494-1</t>
  </si>
  <si>
    <t>180.491.446-07</t>
  </si>
  <si>
    <t>01.04.12421873-3</t>
  </si>
  <si>
    <t>171.092.047-58</t>
  </si>
  <si>
    <t>01.04.12020626-9</t>
  </si>
  <si>
    <t>099.152.387-38</t>
  </si>
  <si>
    <t>01.04.16379205-4</t>
  </si>
  <si>
    <t>177.695.927-20</t>
  </si>
  <si>
    <t>01.04.11987059-2</t>
  </si>
  <si>
    <t>153.398.597-97</t>
  </si>
  <si>
    <t>01.04.12364746-1</t>
  </si>
  <si>
    <t>184.408.047-17</t>
  </si>
  <si>
    <t>01.04.12036112-4</t>
  </si>
  <si>
    <t>212.971.257-62</t>
  </si>
  <si>
    <t>01.04.12059773-1</t>
  </si>
  <si>
    <t>086.871.207-88</t>
  </si>
  <si>
    <t>01.04.12777886-1</t>
  </si>
  <si>
    <t>209.909.437-39</t>
  </si>
  <si>
    <t>01.04.12011649-9</t>
  </si>
  <si>
    <t>183.728.427-01</t>
  </si>
  <si>
    <t>01.04.11912236-7</t>
  </si>
  <si>
    <t>052.859.007-35</t>
  </si>
  <si>
    <t>01.04.12415073-1</t>
  </si>
  <si>
    <t>960.111.577-34</t>
  </si>
  <si>
    <t>01.04.16192107-8</t>
  </si>
  <si>
    <t>093.967.816-06</t>
  </si>
  <si>
    <t>01.04.16021296-1</t>
  </si>
  <si>
    <t>154.274.497-01</t>
  </si>
  <si>
    <t>01.04.16511142-9</t>
  </si>
  <si>
    <t>206.637.297-85</t>
  </si>
  <si>
    <t>01.04.12597567-8</t>
  </si>
  <si>
    <t>169.087.617-46</t>
  </si>
  <si>
    <t>01.04.11961174-1</t>
  </si>
  <si>
    <t>598.670.028-73</t>
  </si>
  <si>
    <t>01.04.11961172-4</t>
  </si>
  <si>
    <t>210.312.857-50</t>
  </si>
  <si>
    <t>01.04.11961173-2</t>
  </si>
  <si>
    <t>224.926.657-39</t>
  </si>
  <si>
    <t>01.04.11961175-9</t>
  </si>
  <si>
    <t>162.017.327-13</t>
  </si>
  <si>
    <t>01.04.11961170-8</t>
  </si>
  <si>
    <t>210.877.777-63</t>
  </si>
  <si>
    <t>01.04.11852960-9</t>
  </si>
  <si>
    <t>155.472.756-11</t>
  </si>
  <si>
    <t>01.04.11852957-9</t>
  </si>
  <si>
    <t>169.949.567-09</t>
  </si>
  <si>
    <t>01.04.11852958-7</t>
  </si>
  <si>
    <t>211.612.487-57</t>
  </si>
  <si>
    <t>01.04.11852959-5</t>
  </si>
  <si>
    <t>199.789.327-47</t>
  </si>
  <si>
    <t>01.04.11831329-1</t>
  </si>
  <si>
    <t>846.486.787-53</t>
  </si>
  <si>
    <t>01.04.16381564-1</t>
  </si>
  <si>
    <t>170.987.987-46</t>
  </si>
  <si>
    <t>01.04.13498926-1</t>
  </si>
  <si>
    <t>159.985.247-05</t>
  </si>
  <si>
    <t>01.04.12505626-5</t>
  </si>
  <si>
    <t>210.524.867-54</t>
  </si>
  <si>
    <t>01.04.12505625-7</t>
  </si>
  <si>
    <t>189.904.157-56</t>
  </si>
  <si>
    <t>01.04.12371447-8</t>
  </si>
  <si>
    <t>209.350.937-70</t>
  </si>
  <si>
    <t>01.04.13010667-4</t>
  </si>
  <si>
    <t>211.856.917-31</t>
  </si>
  <si>
    <t>01.04.11977206-1</t>
  </si>
  <si>
    <t>214.191.187-73</t>
  </si>
  <si>
    <t>01.04.11852956-1</t>
  </si>
  <si>
    <t>869.958.397-49</t>
  </si>
  <si>
    <t>01.04.13515497-9</t>
  </si>
  <si>
    <t>125.120.697-29</t>
  </si>
  <si>
    <t>01.04.11980603-7</t>
  </si>
  <si>
    <t>888.883.637-34</t>
  </si>
  <si>
    <t>01.04.16292667-7</t>
  </si>
  <si>
    <t>115.580.664-62</t>
  </si>
  <si>
    <t>01.04.08239039-8</t>
  </si>
  <si>
    <t>124.461.837-35</t>
  </si>
  <si>
    <t>01.04.12034592-7</t>
  </si>
  <si>
    <t>108.647.467-84</t>
  </si>
  <si>
    <t>01.04.14063696-1</t>
  </si>
  <si>
    <t>175.032.067-30</t>
  </si>
  <si>
    <t>01.04.12456148-9</t>
  </si>
  <si>
    <t>169.129.997-94</t>
  </si>
  <si>
    <t>01.04.12035674-1</t>
  </si>
  <si>
    <t>147.379.507-93</t>
  </si>
  <si>
    <t>01.04.12638664-1</t>
  </si>
  <si>
    <t>209.022.467-39</t>
  </si>
  <si>
    <t>01.04.11826932-1</t>
  </si>
  <si>
    <t>077.075.237-33</t>
  </si>
  <si>
    <t>01.04.11994439-1</t>
  </si>
  <si>
    <t>167.665.507-75</t>
  </si>
  <si>
    <t>01.04.12036113-2</t>
  </si>
  <si>
    <t>195.241.037-10</t>
  </si>
  <si>
    <t>01.04.12046241-9</t>
  </si>
  <si>
    <t>106.681.397-30</t>
  </si>
  <si>
    <t>01.04.12027547-3</t>
  </si>
  <si>
    <t>182.444.547-41</t>
  </si>
  <si>
    <t>01.04.11899708-4</t>
  </si>
  <si>
    <t>898.838.107-68</t>
  </si>
  <si>
    <t>01.04.12483506-6</t>
  </si>
  <si>
    <t>143.770.177-99</t>
  </si>
  <si>
    <t>01.04.11987093-2</t>
  </si>
  <si>
    <t>102.257.017-07</t>
  </si>
  <si>
    <t>01.04.11987094-1</t>
  </si>
  <si>
    <t>126.635.387-95</t>
  </si>
  <si>
    <t>01.04.12746504-9</t>
  </si>
  <si>
    <t>081.874.997-02</t>
  </si>
  <si>
    <t>01.04.12345968-1</t>
  </si>
  <si>
    <t>080.658.957-43</t>
  </si>
  <si>
    <t>106.452.587-33</t>
  </si>
  <si>
    <t>01.04.15283308-1</t>
  </si>
  <si>
    <t>186.404.117-00</t>
  </si>
  <si>
    <t>01.04.12003509-1</t>
  </si>
  <si>
    <t>075.498.597-01</t>
  </si>
  <si>
    <t>01.04.11927520-1</t>
  </si>
  <si>
    <t>081.562.027-67</t>
  </si>
  <si>
    <t>01.04.14801545-1</t>
  </si>
  <si>
    <t>107.773.437-97</t>
  </si>
  <si>
    <t>01.04.16674101-9</t>
  </si>
  <si>
    <t>873.882.867-72</t>
  </si>
  <si>
    <t>01.04.13826594-1</t>
  </si>
  <si>
    <t>054.302.577-29</t>
  </si>
  <si>
    <t>01.04.14936193-9</t>
  </si>
  <si>
    <t>044.726.337-44</t>
  </si>
  <si>
    <t>01.04.16619035-7</t>
  </si>
  <si>
    <t>033.309.867-60</t>
  </si>
  <si>
    <t>01.04.13140800-3</t>
  </si>
  <si>
    <t>010.513.887-83</t>
  </si>
  <si>
    <t>01.04.15656162-1</t>
  </si>
  <si>
    <t>070.398.877-89</t>
  </si>
  <si>
    <t>01.04.11843654-6</t>
  </si>
  <si>
    <t>116.513.957-05</t>
  </si>
  <si>
    <t>01.04.13455705-1</t>
  </si>
  <si>
    <t>119.917.647-82</t>
  </si>
  <si>
    <t>01.04.16348210-1</t>
  </si>
  <si>
    <t>018.590.937-01</t>
  </si>
  <si>
    <t>01.04.12352859-3</t>
  </si>
  <si>
    <t>127.449.817-10</t>
  </si>
  <si>
    <t>01.04.11898536-1</t>
  </si>
  <si>
    <t>149.589.587-46</t>
  </si>
  <si>
    <t>01.04.12347591-1</t>
  </si>
  <si>
    <t>145.874.717-47</t>
  </si>
  <si>
    <t>01.04.12640087-3</t>
  </si>
  <si>
    <t>145.146.257-36</t>
  </si>
  <si>
    <t>01.04.11875325-8</t>
  </si>
  <si>
    <t>108.320.917-58</t>
  </si>
  <si>
    <t>01.04.16051946-2</t>
  </si>
  <si>
    <t>095.568.917-14</t>
  </si>
  <si>
    <t>01.04.08694966-7</t>
  </si>
  <si>
    <t>061.167.187-52</t>
  </si>
  <si>
    <t>01.04.08947594-1</t>
  </si>
  <si>
    <t>149.023.137-40</t>
  </si>
  <si>
    <t>01.04.15811950-9</t>
  </si>
  <si>
    <t>021.640.167-42</t>
  </si>
  <si>
    <t>01.04.12290169-1</t>
  </si>
  <si>
    <t>030.570.237-89</t>
  </si>
  <si>
    <t>01.04.13912215-1</t>
  </si>
  <si>
    <t>016.678.837-63</t>
  </si>
  <si>
    <t>01.04.15845534-7</t>
  </si>
  <si>
    <t>148.587.337-18</t>
  </si>
  <si>
    <t>01.04.15809221-1</t>
  </si>
  <si>
    <t>099.631.577-26</t>
  </si>
  <si>
    <t>01.04.08694962-4</t>
  </si>
  <si>
    <t>017.650.777-96</t>
  </si>
  <si>
    <t>01.04.14883272-5</t>
  </si>
  <si>
    <t>011.499.587-74</t>
  </si>
  <si>
    <t>01.04.15676277-3</t>
  </si>
  <si>
    <t>019.629.717-67</t>
  </si>
  <si>
    <t>01.04.15034283-7</t>
  </si>
  <si>
    <t>183.514.307-57</t>
  </si>
  <si>
    <t>01.04.12010918-2</t>
  </si>
  <si>
    <t>172.420.577-36</t>
  </si>
  <si>
    <t>01.04.14776380-1</t>
  </si>
  <si>
    <t>016.052.137-80</t>
  </si>
  <si>
    <t>01.04.12500143-6</t>
  </si>
  <si>
    <t>184.106.207-31</t>
  </si>
  <si>
    <t>01.04.11987048-7</t>
  </si>
  <si>
    <t>126.268.927-93</t>
  </si>
  <si>
    <t>01.04.15742278-1</t>
  </si>
  <si>
    <t>174.191.517-17</t>
  </si>
  <si>
    <t>01.04.11826933-1</t>
  </si>
  <si>
    <t>205.855.127-36</t>
  </si>
  <si>
    <t>01.04.12348543-6</t>
  </si>
  <si>
    <t>158.805.497-71</t>
  </si>
  <si>
    <t>01.04.11826921-6</t>
  </si>
  <si>
    <t>186.085.127-42</t>
  </si>
  <si>
    <t>01.04.11826922-4</t>
  </si>
  <si>
    <t>091.541.207-13</t>
  </si>
  <si>
    <t>01.04.11950262-3</t>
  </si>
  <si>
    <t>180.108.717-29</t>
  </si>
  <si>
    <t>01.04.12459978-8</t>
  </si>
  <si>
    <t>185.730.467-59</t>
  </si>
  <si>
    <t>01.04.14056082-3</t>
  </si>
  <si>
    <t>099.281.097-37</t>
  </si>
  <si>
    <t>01.04.15873764-4</t>
  </si>
  <si>
    <t>119.585.057-30</t>
  </si>
  <si>
    <t>01.04.08473873-1</t>
  </si>
  <si>
    <t>005.482.497-41</t>
  </si>
  <si>
    <t>01.04.11950266-6</t>
  </si>
  <si>
    <t>147.335.307-65</t>
  </si>
  <si>
    <t>01.04.12421132-1</t>
  </si>
  <si>
    <t>102.833.577-62</t>
  </si>
  <si>
    <t>01.04.14973656-8</t>
  </si>
  <si>
    <t>073.352.017-05</t>
  </si>
  <si>
    <t>01.04.13485591-4</t>
  </si>
  <si>
    <t>178.509.707-56</t>
  </si>
  <si>
    <t>01.04.13542630-8</t>
  </si>
  <si>
    <t>184.878.857-64</t>
  </si>
  <si>
    <t>01.04.14264304-1</t>
  </si>
  <si>
    <t>158.603.867-29</t>
  </si>
  <si>
    <t>01.04.16197717-1</t>
  </si>
  <si>
    <t>051.903.167-93</t>
  </si>
  <si>
    <t>01.04.08851418-8</t>
  </si>
  <si>
    <t>219.385.137-97</t>
  </si>
  <si>
    <t>01.04.12960449-6</t>
  </si>
  <si>
    <t>095.054.097-88</t>
  </si>
  <si>
    <t>01.04.12745911-1</t>
  </si>
  <si>
    <t>179.207.417-42</t>
  </si>
  <si>
    <t>01.04.12638597-1</t>
  </si>
  <si>
    <t>191.358.857-26</t>
  </si>
  <si>
    <t>01.04.11953253-1</t>
  </si>
  <si>
    <t>148.407.127-19</t>
  </si>
  <si>
    <t>01.04.12960823-8</t>
  </si>
  <si>
    <t>041.373.547-82</t>
  </si>
  <si>
    <t>01.04.13500468-3</t>
  </si>
  <si>
    <t>173.210.437-97</t>
  </si>
  <si>
    <t>01.04.15043255-1</t>
  </si>
  <si>
    <t>231.559.927-00</t>
  </si>
  <si>
    <t>01.04.11963773-1</t>
  </si>
  <si>
    <t>007.629.207-00</t>
  </si>
  <si>
    <t>01.04.12017717-1</t>
  </si>
  <si>
    <t>227.219.047-28</t>
  </si>
  <si>
    <t>01.04.12237867-9</t>
  </si>
  <si>
    <t>221.973.797-71</t>
  </si>
  <si>
    <t>01.04.12051051-1</t>
  </si>
  <si>
    <t>162.737.007-29</t>
  </si>
  <si>
    <t>01.04.12237907-1</t>
  </si>
  <si>
    <t>189.217.067-12</t>
  </si>
  <si>
    <t>01.04.12063111-3</t>
  </si>
  <si>
    <t>037.072.397-05</t>
  </si>
  <si>
    <t>01.04.13054410-8</t>
  </si>
  <si>
    <t>130.673.217-40</t>
  </si>
  <si>
    <t>01.04.12137304-5</t>
  </si>
  <si>
    <t>036.422.187-92</t>
  </si>
  <si>
    <t>01.04.13485381-4</t>
  </si>
  <si>
    <t>128.468.757-07</t>
  </si>
  <si>
    <t>01.04.12464329-9</t>
  </si>
  <si>
    <t>154.967.647-42</t>
  </si>
  <si>
    <t>01.04.12196096-1</t>
  </si>
  <si>
    <t>092.258.747-74</t>
  </si>
  <si>
    <t>01.04.12829685-2</t>
  </si>
  <si>
    <t>093.352.087-52</t>
  </si>
  <si>
    <t>01.04.14153701-9</t>
  </si>
  <si>
    <t>176.548.447-27</t>
  </si>
  <si>
    <t>01.04.08275085-8</t>
  </si>
  <si>
    <t>063.452.587-50</t>
  </si>
  <si>
    <t>01.04.12022651-1</t>
  </si>
  <si>
    <t>019.299.747-52</t>
  </si>
  <si>
    <t>01.04.13444951-7</t>
  </si>
  <si>
    <t>859.736.107-72</t>
  </si>
  <si>
    <t>01.04.11843656-2</t>
  </si>
  <si>
    <t>051.856.387-10</t>
  </si>
  <si>
    <t>01.04.16527083-7</t>
  </si>
  <si>
    <t>180.524.697-67</t>
  </si>
  <si>
    <t>01.04.14554816-3</t>
  </si>
  <si>
    <t>188.694.647-76</t>
  </si>
  <si>
    <t>01.04.12571406-8</t>
  </si>
  <si>
    <t>082.525.767-02</t>
  </si>
  <si>
    <t>01.04.12493133-2</t>
  </si>
  <si>
    <t>217.084.577-12</t>
  </si>
  <si>
    <t>01.04.12635361-1</t>
  </si>
  <si>
    <t>179.079.667-95</t>
  </si>
  <si>
    <t>01.04.12022652-9</t>
  </si>
  <si>
    <t>185.046.567-30</t>
  </si>
  <si>
    <t>01.04.14210632-1</t>
  </si>
  <si>
    <t>184.077.837-73</t>
  </si>
  <si>
    <t>01.04.11873972-7</t>
  </si>
  <si>
    <t>137.366.387-10</t>
  </si>
  <si>
    <t>01.04.14939559-1</t>
  </si>
  <si>
    <t>210.996.027-26</t>
  </si>
  <si>
    <t>01.04.11853305-3</t>
  </si>
  <si>
    <t>115.949.927-62</t>
  </si>
  <si>
    <t>01.04.15121472-7</t>
  </si>
  <si>
    <t>096.304.617-90</t>
  </si>
  <si>
    <t>01.04.14345534-6</t>
  </si>
  <si>
    <t>976.144.167-91</t>
  </si>
  <si>
    <t>01.04.12042751-6</t>
  </si>
  <si>
    <t>163.387.127-42</t>
  </si>
  <si>
    <t>01.04.12483499-1</t>
  </si>
  <si>
    <t>079.209.457-39</t>
  </si>
  <si>
    <t>01.04.13595156-9</t>
  </si>
  <si>
    <t>155.507.147-36</t>
  </si>
  <si>
    <t>01.04.12206516-6</t>
  </si>
  <si>
    <t>173.188.717-57</t>
  </si>
  <si>
    <t>01.04.13195685-1</t>
  </si>
  <si>
    <t>096.210.117-60</t>
  </si>
  <si>
    <t>01.04.11867915-5</t>
  </si>
  <si>
    <t>178.905.137-12</t>
  </si>
  <si>
    <t>01.04.16269421-1</t>
  </si>
  <si>
    <t>137.600.817-38</t>
  </si>
  <si>
    <t>01.04.12056427-1</t>
  </si>
  <si>
    <t>089.840.117-89</t>
  </si>
  <si>
    <t>01.04.13046670-1</t>
  </si>
  <si>
    <t>138.879.967-71</t>
  </si>
  <si>
    <t>01.04.16120732-4</t>
  </si>
  <si>
    <t>123.815.587-13</t>
  </si>
  <si>
    <t>01.04.12012275-8</t>
  </si>
  <si>
    <t>021.750.874-09</t>
  </si>
  <si>
    <t>01.04.14050673-1</t>
  </si>
  <si>
    <t>180.295.067-24</t>
  </si>
  <si>
    <t>01.04.12374130-1</t>
  </si>
  <si>
    <t>071.364.487-78</t>
  </si>
  <si>
    <t>01.04.16318414-3</t>
  </si>
  <si>
    <t>000.933.507-24</t>
  </si>
  <si>
    <t>01.04.15731740-4</t>
  </si>
  <si>
    <t>052.987.647-70</t>
  </si>
  <si>
    <t>01.04.15836636-1</t>
  </si>
  <si>
    <t>059.415.427-80</t>
  </si>
  <si>
    <t>01.04.11974198-9</t>
  </si>
  <si>
    <t>083.422.797-58</t>
  </si>
  <si>
    <t>01.04.12449175-8</t>
  </si>
  <si>
    <t>138.523.287-05</t>
  </si>
  <si>
    <t>01.04.13480851-7</t>
  </si>
  <si>
    <t>103.230.197-06</t>
  </si>
  <si>
    <t>01.04.08988276-8</t>
  </si>
  <si>
    <t>219.163.857-02</t>
  </si>
  <si>
    <t>01.04.12093195-8</t>
  </si>
  <si>
    <t>165.829.027-50</t>
  </si>
  <si>
    <t>01.04.12184727-6</t>
  </si>
  <si>
    <t>224.718.077-98</t>
  </si>
  <si>
    <t>01.04.12270512-2</t>
  </si>
  <si>
    <t>149.213.927-06</t>
  </si>
  <si>
    <t>01.04.11851867-4</t>
  </si>
  <si>
    <t>220.021.807-92</t>
  </si>
  <si>
    <t>01.04.11908280-2</t>
  </si>
  <si>
    <t>064.319.905-52</t>
  </si>
  <si>
    <t>01.04.11908281-1</t>
  </si>
  <si>
    <t>170.572.477-96</t>
  </si>
  <si>
    <t>01.04.13474424-1</t>
  </si>
  <si>
    <t>106.267.317-47</t>
  </si>
  <si>
    <t>01.04.15292484-1</t>
  </si>
  <si>
    <t>164.116.747-52</t>
  </si>
  <si>
    <t>01.04.13736415-6</t>
  </si>
  <si>
    <t>123.366.087-07</t>
  </si>
  <si>
    <t>01.04.15231251-1</t>
  </si>
  <si>
    <t>112.779.677-17</t>
  </si>
  <si>
    <t>01.04.12352840-2</t>
  </si>
  <si>
    <t>455.752.903-87</t>
  </si>
  <si>
    <t>01.04.16473668-9</t>
  </si>
  <si>
    <t>016.727.387-68</t>
  </si>
  <si>
    <t>01.04.11904222-3</t>
  </si>
  <si>
    <t>169.296.397-02</t>
  </si>
  <si>
    <t>01.04.11875324-1</t>
  </si>
  <si>
    <t>101.749.567-03</t>
  </si>
  <si>
    <t>01.04.08719715-4</t>
  </si>
  <si>
    <t>705.553.654-50</t>
  </si>
  <si>
    <t>01.04.15445902-1</t>
  </si>
  <si>
    <t>718.503.894-46</t>
  </si>
  <si>
    <t>01.04.11963764-2</t>
  </si>
  <si>
    <t>769.067.527-15</t>
  </si>
  <si>
    <t>01.04.11873997-2</t>
  </si>
  <si>
    <t>157.853.307-41</t>
  </si>
  <si>
    <t>01.04.12871903-6</t>
  </si>
  <si>
    <t>167.207.117-84</t>
  </si>
  <si>
    <t>01.04.13040641-4</t>
  </si>
  <si>
    <t>134.815.047-56</t>
  </si>
  <si>
    <t>01.04.14725865-1</t>
  </si>
  <si>
    <t>033.305.117-37</t>
  </si>
  <si>
    <t>01.04.16547630-3</t>
  </si>
  <si>
    <t>121.551.317-80</t>
  </si>
  <si>
    <t>01.04.14813372-1</t>
  </si>
  <si>
    <t>120.048.907-11</t>
  </si>
  <si>
    <t>01.04.08945222-4</t>
  </si>
  <si>
    <t>028.374.057-44</t>
  </si>
  <si>
    <t>01.04.13274657-3</t>
  </si>
  <si>
    <t>109.416.387-23</t>
  </si>
  <si>
    <t>01.04.11963579-8</t>
  </si>
  <si>
    <t>116.764.327-52</t>
  </si>
  <si>
    <t>01.04.15825678-6</t>
  </si>
  <si>
    <t>865.544.334-49</t>
  </si>
  <si>
    <t>01.04.15092423-2</t>
  </si>
  <si>
    <t>187.811.277-58</t>
  </si>
  <si>
    <t>01.04.12144483-1</t>
  </si>
  <si>
    <t>169.024.037-75</t>
  </si>
  <si>
    <t>01.04.13091198-4</t>
  </si>
  <si>
    <t>220.969.707-76</t>
  </si>
  <si>
    <t>01.04.12991576-9</t>
  </si>
  <si>
    <t>153.118.187-27</t>
  </si>
  <si>
    <t>01.04.13511290-7</t>
  </si>
  <si>
    <t>190.377.147-14</t>
  </si>
  <si>
    <t>01.04.12764659-1</t>
  </si>
  <si>
    <t>013.686.217-91</t>
  </si>
  <si>
    <t>01.04.11915944-9</t>
  </si>
  <si>
    <t>105.069.657-32</t>
  </si>
  <si>
    <t>01.04.16653682-2</t>
  </si>
  <si>
    <t>071.440.237-05</t>
  </si>
  <si>
    <t>01.04.15833039-1</t>
  </si>
  <si>
    <t>167.957.777-82</t>
  </si>
  <si>
    <t>01.04.16565296-9</t>
  </si>
  <si>
    <t>118.135.707-10</t>
  </si>
  <si>
    <t>01.04.13028694-1</t>
  </si>
  <si>
    <t>184.191.617-05</t>
  </si>
  <si>
    <t>01.04.15609901-2</t>
  </si>
  <si>
    <t>113.002.004-56</t>
  </si>
  <si>
    <t>01.04.14028453-2</t>
  </si>
  <si>
    <t>026.274.987-46</t>
  </si>
  <si>
    <t>01.04.16353816-6</t>
  </si>
  <si>
    <t>595.246.185-91</t>
  </si>
  <si>
    <t>01.04.15993199-1</t>
  </si>
  <si>
    <t>145.960.287-02</t>
  </si>
  <si>
    <t>01.04.12697267-2</t>
  </si>
  <si>
    <t>135.665.877-61</t>
  </si>
  <si>
    <t>01.04.12359145-7</t>
  </si>
  <si>
    <t>151.546.267-61</t>
  </si>
  <si>
    <t>01.04.12150227-9</t>
  </si>
  <si>
    <t>171.534.997-09</t>
  </si>
  <si>
    <t>01.04.11899437-9</t>
  </si>
  <si>
    <t>053.279.047-25</t>
  </si>
  <si>
    <t>01.04.15705829-8</t>
  </si>
  <si>
    <t>199.509.997-07</t>
  </si>
  <si>
    <t>01.04.12162518-4</t>
  </si>
  <si>
    <t>124.799.047-84</t>
  </si>
  <si>
    <t>01.04.14866730-9</t>
  </si>
  <si>
    <t>028.145.487-60</t>
  </si>
  <si>
    <t>01.04.12035695-3</t>
  </si>
  <si>
    <t>090.583.903-06</t>
  </si>
  <si>
    <t>01.04.15054737-4</t>
  </si>
  <si>
    <t>089.946.187-59</t>
  </si>
  <si>
    <t>01.04.14866970-1</t>
  </si>
  <si>
    <t>174.162.177-17</t>
  </si>
  <si>
    <t>01.04.08550042-9</t>
  </si>
  <si>
    <t>110.162.797-28</t>
  </si>
  <si>
    <t>01.04.13863909-4</t>
  </si>
  <si>
    <t>228.982.957-95</t>
  </si>
  <si>
    <t>01.04.12334909-5</t>
  </si>
  <si>
    <t>103.195.137-77</t>
  </si>
  <si>
    <t>01.04.12944826-5</t>
  </si>
  <si>
    <t>189.962.067-25</t>
  </si>
  <si>
    <t>01.04.12991574-2</t>
  </si>
  <si>
    <t>060.392.233-32</t>
  </si>
  <si>
    <t>01.04.14219162-1</t>
  </si>
  <si>
    <t>088.291.337-95</t>
  </si>
  <si>
    <t>01.04.12691787-6</t>
  </si>
  <si>
    <t>055.174.527-44</t>
  </si>
  <si>
    <t>01.04.12024650-3</t>
  </si>
  <si>
    <t>184.020.947-08</t>
  </si>
  <si>
    <t>01.04.12035694-5</t>
  </si>
  <si>
    <t>145.295.937-46</t>
  </si>
  <si>
    <t>01.04.13062692-9</t>
  </si>
  <si>
    <t>104.968.717-57</t>
  </si>
  <si>
    <t>01.04.11914949-4</t>
  </si>
  <si>
    <t>167.599.217-71</t>
  </si>
  <si>
    <t>01.04.15160832-6</t>
  </si>
  <si>
    <t>164.456.427-05</t>
  </si>
  <si>
    <t>01.04.11819571-9</t>
  </si>
  <si>
    <t>214.574.547-50</t>
  </si>
  <si>
    <t>01.04.11819595-6</t>
  </si>
  <si>
    <t>051.682.987-45</t>
  </si>
  <si>
    <t>01.04.13408726-7</t>
  </si>
  <si>
    <t>182.503.587-32</t>
  </si>
  <si>
    <t>01.04.13363971-1</t>
  </si>
  <si>
    <t>169.667.097-78</t>
  </si>
  <si>
    <t>01.04.12030749-9</t>
  </si>
  <si>
    <t>111.152.947-76</t>
  </si>
  <si>
    <t>01.04.15753412-1</t>
  </si>
  <si>
    <t>033.350.677-46</t>
  </si>
  <si>
    <t>01.04.12348536-3</t>
  </si>
  <si>
    <t>184.602.567-23</t>
  </si>
  <si>
    <t>01.04.12184734-9</t>
  </si>
  <si>
    <t>209.800.847-33</t>
  </si>
  <si>
    <t>01.04.12103640-5</t>
  </si>
  <si>
    <t>073.530.445-94</t>
  </si>
  <si>
    <t>01.04.12184732-2</t>
  </si>
  <si>
    <t>152.502.637-20</t>
  </si>
  <si>
    <t>01.04.12251570-6</t>
  </si>
  <si>
    <t>205.485.487-57</t>
  </si>
  <si>
    <t>01.04.12251569-2</t>
  </si>
  <si>
    <t>163.360.167-65</t>
  </si>
  <si>
    <t>01.04.12251571-4</t>
  </si>
  <si>
    <t>717.383.774-07</t>
  </si>
  <si>
    <t>01.04.11868156-7</t>
  </si>
  <si>
    <t>028.967.307-02</t>
  </si>
  <si>
    <t>01.04.12437023-3</t>
  </si>
  <si>
    <t>204.437.487-05</t>
  </si>
  <si>
    <t>01.04.11982406-1</t>
  </si>
  <si>
    <t>197.629.297-21</t>
  </si>
  <si>
    <t>01.04.11853308-8</t>
  </si>
  <si>
    <t>234.324.237-21</t>
  </si>
  <si>
    <t>01.04.11853309-6</t>
  </si>
  <si>
    <t>223.925.957-47</t>
  </si>
  <si>
    <t>01.04.11853307-1</t>
  </si>
  <si>
    <t>148.102.607-04</t>
  </si>
  <si>
    <t>01.04.11853311-8</t>
  </si>
  <si>
    <t>220.055.947-09</t>
  </si>
  <si>
    <t>01.04.11853306-1</t>
  </si>
  <si>
    <t>164.098.957-98</t>
  </si>
  <si>
    <t>01.04.13040636-8</t>
  </si>
  <si>
    <t>214.690.157-81</t>
  </si>
  <si>
    <t>01.04.12880668-1</t>
  </si>
  <si>
    <t>180.320.997-60</t>
  </si>
  <si>
    <t>01.04.13253192-5</t>
  </si>
  <si>
    <t>185.795.337-16</t>
  </si>
  <si>
    <t>01.04.12180574-3</t>
  </si>
  <si>
    <t>145.213.137-60</t>
  </si>
  <si>
    <t>01.04.15743646-2</t>
  </si>
  <si>
    <t>025.468.977-99</t>
  </si>
  <si>
    <t>01.04.08658495-2</t>
  </si>
  <si>
    <t>136.797.567-04</t>
  </si>
  <si>
    <t>01.04.13110851-4</t>
  </si>
  <si>
    <t>149.607.657-55</t>
  </si>
  <si>
    <t>01.04.11819442-9</t>
  </si>
  <si>
    <t>139.326.507-35</t>
  </si>
  <si>
    <t>01.04.15852517-5</t>
  </si>
  <si>
    <t>009.169.527-97</t>
  </si>
  <si>
    <t>01.04.11904603-2</t>
  </si>
  <si>
    <t>187.291.527-20</t>
  </si>
  <si>
    <t>01.04.13834836-7</t>
  </si>
  <si>
    <t>176.952.057-02</t>
  </si>
  <si>
    <t>01.04.14717221-7</t>
  </si>
  <si>
    <t>176.086.737-37</t>
  </si>
  <si>
    <t>01.04.15453374-2</t>
  </si>
  <si>
    <t>140.724.427-20</t>
  </si>
  <si>
    <t>01.04.08696090-3</t>
  </si>
  <si>
    <t>134.610.577-46</t>
  </si>
  <si>
    <t>01.04.15317156-1</t>
  </si>
  <si>
    <t>202.061.117-11</t>
  </si>
  <si>
    <t>01.04.12242495-6</t>
  </si>
  <si>
    <t>124.044.087-12</t>
  </si>
  <si>
    <t>01.04.12858175-1</t>
  </si>
  <si>
    <t>005.874.167-42</t>
  </si>
  <si>
    <t>01.04.11868149-4</t>
  </si>
  <si>
    <t>054.039.517-09</t>
  </si>
  <si>
    <t>01.04.11868150-8</t>
  </si>
  <si>
    <t>016.628.207-39</t>
  </si>
  <si>
    <t>01.04.15861715-1</t>
  </si>
  <si>
    <t>025.251.157-32</t>
  </si>
  <si>
    <t>01.04.11905755-7</t>
  </si>
  <si>
    <t>196.650.737-29</t>
  </si>
  <si>
    <t>01.04.13071258-2</t>
  </si>
  <si>
    <t>194.260.997-35</t>
  </si>
  <si>
    <t>01.04.12392717-1</t>
  </si>
  <si>
    <t>609.665.373-19</t>
  </si>
  <si>
    <t>01.04.16431660-4</t>
  </si>
  <si>
    <t>170.402.947-37</t>
  </si>
  <si>
    <t>01.04.13375194-5</t>
  </si>
  <si>
    <t>066.670.547-02</t>
  </si>
  <si>
    <t>01.04.13189169-3</t>
  </si>
  <si>
    <t>191.622.247-19</t>
  </si>
  <si>
    <t>01.04.13922153-1</t>
  </si>
  <si>
    <t>102.638.957-77</t>
  </si>
  <si>
    <t>01.04.12458737-2</t>
  </si>
  <si>
    <t>196.040.667-14</t>
  </si>
  <si>
    <t>01.04.15160164-1</t>
  </si>
  <si>
    <t>146.061.307-41</t>
  </si>
  <si>
    <t>01.04.13658860-3</t>
  </si>
  <si>
    <t>198.325.187-92</t>
  </si>
  <si>
    <t>01.04.12512310-8</t>
  </si>
  <si>
    <t>190.110.977-18</t>
  </si>
  <si>
    <t>01.04.12124581-1</t>
  </si>
  <si>
    <t>173.163.637-70</t>
  </si>
  <si>
    <t>01.04.12691781-7</t>
  </si>
  <si>
    <t>199.236.427-39</t>
  </si>
  <si>
    <t>01.04.12222317-9</t>
  </si>
  <si>
    <t>169.043.757-01</t>
  </si>
  <si>
    <t>01.04.11817267-1</t>
  </si>
  <si>
    <t>141.184.907-81</t>
  </si>
  <si>
    <t>01.04.15593835-5</t>
  </si>
  <si>
    <t>180.288.197-29</t>
  </si>
  <si>
    <t>01.04.13913879-1</t>
  </si>
  <si>
    <t>184.685.627-26</t>
  </si>
  <si>
    <t>01.04.12239477-1</t>
  </si>
  <si>
    <t>179.555.177-17</t>
  </si>
  <si>
    <t>01.04.12747914-7</t>
  </si>
  <si>
    <t>035.298.337-03</t>
  </si>
  <si>
    <t>01.04.13789053-2</t>
  </si>
  <si>
    <t>184.677.807-70</t>
  </si>
  <si>
    <t>01.04.11935484-5</t>
  </si>
  <si>
    <t>192.801.537-90</t>
  </si>
  <si>
    <t>01.04.11935485-3</t>
  </si>
  <si>
    <t>079.165.893-70</t>
  </si>
  <si>
    <t>01.04.11867934-1</t>
  </si>
  <si>
    <t>210.929.607-08</t>
  </si>
  <si>
    <t>01.04.11935483-7</t>
  </si>
  <si>
    <t>065.257.187-59</t>
  </si>
  <si>
    <t>01.04.11935487-1</t>
  </si>
  <si>
    <t>231.462.527-75</t>
  </si>
  <si>
    <t>01.04.11935489-6</t>
  </si>
  <si>
    <t>168.656.927-05</t>
  </si>
  <si>
    <t>01.04.11935482-9</t>
  </si>
  <si>
    <t>173.674.567-09</t>
  </si>
  <si>
    <t>01.04.11935488-8</t>
  </si>
  <si>
    <t>213.105.087-98</t>
  </si>
  <si>
    <t>01.04.11935486-1</t>
  </si>
  <si>
    <t>219.347.877-52</t>
  </si>
  <si>
    <t>01.04.11935481-1</t>
  </si>
  <si>
    <t>008.828.487-55</t>
  </si>
  <si>
    <t>01.04.12404976-1</t>
  </si>
  <si>
    <t>966.614.617-72</t>
  </si>
  <si>
    <t>01.04.16367206-7</t>
  </si>
  <si>
    <t>020.365.407-24</t>
  </si>
  <si>
    <t>01.04.15620942-1</t>
  </si>
  <si>
    <t>173.623.887-64</t>
  </si>
  <si>
    <t>01.04.13994477-1</t>
  </si>
  <si>
    <t>196.970.297-41</t>
  </si>
  <si>
    <t>01.04.13717209-5</t>
  </si>
  <si>
    <t>068.621.687-38</t>
  </si>
  <si>
    <t>01.04.14921061-2</t>
  </si>
  <si>
    <t>189.152.847-55</t>
  </si>
  <si>
    <t>01.04.12206509-3</t>
  </si>
  <si>
    <t>056.869.257-80</t>
  </si>
  <si>
    <t>01.04.14037041-2</t>
  </si>
  <si>
    <t>211.445.347-20</t>
  </si>
  <si>
    <t>01.04.12964755-1</t>
  </si>
  <si>
    <t>086.976.817-40</t>
  </si>
  <si>
    <t>01.04.12615273-1</t>
  </si>
  <si>
    <t>009.359.557-39</t>
  </si>
  <si>
    <t>01.04.12724814-5</t>
  </si>
  <si>
    <t>220.759.877-26</t>
  </si>
  <si>
    <t>01.04.12505192-1</t>
  </si>
  <si>
    <t>173.113.707-95</t>
  </si>
  <si>
    <t>01.04.12118495-1</t>
  </si>
  <si>
    <t>131.699.667-07</t>
  </si>
  <si>
    <t>01.04.12348528-2</t>
  </si>
  <si>
    <t>041.272.687-43</t>
  </si>
  <si>
    <t>01.04.15253994-8</t>
  </si>
  <si>
    <t>154.694.187-82</t>
  </si>
  <si>
    <t>01.04.12049228-8</t>
  </si>
  <si>
    <t>589.994.427-72</t>
  </si>
  <si>
    <t>01.04.12014078-1</t>
  </si>
  <si>
    <t>490.141.728-26</t>
  </si>
  <si>
    <t>01.04.14785510-1</t>
  </si>
  <si>
    <t>191.838.467-35</t>
  </si>
  <si>
    <t>01.04.08660126-1</t>
  </si>
  <si>
    <t>025.738.337-98</t>
  </si>
  <si>
    <t>01.04.15581943-7</t>
  </si>
  <si>
    <t>081.894.327-02</t>
  </si>
  <si>
    <t>01.04.13055002-7</t>
  </si>
  <si>
    <t>091.120.837-20</t>
  </si>
  <si>
    <t>01.04.15100583-4</t>
  </si>
  <si>
    <t>160.106.817-40</t>
  </si>
  <si>
    <t>01.04.12999186-4</t>
  </si>
  <si>
    <t>212.750.517-40</t>
  </si>
  <si>
    <t>01.04.12324177-4</t>
  </si>
  <si>
    <t>116.475.387-85</t>
  </si>
  <si>
    <t>01.04.11997008-2</t>
  </si>
  <si>
    <t>163.786.177-08</t>
  </si>
  <si>
    <t>01.04.11870531-8</t>
  </si>
  <si>
    <t>170.204.667-29</t>
  </si>
  <si>
    <t>01.04.15643407-5</t>
  </si>
  <si>
    <t>169.604.967-99</t>
  </si>
  <si>
    <t>01.04.14239203-1</t>
  </si>
  <si>
    <t>145.898.537-79</t>
  </si>
  <si>
    <t>01.04.12681946-7</t>
  </si>
  <si>
    <t>059.266.717-01</t>
  </si>
  <si>
    <t>01.04.15526386-2</t>
  </si>
  <si>
    <t>189.742.657-70</t>
  </si>
  <si>
    <t>01.04.13950931-3</t>
  </si>
  <si>
    <t>206.523.977-86</t>
  </si>
  <si>
    <t>01.04.15041909-1</t>
  </si>
  <si>
    <t>216.776.507-02</t>
  </si>
  <si>
    <t>01.04.13020414-5</t>
  </si>
  <si>
    <t>140.817.497-95</t>
  </si>
  <si>
    <t>01.04.12727707-2</t>
  </si>
  <si>
    <t>190.255.097-89</t>
  </si>
  <si>
    <t>01.04.12446157-3</t>
  </si>
  <si>
    <t>117.501.907-02</t>
  </si>
  <si>
    <t>01.04.12184329-7</t>
  </si>
  <si>
    <t>156.988.877-99</t>
  </si>
  <si>
    <t>01.04.11942949-7</t>
  </si>
  <si>
    <t>164.184.037-46</t>
  </si>
  <si>
    <t>01.04.13846304-2</t>
  </si>
  <si>
    <t>092.173.097-70</t>
  </si>
  <si>
    <t>01.04.12344929-4</t>
  </si>
  <si>
    <t>203.715.387-26</t>
  </si>
  <si>
    <t>01.04.12206539-5</t>
  </si>
  <si>
    <t>092.712.847-04</t>
  </si>
  <si>
    <t>01.04.12035844-1</t>
  </si>
  <si>
    <t>213.151.227-90</t>
  </si>
  <si>
    <t>01.04.12019342-6</t>
  </si>
  <si>
    <t>099.898.337-37</t>
  </si>
  <si>
    <t>01.04.08651095-9</t>
  </si>
  <si>
    <t>217.340.947-61</t>
  </si>
  <si>
    <t>01.04.11829041-1</t>
  </si>
  <si>
    <t>143.591.277-23</t>
  </si>
  <si>
    <t>01.04.11963746-4</t>
  </si>
  <si>
    <t>087.165.687-61</t>
  </si>
  <si>
    <t>01.04.14999058-8</t>
  </si>
  <si>
    <t>134.294.737-13</t>
  </si>
  <si>
    <t>01.04.14977702-7</t>
  </si>
  <si>
    <t>156.249.647-65</t>
  </si>
  <si>
    <t>01.04.12864311-1</t>
  </si>
  <si>
    <t>110.883.817-07</t>
  </si>
  <si>
    <t>01.04.16116509-5</t>
  </si>
  <si>
    <t>142.327.037-13</t>
  </si>
  <si>
    <t>01.04.13183474-6</t>
  </si>
  <si>
    <t>023.006.167-26</t>
  </si>
  <si>
    <t>01.04.15688147-1</t>
  </si>
  <si>
    <t>019.758.557-44</t>
  </si>
  <si>
    <t>01.04.16593936-2</t>
  </si>
  <si>
    <t>171.614.627-54</t>
  </si>
  <si>
    <t>01.04.16199679-5</t>
  </si>
  <si>
    <t>890.746.027-20</t>
  </si>
  <si>
    <t>01.04.15844853-7</t>
  </si>
  <si>
    <t>201.196.367-27</t>
  </si>
  <si>
    <t>01.04.13823593-7</t>
  </si>
  <si>
    <t>076.229.384-59</t>
  </si>
  <si>
    <t>01.04.08587297-1</t>
  </si>
  <si>
    <t>104.735.767-40</t>
  </si>
  <si>
    <t>01.04.15090718-4</t>
  </si>
  <si>
    <t>091.318.057-28</t>
  </si>
  <si>
    <t>01.04.14633737-9</t>
  </si>
  <si>
    <t>158.401.657-43</t>
  </si>
  <si>
    <t>01.04.12794633-1</t>
  </si>
  <si>
    <t>216.029.047-58</t>
  </si>
  <si>
    <t>01.04.12118493-5</t>
  </si>
  <si>
    <t>164.614.127-00</t>
  </si>
  <si>
    <t>01.04.13983499-1</t>
  </si>
  <si>
    <t>155.828.307-23</t>
  </si>
  <si>
    <t>01.04.13719762-4</t>
  </si>
  <si>
    <t>088.049.927-35</t>
  </si>
  <si>
    <t>01.04.13825779-5</t>
  </si>
  <si>
    <t>088.319.817-73</t>
  </si>
  <si>
    <t>01.04.11827695-6</t>
  </si>
  <si>
    <t>194.004.257-75</t>
  </si>
  <si>
    <t>01.04.13708321-1</t>
  </si>
  <si>
    <t>169.834.297-70</t>
  </si>
  <si>
    <t>01.04.13454639-3</t>
  </si>
  <si>
    <t>154.407.077-27</t>
  </si>
  <si>
    <t>01.04.16352881-1</t>
  </si>
  <si>
    <t>193.030.547-84</t>
  </si>
  <si>
    <t>01.04.13239831-1</t>
  </si>
  <si>
    <t>155.146.677-58</t>
  </si>
  <si>
    <t>01.04.08482396-8</t>
  </si>
  <si>
    <t>176.338.137-41</t>
  </si>
  <si>
    <t>01.04.13083110-7</t>
  </si>
  <si>
    <t>082.512.497-24</t>
  </si>
  <si>
    <t>01.04.15886716-5</t>
  </si>
  <si>
    <t>110.960.997-30</t>
  </si>
  <si>
    <t>01.04.15735725-2</t>
  </si>
  <si>
    <t>057.906.277-57</t>
  </si>
  <si>
    <t>01.04.12794874-1</t>
  </si>
  <si>
    <t>171.280.077-92</t>
  </si>
  <si>
    <t>01.04.12770150-8</t>
  </si>
  <si>
    <t>138.919.987-83</t>
  </si>
  <si>
    <t>01.04.16221948-2</t>
  </si>
  <si>
    <t>187.427.497-51</t>
  </si>
  <si>
    <t>01.04.15575023-2</t>
  </si>
  <si>
    <t>082.217.697-11</t>
  </si>
  <si>
    <t>01.04.16140031-1</t>
  </si>
  <si>
    <t>201.357.607-20</t>
  </si>
  <si>
    <t>01.04.12956241-6</t>
  </si>
  <si>
    <t>122.110.357-10</t>
  </si>
  <si>
    <t>01.04.12956240-8</t>
  </si>
  <si>
    <t>182.575.077-76</t>
  </si>
  <si>
    <t>01.04.12320140-3</t>
  </si>
  <si>
    <t>181.106.167-20</t>
  </si>
  <si>
    <t>01.04.12288153-2</t>
  </si>
  <si>
    <t>051.937.487-83</t>
  </si>
  <si>
    <t>01.04.12638589-1</t>
  </si>
  <si>
    <t>183.016.727-81</t>
  </si>
  <si>
    <t>01.04.12682491-6</t>
  </si>
  <si>
    <t>055.309.337-18</t>
  </si>
  <si>
    <t>01.04.12690850-8</t>
  </si>
  <si>
    <t>070.466.767-39</t>
  </si>
  <si>
    <t>01.04.16036000-5</t>
  </si>
  <si>
    <t>095.765.807-90</t>
  </si>
  <si>
    <t>01.04.12744212-1</t>
  </si>
  <si>
    <t>011.027.807-07</t>
  </si>
  <si>
    <t>01.04.11889360-2</t>
  </si>
  <si>
    <t>110.441.007-96</t>
  </si>
  <si>
    <t>01.04.12713368-2</t>
  </si>
  <si>
    <t>209.885.467-60</t>
  </si>
  <si>
    <t>01.04.12798720-7</t>
  </si>
  <si>
    <t>064.012.677-47</t>
  </si>
  <si>
    <t>01.04.12727722-6</t>
  </si>
  <si>
    <t>220.159.447-37</t>
  </si>
  <si>
    <t>01.04.12314386-1</t>
  </si>
  <si>
    <t>191.661.577-57</t>
  </si>
  <si>
    <t>01.04.12505635-4</t>
  </si>
  <si>
    <t>168.155.247-79</t>
  </si>
  <si>
    <t>01.04.12491092-1</t>
  </si>
  <si>
    <t>131.770.737-08</t>
  </si>
  <si>
    <t>01.04.14386557-9</t>
  </si>
  <si>
    <t>139.728.647-44</t>
  </si>
  <si>
    <t>01.04.12450245-8</t>
  </si>
  <si>
    <t>150.565.317-74</t>
  </si>
  <si>
    <t>01.04.12348521-5</t>
  </si>
  <si>
    <t>178.234.237-07</t>
  </si>
  <si>
    <t>01.04.12422798-8</t>
  </si>
  <si>
    <t>206.530.717-01</t>
  </si>
  <si>
    <t>01.04.12236995-5</t>
  </si>
  <si>
    <t>217.902.497-59</t>
  </si>
  <si>
    <t>01.04.12162316-5</t>
  </si>
  <si>
    <t>155.636.587-08</t>
  </si>
  <si>
    <t>01.04.11827697-2</t>
  </si>
  <si>
    <t>218.374.167-88</t>
  </si>
  <si>
    <t>01.04.12106362-3</t>
  </si>
  <si>
    <t>211.079.237-00</t>
  </si>
  <si>
    <t>01.04.12084369-2</t>
  </si>
  <si>
    <t>227.103.347-04</t>
  </si>
  <si>
    <t>01.04.11902687-2</t>
  </si>
  <si>
    <t>136.323.607-58</t>
  </si>
  <si>
    <t>01.04.11927514-7</t>
  </si>
  <si>
    <t>209.472.977-07</t>
  </si>
  <si>
    <t>01.04.13369642-1</t>
  </si>
  <si>
    <t>190.184.767-57</t>
  </si>
  <si>
    <t>01.04.13854864-1</t>
  </si>
  <si>
    <t>132.307.117-26</t>
  </si>
  <si>
    <t>01.04.14138583-9</t>
  </si>
  <si>
    <t>129.820.077-62</t>
  </si>
  <si>
    <t>01.04.13712317-5</t>
  </si>
  <si>
    <t>169.236.567-37</t>
  </si>
  <si>
    <t>01.04.13290710-1</t>
  </si>
  <si>
    <t>161.173.947-05</t>
  </si>
  <si>
    <t>01.04.13437252-2</t>
  </si>
  <si>
    <t>211.246.197-47</t>
  </si>
  <si>
    <t>01.04.12157515-2</t>
  </si>
  <si>
    <t>188.988.167-82</t>
  </si>
  <si>
    <t>01.04.12157516-1</t>
  </si>
  <si>
    <t>168.647.597-76</t>
  </si>
  <si>
    <t>01.04.12746712-2</t>
  </si>
  <si>
    <t>030.078.507-03</t>
  </si>
  <si>
    <t>01.04.11944979-1</t>
  </si>
  <si>
    <t>173.932.707-14</t>
  </si>
  <si>
    <t>01.04.12027579-1</t>
  </si>
  <si>
    <t>225.994.357-81</t>
  </si>
  <si>
    <t>01.04.12064422-3</t>
  </si>
  <si>
    <t>064.698.997-90</t>
  </si>
  <si>
    <t>01.04.11827696-4</t>
  </si>
  <si>
    <t>072.678.167-38</t>
  </si>
  <si>
    <t>01.04.16259037-7</t>
  </si>
  <si>
    <t>171.541.607-48</t>
  </si>
  <si>
    <t>01.04.12963017-9</t>
  </si>
  <si>
    <t>807.661.454-68</t>
  </si>
  <si>
    <t>01.04.12370873-7</t>
  </si>
  <si>
    <t>115.162.487-08</t>
  </si>
  <si>
    <t>01.04.13939289-1</t>
  </si>
  <si>
    <t>144.369.857-17</t>
  </si>
  <si>
    <t>01.04.14220617-2</t>
  </si>
  <si>
    <t>184.106.357-63</t>
  </si>
  <si>
    <t>01.04.13410220-7</t>
  </si>
  <si>
    <t>066.060.367-55</t>
  </si>
  <si>
    <t>01.04.12483423-1</t>
  </si>
  <si>
    <t>173.850.037-37</t>
  </si>
  <si>
    <t>01.04.12163229-6</t>
  </si>
  <si>
    <t>172.381.047-92</t>
  </si>
  <si>
    <t>01.04.12235698-5</t>
  </si>
  <si>
    <t>211.550.687-18</t>
  </si>
  <si>
    <t>01.04.12348541-1</t>
  </si>
  <si>
    <t>203.760.417-30</t>
  </si>
  <si>
    <t>01.04.11895387-7</t>
  </si>
  <si>
    <t>153.395.857-27</t>
  </si>
  <si>
    <t>01.04.11895388-5</t>
  </si>
  <si>
    <t>169.834.487-23</t>
  </si>
  <si>
    <t>01.04.11961165-1</t>
  </si>
  <si>
    <t>219.442.037-10</t>
  </si>
  <si>
    <t>01.04.11961164-3</t>
  </si>
  <si>
    <t>178.499.367-01</t>
  </si>
  <si>
    <t>01.04.11961166-1</t>
  </si>
  <si>
    <t>208.712.687-95</t>
  </si>
  <si>
    <t>01.04.11873976-1</t>
  </si>
  <si>
    <t>179.063.727-94</t>
  </si>
  <si>
    <t>01.04.11873977-8</t>
  </si>
  <si>
    <t>169.526.237-95</t>
  </si>
  <si>
    <t>01.04.12049225-3</t>
  </si>
  <si>
    <t>099.404.797-51</t>
  </si>
  <si>
    <t>01.04.14970041-5</t>
  </si>
  <si>
    <t>066.068.127-71</t>
  </si>
  <si>
    <t>01.04.13110823-9</t>
  </si>
  <si>
    <t>191.979.977-06</t>
  </si>
  <si>
    <t>01.04.12905249-3</t>
  </si>
  <si>
    <t>188.222.887-18</t>
  </si>
  <si>
    <t>01.04.14027271-2</t>
  </si>
  <si>
    <t>149.383.037-60</t>
  </si>
  <si>
    <t>01.04.12236996-3</t>
  </si>
  <si>
    <t>201.624.077-69</t>
  </si>
  <si>
    <t>01.04.12753970-1</t>
  </si>
  <si>
    <t>088.826.047-48</t>
  </si>
  <si>
    <t>01.04.14590993-1</t>
  </si>
  <si>
    <t>036.500.117-19</t>
  </si>
  <si>
    <t>01.04.12442583-6</t>
  </si>
  <si>
    <t>872.179.707-25</t>
  </si>
  <si>
    <t>01.04.12495109-1</t>
  </si>
  <si>
    <t>119.141.324-16</t>
  </si>
  <si>
    <t>01.04.12492966-4</t>
  </si>
  <si>
    <t>226.112.087-78</t>
  </si>
  <si>
    <t>01.04.12206953-6</t>
  </si>
  <si>
    <t>116.910.927-62</t>
  </si>
  <si>
    <t>01.04.15192998-1</t>
  </si>
  <si>
    <t>169.258.347-64</t>
  </si>
  <si>
    <t>01.04.11971135-4</t>
  </si>
  <si>
    <t>095.759.197-77</t>
  </si>
  <si>
    <t>01.04.16347168-1</t>
  </si>
  <si>
    <t>191.249.207-54</t>
  </si>
  <si>
    <t>01.04.12035843-3</t>
  </si>
  <si>
    <t>137.172.397-40</t>
  </si>
  <si>
    <t>01.04.14343403-9</t>
  </si>
  <si>
    <t>011.476.057-85</t>
  </si>
  <si>
    <t>01.04.14644546-5</t>
  </si>
  <si>
    <t>109.332.417-12</t>
  </si>
  <si>
    <t>01.04.14965319-1</t>
  </si>
  <si>
    <t>170.245.947-05</t>
  </si>
  <si>
    <t>01.04.12413069-1</t>
  </si>
  <si>
    <t>177.714.307-16</t>
  </si>
  <si>
    <t>01.04.13086503-6</t>
  </si>
  <si>
    <t>151.024.897-80</t>
  </si>
  <si>
    <t>01.04.13703075-4</t>
  </si>
  <si>
    <t>129.678.027-94</t>
  </si>
  <si>
    <t>01.04.13363956-8</t>
  </si>
  <si>
    <t>129.591.817-00</t>
  </si>
  <si>
    <t>01.04.12865254-3</t>
  </si>
  <si>
    <t>146.700.867-23</t>
  </si>
  <si>
    <t>01.04.13877958-9</t>
  </si>
  <si>
    <t>184.242.867-58</t>
  </si>
  <si>
    <t>01.04.13367880-6</t>
  </si>
  <si>
    <t>115.524.157-67</t>
  </si>
  <si>
    <t>01.04.12638651-1</t>
  </si>
  <si>
    <t>126.020.777-39</t>
  </si>
  <si>
    <t>01.04.16017378-7</t>
  </si>
  <si>
    <t>185.381.147-51</t>
  </si>
  <si>
    <t>01.04.11831494-7</t>
  </si>
  <si>
    <t>149.723.917-66</t>
  </si>
  <si>
    <t>01.04.12184330-1</t>
  </si>
  <si>
    <t>172.534.697-47</t>
  </si>
  <si>
    <t>01.04.12251585-4</t>
  </si>
  <si>
    <t>155.152.687-50</t>
  </si>
  <si>
    <t>01.04.12508059-1</t>
  </si>
  <si>
    <t>207.473.407-73</t>
  </si>
  <si>
    <t>01.04.11961169-4</t>
  </si>
  <si>
    <t>121.721.247-70</t>
  </si>
  <si>
    <t>01.04.11980601-1</t>
  </si>
  <si>
    <t>181.541.837-06</t>
  </si>
  <si>
    <t>01.04.12049227-1</t>
  </si>
  <si>
    <t>155.298.247-57</t>
  </si>
  <si>
    <t>01.04.11851874-7</t>
  </si>
  <si>
    <t>130.860.667-25</t>
  </si>
  <si>
    <t>01.04.16595126-5</t>
  </si>
  <si>
    <t>097.784.847-75</t>
  </si>
  <si>
    <t>01.04.12831334-1</t>
  </si>
  <si>
    <t>167.419.657-18</t>
  </si>
  <si>
    <t>01.04.12184740-3</t>
  </si>
  <si>
    <t>033.453.247-76</t>
  </si>
  <si>
    <t>01.04.11977040-7</t>
  </si>
  <si>
    <t>059.628.637-63</t>
  </si>
  <si>
    <t>01.04.15715790-3</t>
  </si>
  <si>
    <t>078.794.037-28</t>
  </si>
  <si>
    <t>01.04.15729183-9</t>
  </si>
  <si>
    <t>149.300.017-90</t>
  </si>
  <si>
    <t>01.04.14260206-1</t>
  </si>
  <si>
    <t>180.138.227-10</t>
  </si>
  <si>
    <t>01.04.13727882-9</t>
  </si>
  <si>
    <t>025.360.017-09</t>
  </si>
  <si>
    <t>01.04.14805750-1</t>
  </si>
  <si>
    <t>062.082.657-62</t>
  </si>
  <si>
    <t>01.04.14814708-9</t>
  </si>
  <si>
    <t>198.917.477-94</t>
  </si>
  <si>
    <t>01.04.13117916-1</t>
  </si>
  <si>
    <t>206.431.927-19</t>
  </si>
  <si>
    <t>01.04.12960451-8</t>
  </si>
  <si>
    <t>155.892.867-78</t>
  </si>
  <si>
    <t>01.04.12348531-2</t>
  </si>
  <si>
    <t>058.086.927-09</t>
  </si>
  <si>
    <t>01.04.12084368-4</t>
  </si>
  <si>
    <t>228.745.787-97</t>
  </si>
  <si>
    <t>01.04.11922202-7</t>
  </si>
  <si>
    <t>093.327.637-04</t>
  </si>
  <si>
    <t>01.04.13139952-7</t>
  </si>
  <si>
    <t>079.995.927-81</t>
  </si>
  <si>
    <t>01.04.15825004-4</t>
  </si>
  <si>
    <t>138.099.097-18</t>
  </si>
  <si>
    <t>01.04.15751108-1</t>
  </si>
  <si>
    <t>101.454.247-23</t>
  </si>
  <si>
    <t>01.04.12770247-4</t>
  </si>
  <si>
    <t>156.270.937-22</t>
  </si>
  <si>
    <t>01.04.14764695-2</t>
  </si>
  <si>
    <t>120.198.027-59</t>
  </si>
  <si>
    <t>01.04.15090765-6</t>
  </si>
  <si>
    <t>148.196.477-17</t>
  </si>
  <si>
    <t>01.04.14878592-1</t>
  </si>
  <si>
    <t>106.094.917-25</t>
  </si>
  <si>
    <t>01.04.12407946-6</t>
  </si>
  <si>
    <t>087.783.917-41</t>
  </si>
  <si>
    <t>01.04.16422116-6</t>
  </si>
  <si>
    <t>019.627.807-40</t>
  </si>
  <si>
    <t>01.04.13727881-1</t>
  </si>
  <si>
    <t>173.285.227-80</t>
  </si>
  <si>
    <t>01.04.13140880-1</t>
  </si>
  <si>
    <t>169.712.787-80</t>
  </si>
  <si>
    <t>01.04.12427230-4</t>
  </si>
  <si>
    <t>681.363.157-87</t>
  </si>
  <si>
    <t>01.04.13783591-4</t>
  </si>
  <si>
    <t>213.541.917-65</t>
  </si>
  <si>
    <t>01.04.12112112-7</t>
  </si>
  <si>
    <t>038.741.185-25</t>
  </si>
  <si>
    <t>01.04.12512695-6</t>
  </si>
  <si>
    <t>033.267.047-39</t>
  </si>
  <si>
    <t>01.04.15143926-5</t>
  </si>
  <si>
    <t>132.296.797-09</t>
  </si>
  <si>
    <t>01.04.12512818-5</t>
  </si>
  <si>
    <t>123.992.187-01</t>
  </si>
  <si>
    <t>01.04.14397760-1</t>
  </si>
  <si>
    <t>129.164.097-50</t>
  </si>
  <si>
    <t>01.04.12450246-6</t>
  </si>
  <si>
    <t>525.915.064-34</t>
  </si>
  <si>
    <t>01.04.12184738-1</t>
  </si>
  <si>
    <t>133.361.647-37</t>
  </si>
  <si>
    <t>01.04.12370868-1</t>
  </si>
  <si>
    <t>107.092.387-70</t>
  </si>
  <si>
    <t>01.04.16240720-3</t>
  </si>
  <si>
    <t>003.589.257-97</t>
  </si>
  <si>
    <t>01.04.13126120-7</t>
  </si>
  <si>
    <t>033.369.077-05</t>
  </si>
  <si>
    <t>01.04.14962723-8</t>
  </si>
  <si>
    <t>011.376.757-99</t>
  </si>
  <si>
    <t>01.04.13197629-1</t>
  </si>
  <si>
    <t>008.950.187-05</t>
  </si>
  <si>
    <t>01.04.08639538-6</t>
  </si>
  <si>
    <t>027.355.627-43</t>
  </si>
  <si>
    <t>01.04.13553514-1</t>
  </si>
  <si>
    <t>035.933.017-76</t>
  </si>
  <si>
    <t>01.04.16000952-9</t>
  </si>
  <si>
    <t>119.641.637-06</t>
  </si>
  <si>
    <t>01.04.14803512-4</t>
  </si>
  <si>
    <t>098.603.337-50</t>
  </si>
  <si>
    <t>01.04.13712558-5</t>
  </si>
  <si>
    <t>091.305.717-74</t>
  </si>
  <si>
    <t>01.04.12260084-3</t>
  </si>
  <si>
    <t>109.051.917-65</t>
  </si>
  <si>
    <t>01.04.12010915-8</t>
  </si>
  <si>
    <t>088.366.587-50</t>
  </si>
  <si>
    <t>01.04.11950264-1</t>
  </si>
  <si>
    <t>079.632.827-74</t>
  </si>
  <si>
    <t>01.04.13681720-3</t>
  </si>
  <si>
    <t>108.463.384-16</t>
  </si>
  <si>
    <t>01.04.11968225-7</t>
  </si>
  <si>
    <t>169.381.967-88</t>
  </si>
  <si>
    <t>01.04.13094211-1</t>
  </si>
  <si>
    <t>158.774.517-82</t>
  </si>
  <si>
    <t>01.04.15770189-1</t>
  </si>
  <si>
    <t>154.410.877-06</t>
  </si>
  <si>
    <t>01.04.08325136-7</t>
  </si>
  <si>
    <t>154.879.377-96</t>
  </si>
  <si>
    <t>01.04.13659214-7</t>
  </si>
  <si>
    <t>095.736.427-00</t>
  </si>
  <si>
    <t>01.04.08484232-6</t>
  </si>
  <si>
    <t>172.805.937-20</t>
  </si>
  <si>
    <t>01.04.15727756-9</t>
  </si>
  <si>
    <t>151.483.417-00</t>
  </si>
  <si>
    <t>01.04.15770193-1</t>
  </si>
  <si>
    <t>117.193.997-35</t>
  </si>
  <si>
    <t>01.04.12193634-1</t>
  </si>
  <si>
    <t>046.608.314-93</t>
  </si>
  <si>
    <t>01.04.15283918-6</t>
  </si>
  <si>
    <t>077.297.864-60</t>
  </si>
  <si>
    <t>01.04.15841912-1</t>
  </si>
  <si>
    <t>116.541.827-45</t>
  </si>
  <si>
    <t>01.04.14191705-9</t>
  </si>
  <si>
    <t>785.724.017-68</t>
  </si>
  <si>
    <t>01.04.13028698-2</t>
  </si>
  <si>
    <t>113.078.507-66</t>
  </si>
  <si>
    <t>01.04.12853782-5</t>
  </si>
  <si>
    <t>064.104.327-98</t>
  </si>
  <si>
    <t>01.04.08668058-7</t>
  </si>
  <si>
    <t>161.512.877-89</t>
  </si>
  <si>
    <t>01.04.13046674-3</t>
  </si>
  <si>
    <t>132.218.137-32</t>
  </si>
  <si>
    <t>01.04.15537517-2</t>
  </si>
  <si>
    <t>112.280.637-02</t>
  </si>
  <si>
    <t>01.04.16456297-4</t>
  </si>
  <si>
    <t>109.037.617-00</t>
  </si>
  <si>
    <t>01.04.13044250-1</t>
  </si>
  <si>
    <t>151.672.827-05</t>
  </si>
  <si>
    <t>01.04.12450255-5</t>
  </si>
  <si>
    <t>044.291.267-63</t>
  </si>
  <si>
    <t>01.04.12882081-1</t>
  </si>
  <si>
    <t>055.530.627-56</t>
  </si>
  <si>
    <t>01.04.13633201-3</t>
  </si>
  <si>
    <t>061.055.507-31</t>
  </si>
  <si>
    <t>01.04.12906770-9</t>
  </si>
  <si>
    <t>171.194.717-24</t>
  </si>
  <si>
    <t>01.04.15606655-6</t>
  </si>
  <si>
    <t>180.473.337-71</t>
  </si>
  <si>
    <t>01.04.12098821-6</t>
  </si>
  <si>
    <t>158.222.337-83</t>
  </si>
  <si>
    <t>01.04.13974239-5</t>
  </si>
  <si>
    <t>112.594.217-75</t>
  </si>
  <si>
    <t>01.04.13407923-1</t>
  </si>
  <si>
    <t>032.498.687-44</t>
  </si>
  <si>
    <t>01.04.16773908-5</t>
  </si>
  <si>
    <t>086.784.317-92</t>
  </si>
  <si>
    <t>01.04.12038510-4</t>
  </si>
  <si>
    <t>027.369.877-05</t>
  </si>
  <si>
    <t>01.04.16538862-5</t>
  </si>
  <si>
    <t>148.208.927-03</t>
  </si>
  <si>
    <t>01.04.12747628-8</t>
  </si>
  <si>
    <t>101.093.657-39</t>
  </si>
  <si>
    <t>01.04.13642930-1</t>
  </si>
  <si>
    <t>120.164.417-80</t>
  </si>
  <si>
    <t>01.04.12753975-1</t>
  </si>
  <si>
    <t>020.634.577-19</t>
  </si>
  <si>
    <t>01.04.12753971-9</t>
  </si>
  <si>
    <t>221.429.077-09</t>
  </si>
  <si>
    <t>01.04.12713361-5</t>
  </si>
  <si>
    <t>842.540.177-15</t>
  </si>
  <si>
    <t>01.04.15496371-2</t>
  </si>
  <si>
    <t>134.041.547-03</t>
  </si>
  <si>
    <t>01.04.12470020-9</t>
  </si>
  <si>
    <t>076.655.377-90</t>
  </si>
  <si>
    <t>01.04.13867274-1</t>
  </si>
  <si>
    <t>027.441.867-32</t>
  </si>
  <si>
    <t>01.04.12724823-4</t>
  </si>
  <si>
    <t>164.898.747-84</t>
  </si>
  <si>
    <t>01.04.13652461-3</t>
  </si>
  <si>
    <t>183.005.897-59</t>
  </si>
  <si>
    <t>01.04.11827691-3</t>
  </si>
  <si>
    <t>119.842.477-00</t>
  </si>
  <si>
    <t>01.04.14440157-6</t>
  </si>
  <si>
    <t>231.011.257-74</t>
  </si>
  <si>
    <t>01.04.12252871-9</t>
  </si>
  <si>
    <t>115.664.967-64</t>
  </si>
  <si>
    <t>01.04.08206833-1</t>
  </si>
  <si>
    <t>191.836.127-42</t>
  </si>
  <si>
    <t>01.04.13517183-1</t>
  </si>
  <si>
    <t>129.568.417-93</t>
  </si>
  <si>
    <t>01.04.12713358-5</t>
  </si>
  <si>
    <t>151.619.977-45</t>
  </si>
  <si>
    <t>01.04.14730874-7</t>
  </si>
  <si>
    <t>108.829.917-28</t>
  </si>
  <si>
    <t>01.04.12754269-8</t>
  </si>
  <si>
    <t>174.127.427-36</t>
  </si>
  <si>
    <t>01.04.12727735-8</t>
  </si>
  <si>
    <t>038.637.644-12</t>
  </si>
  <si>
    <t>01.04.11944974-9</t>
  </si>
  <si>
    <t>207.113.197-58</t>
  </si>
  <si>
    <t>01.04.12162515-1</t>
  </si>
  <si>
    <t>189.305.377-66</t>
  </si>
  <si>
    <t>01.04.08753746-1</t>
  </si>
  <si>
    <t>134.204.647-11</t>
  </si>
  <si>
    <t>01.04.12437022-5</t>
  </si>
  <si>
    <t>175.150.977-01</t>
  </si>
  <si>
    <t>01.04.15611877-7</t>
  </si>
  <si>
    <t>189.321.727-22</t>
  </si>
  <si>
    <t>01.04.13468651-9</t>
  </si>
  <si>
    <t>129.546.707-03</t>
  </si>
  <si>
    <t>01.04.13083111-5</t>
  </si>
  <si>
    <t>170.867.897-20</t>
  </si>
  <si>
    <t>01.04.12640261-2</t>
  </si>
  <si>
    <t>201.695.797-27</t>
  </si>
  <si>
    <t>01.04.12962778-1</t>
  </si>
  <si>
    <t>166.794.147-09</t>
  </si>
  <si>
    <t>01.04.12019103-2</t>
  </si>
  <si>
    <t>071.906.027-39</t>
  </si>
  <si>
    <t>01.04.08188987-9</t>
  </si>
  <si>
    <t>206.881.327-07</t>
  </si>
  <si>
    <t>01.04.11827692-1</t>
  </si>
  <si>
    <t>019.329.497-47</t>
  </si>
  <si>
    <t>01.04.12994676-1</t>
  </si>
  <si>
    <t>084.890.377-36</t>
  </si>
  <si>
    <t>01.04.13447254-3</t>
  </si>
  <si>
    <t>146.825.267-40</t>
  </si>
  <si>
    <t>01.04.12724824-2</t>
  </si>
  <si>
    <t>174.924.337-78</t>
  </si>
  <si>
    <t>01.04.13177946-1</t>
  </si>
  <si>
    <t>951.837.447-34</t>
  </si>
  <si>
    <t>01.04.15730548-1</t>
  </si>
  <si>
    <t>215.586.737-92</t>
  </si>
  <si>
    <t>01.04.12038512-1</t>
  </si>
  <si>
    <t>207.310.757-57</t>
  </si>
  <si>
    <t>01.04.12157509-8</t>
  </si>
  <si>
    <t>863.529.624-91</t>
  </si>
  <si>
    <t>01.04.12025894-3</t>
  </si>
  <si>
    <t>068.995.787-43</t>
  </si>
  <si>
    <t>01.04.13864906-5</t>
  </si>
  <si>
    <t>203.112.357-27</t>
  </si>
  <si>
    <t>01.04.14538619-8</t>
  </si>
  <si>
    <t>086.678.247-80</t>
  </si>
  <si>
    <t>01.04.08239034-7</t>
  </si>
  <si>
    <t>030.281.167-23</t>
  </si>
  <si>
    <t>01.04.08799386-4</t>
  </si>
  <si>
    <t>129.074.717-24</t>
  </si>
  <si>
    <t>01.04.15971167-3</t>
  </si>
  <si>
    <t>108.011.567-69</t>
  </si>
  <si>
    <t>01.04.12377051-3</t>
  </si>
  <si>
    <t>094.628.277-37</t>
  </si>
  <si>
    <t>01.04.14936212-9</t>
  </si>
  <si>
    <t>036.457.737-11</t>
  </si>
  <si>
    <t>01.04.12811477-1</t>
  </si>
  <si>
    <t>132.102.447-90</t>
  </si>
  <si>
    <t>01.04.12253248-1</t>
  </si>
  <si>
    <t>195.398.627-79</t>
  </si>
  <si>
    <t>01.04.13796170-7</t>
  </si>
  <si>
    <t>229.929.727-89</t>
  </si>
  <si>
    <t>01.04.13864944-8</t>
  </si>
  <si>
    <t>144.350.747-45</t>
  </si>
  <si>
    <t>01.04.13067420-6</t>
  </si>
  <si>
    <t>174.394.227-32</t>
  </si>
  <si>
    <t>01.04.12136747-9</t>
  </si>
  <si>
    <t>150.194.537-81</t>
  </si>
  <si>
    <t>01.04.12905246-9</t>
  </si>
  <si>
    <t>142.214.267-13</t>
  </si>
  <si>
    <t>01.04.12797731-7</t>
  </si>
  <si>
    <t>171.920.627-90</t>
  </si>
  <si>
    <t>01.04.14542463-4</t>
  </si>
  <si>
    <t>129.230.337-95</t>
  </si>
  <si>
    <t>01.04.12668634-3</t>
  </si>
  <si>
    <t>205.138.037-69</t>
  </si>
  <si>
    <t>01.04.12638666-8</t>
  </si>
  <si>
    <t>199.254.597-96</t>
  </si>
  <si>
    <t>01.04.12638667-6</t>
  </si>
  <si>
    <t>140.045.317-80</t>
  </si>
  <si>
    <t>01.04.11985791-1</t>
  </si>
  <si>
    <t>090.520.857-90</t>
  </si>
  <si>
    <t>01.04.12747436-6</t>
  </si>
  <si>
    <t>135.417.767-30</t>
  </si>
  <si>
    <t>01.04.12994541-2</t>
  </si>
  <si>
    <t>004.525.947-07</t>
  </si>
  <si>
    <t>01.04.16366392-1</t>
  </si>
  <si>
    <t>977.467.207-06</t>
  </si>
  <si>
    <t>01.04.08744636-7</t>
  </si>
  <si>
    <t>170.393.367-23</t>
  </si>
  <si>
    <t>01.04.12713347-1</t>
  </si>
  <si>
    <t>134.936.847-46</t>
  </si>
  <si>
    <t>01.04.12470022-5</t>
  </si>
  <si>
    <t>106.225.597-61</t>
  </si>
  <si>
    <t>01.04.15478726-4</t>
  </si>
  <si>
    <t>853.435.367-00</t>
  </si>
  <si>
    <t>01.04.15313680-4</t>
  </si>
  <si>
    <t>176.700.937-22</t>
  </si>
  <si>
    <t>01.04.12713344-5</t>
  </si>
  <si>
    <t>075.014.177-84</t>
  </si>
  <si>
    <t>01.04.16421150-1</t>
  </si>
  <si>
    <t>068.370.227-09</t>
  </si>
  <si>
    <t>01.04.16204605-7</t>
  </si>
  <si>
    <t>166.179.307-03</t>
  </si>
  <si>
    <t>01.04.14956201-2</t>
  </si>
  <si>
    <t>146.541.447-90</t>
  </si>
  <si>
    <t>01.04.11817265-4</t>
  </si>
  <si>
    <t>122.834.967-30</t>
  </si>
  <si>
    <t>01.04.16420809-7</t>
  </si>
  <si>
    <t>150.913.227-95</t>
  </si>
  <si>
    <t>01.04.16421296-5</t>
  </si>
  <si>
    <t>073.923.177-41</t>
  </si>
  <si>
    <t>01.04.12753978-6</t>
  </si>
  <si>
    <t>196.870.637-26</t>
  </si>
  <si>
    <t>01.04.12713357-7</t>
  </si>
  <si>
    <t>169.983.697-35</t>
  </si>
  <si>
    <t>01.04.12713351-8</t>
  </si>
  <si>
    <t>224.800.837-64</t>
  </si>
  <si>
    <t>01.04.11899449-2</t>
  </si>
  <si>
    <t>205.101.837-51</t>
  </si>
  <si>
    <t>01.04.12713350-1</t>
  </si>
  <si>
    <t>131.432.577-92</t>
  </si>
  <si>
    <t>01.04.12713356-9</t>
  </si>
  <si>
    <t>044.309.187-08</t>
  </si>
  <si>
    <t>01.04.12713364-1</t>
  </si>
  <si>
    <t>216.899.447-14</t>
  </si>
  <si>
    <t>01.04.12713360-7</t>
  </si>
  <si>
    <t>201.668.197-78</t>
  </si>
  <si>
    <t>01.04.13110848-4</t>
  </si>
  <si>
    <t>203.144.607-05</t>
  </si>
  <si>
    <t>01.04.12505634-6</t>
  </si>
  <si>
    <t>126.143.637-74</t>
  </si>
  <si>
    <t>01.04.14015699-2</t>
  </si>
  <si>
    <t>153.853.937-38</t>
  </si>
  <si>
    <t>01.04.12469810-7</t>
  </si>
  <si>
    <t>170.099.867-62</t>
  </si>
  <si>
    <t>01.04.12237934-9</t>
  </si>
  <si>
    <t>206.760.127-01</t>
  </si>
  <si>
    <t>01.04.12500149-5</t>
  </si>
  <si>
    <t>108.748.707-20</t>
  </si>
  <si>
    <t>01.04.16478044-1</t>
  </si>
  <si>
    <t>142.306.217-52</t>
  </si>
  <si>
    <t>01.04.14977650-1</t>
  </si>
  <si>
    <t>199.848.337-12</t>
  </si>
  <si>
    <t>01.04.12446160-3</t>
  </si>
  <si>
    <t>175.487.517-37</t>
  </si>
  <si>
    <t>01.04.12449170-7</t>
  </si>
  <si>
    <t>069.234.737-21</t>
  </si>
  <si>
    <t>01.04.12449169-3</t>
  </si>
  <si>
    <t>011.103.887-13</t>
  </si>
  <si>
    <t>01.04.12297691-6</t>
  </si>
  <si>
    <t>178.214.807-89</t>
  </si>
  <si>
    <t>01.04.12348520-7</t>
  </si>
  <si>
    <t>208.620.127-32</t>
  </si>
  <si>
    <t>01.04.12348530-4</t>
  </si>
  <si>
    <t>202.240.267-71</t>
  </si>
  <si>
    <t>01.04.12184744-6</t>
  </si>
  <si>
    <t>171.018.257-10</t>
  </si>
  <si>
    <t>01.04.12184741-1</t>
  </si>
  <si>
    <t>184.787.577-75</t>
  </si>
  <si>
    <t>01.04.12184746-2</t>
  </si>
  <si>
    <t>177.267.037-50</t>
  </si>
  <si>
    <t>01.04.12145724-9</t>
  </si>
  <si>
    <t>205.398.857-62</t>
  </si>
  <si>
    <t>01.04.12084367-6</t>
  </si>
  <si>
    <t>154.853.577-09</t>
  </si>
  <si>
    <t>01.04.12420138-5</t>
  </si>
  <si>
    <t>075.518.697-43</t>
  </si>
  <si>
    <t>01.04.11902686-4</t>
  </si>
  <si>
    <t>163.869.627-61</t>
  </si>
  <si>
    <t>01.04.11902685-6</t>
  </si>
  <si>
    <t>227.210.047-35</t>
  </si>
  <si>
    <t>01.04.11902800-1</t>
  </si>
  <si>
    <t>170.195.057-08</t>
  </si>
  <si>
    <t>01.04.12502163-1</t>
  </si>
  <si>
    <t>215.528.917-04</t>
  </si>
  <si>
    <t>01.04.11987049-5</t>
  </si>
  <si>
    <t>128.393.237-70</t>
  </si>
  <si>
    <t>01.04.11987053-3</t>
  </si>
  <si>
    <t>160.196.357-24</t>
  </si>
  <si>
    <t>01.04.12019102-4</t>
  </si>
  <si>
    <t>140.878.947-70</t>
  </si>
  <si>
    <t>01.04.12022643-1</t>
  </si>
  <si>
    <t>230.752.177-19</t>
  </si>
  <si>
    <t>01.04.11977204-3</t>
  </si>
  <si>
    <t>226.436.457-23</t>
  </si>
  <si>
    <t>01.04.11977205-1</t>
  </si>
  <si>
    <t>027.244.937-70</t>
  </si>
  <si>
    <t>01.04.16002844-2</t>
  </si>
  <si>
    <t>121.216.467-95</t>
  </si>
  <si>
    <t>01.04.12409788-1</t>
  </si>
  <si>
    <t>190.755.247-22</t>
  </si>
  <si>
    <t>01.04.13736432-6</t>
  </si>
  <si>
    <t>212.126.207-55</t>
  </si>
  <si>
    <t>01.04.11985788-1</t>
  </si>
  <si>
    <t>220.647.907-99</t>
  </si>
  <si>
    <t>01.04.12483747-6</t>
  </si>
  <si>
    <t>217.028.307-21</t>
  </si>
  <si>
    <t>01.04.11985790-1</t>
  </si>
  <si>
    <t>194.606.237-51</t>
  </si>
  <si>
    <t>01.04.12483750-6</t>
  </si>
  <si>
    <t>208.694.127-79</t>
  </si>
  <si>
    <t>01.04.11918165-7</t>
  </si>
  <si>
    <t>165.573.377-00</t>
  </si>
  <si>
    <t>01.04.12348542-8</t>
  </si>
  <si>
    <t>156.830.377-78</t>
  </si>
  <si>
    <t>01.04.12184747-1</t>
  </si>
  <si>
    <t>212.084.887-40</t>
  </si>
  <si>
    <t>01.04.12184749-7</t>
  </si>
  <si>
    <t>218.039.477-21</t>
  </si>
  <si>
    <t>01.04.12184745-4</t>
  </si>
  <si>
    <t>156.389.087-90</t>
  </si>
  <si>
    <t>01.04.12184743-8</t>
  </si>
  <si>
    <t>211.060.397-69</t>
  </si>
  <si>
    <t>01.04.12184750-1</t>
  </si>
  <si>
    <t>201.879.867-70</t>
  </si>
  <si>
    <t>01.04.11873974-3</t>
  </si>
  <si>
    <t>172.166.017-85</t>
  </si>
  <si>
    <t>01.04.11873975-1</t>
  </si>
  <si>
    <t>141.406.337-78</t>
  </si>
  <si>
    <t>01.04.14903059-2</t>
  </si>
  <si>
    <t>167.811.347-60</t>
  </si>
  <si>
    <t>01.04.12093102-8</t>
  </si>
  <si>
    <t>176.635.537-48</t>
  </si>
  <si>
    <t>01.04.11985787-1</t>
  </si>
  <si>
    <t>127.421.187-56</t>
  </si>
  <si>
    <t>01.04.13498854-1</t>
  </si>
  <si>
    <t>130.223.757-86</t>
  </si>
  <si>
    <t>01.04.11979394-6</t>
  </si>
  <si>
    <t>136.704.757-96</t>
  </si>
  <si>
    <t>01.04.11963749-9</t>
  </si>
  <si>
    <t>191.649.107-33</t>
  </si>
  <si>
    <t>01.04.12727709-9</t>
  </si>
  <si>
    <t>064.133.837-63</t>
  </si>
  <si>
    <t>01.04.14223351-1</t>
  </si>
  <si>
    <t>117.946.627-66</t>
  </si>
  <si>
    <t>01.04.12506986-3</t>
  </si>
  <si>
    <t>230.452.737-00</t>
  </si>
  <si>
    <t>01.04.12184748-9</t>
  </si>
  <si>
    <t>182.318.287-96</t>
  </si>
  <si>
    <t>01.04.11980252-1</t>
  </si>
  <si>
    <t>177.431.827-03</t>
  </si>
  <si>
    <t>01.04.13051904-9</t>
  </si>
  <si>
    <t>085.370.827-40</t>
  </si>
  <si>
    <t>01.04.12202729-9</t>
  </si>
  <si>
    <t>095.260.537-61</t>
  </si>
  <si>
    <t>01.04.13843330-5</t>
  </si>
  <si>
    <t>015.710.055-36</t>
  </si>
  <si>
    <t>01.04.15978644-4</t>
  </si>
  <si>
    <t>201.058.687-52</t>
  </si>
  <si>
    <t>01.04.15033343-9</t>
  </si>
  <si>
    <t>063.626.247-26</t>
  </si>
  <si>
    <t>01.04.12353145-4</t>
  </si>
  <si>
    <t>165.241.937-33</t>
  </si>
  <si>
    <t>01.04.12512389-2</t>
  </si>
  <si>
    <t>129.702.527-08</t>
  </si>
  <si>
    <t>01.04.13006994-9</t>
  </si>
  <si>
    <t>166.166.257-96</t>
  </si>
  <si>
    <t>01.04.14075525-1</t>
  </si>
  <si>
    <t>162.153.787-04</t>
  </si>
  <si>
    <t>01.04.14648351-1</t>
  </si>
  <si>
    <t>030.371.457-30</t>
  </si>
  <si>
    <t>01.04.12994647-8</t>
  </si>
  <si>
    <t>184.211.357-75</t>
  </si>
  <si>
    <t>01.04.13177833-1</t>
  </si>
  <si>
    <t>214.754.877-46</t>
  </si>
  <si>
    <t>01.04.12727730-7</t>
  </si>
  <si>
    <t>205.958.627-56</t>
  </si>
  <si>
    <t>01.04.11985789-8</t>
  </si>
  <si>
    <t>166.799.867-61</t>
  </si>
  <si>
    <t>01.04.14724594-1</t>
  </si>
  <si>
    <t>187.420.377-60</t>
  </si>
  <si>
    <t>01.04.12727729-3</t>
  </si>
  <si>
    <t>016.255.797-30</t>
  </si>
  <si>
    <t>01.04.12727734-1</t>
  </si>
  <si>
    <t>116.721.217-79</t>
  </si>
  <si>
    <t>01.04.12702973-7</t>
  </si>
  <si>
    <t>106.196.097-88</t>
  </si>
  <si>
    <t>01.04.14461971-7</t>
  </si>
  <si>
    <t>194.551.997-50</t>
  </si>
  <si>
    <t>01.04.12359141-4</t>
  </si>
  <si>
    <t>179.762.377-05</t>
  </si>
  <si>
    <t>01.04.12869440-8</t>
  </si>
  <si>
    <t>187.482.847-42</t>
  </si>
  <si>
    <t>01.04.12140636-9</t>
  </si>
  <si>
    <t>229.911.357-60</t>
  </si>
  <si>
    <t>01.04.12084915-1</t>
  </si>
  <si>
    <t>233.185.787-38</t>
  </si>
  <si>
    <t>01.04.11895386-9</t>
  </si>
  <si>
    <t>137.997.857-28</t>
  </si>
  <si>
    <t>01.04.13924106-1</t>
  </si>
  <si>
    <t>113.970.697-75</t>
  </si>
  <si>
    <t>01.04.11979393-8</t>
  </si>
  <si>
    <t>121.479.527-70</t>
  </si>
  <si>
    <t>01.04.12036115-9</t>
  </si>
  <si>
    <t>147.649.687-03</t>
  </si>
  <si>
    <t>01.04.11979395-4</t>
  </si>
  <si>
    <t>197.105.197-78</t>
  </si>
  <si>
    <t>01.04.12011647-2</t>
  </si>
  <si>
    <t>152.853.567-76</t>
  </si>
  <si>
    <t>01.04.11827693-1</t>
  </si>
  <si>
    <t>092.929.567-60</t>
  </si>
  <si>
    <t>01.04.15385765-1</t>
  </si>
  <si>
    <t>686.438.377-68</t>
  </si>
  <si>
    <t>01.04.12093101-1</t>
  </si>
  <si>
    <t>127.640.687-86</t>
  </si>
  <si>
    <t>01.04.11941609-3</t>
  </si>
  <si>
    <t>649.932.807-34</t>
  </si>
  <si>
    <t>01.04.15878476-6</t>
  </si>
  <si>
    <t>154.553.737-22</t>
  </si>
  <si>
    <t>01.04.14750105-9</t>
  </si>
  <si>
    <t>184.233.257-09</t>
  </si>
  <si>
    <t>01.04.12753977-8</t>
  </si>
  <si>
    <t>199.864.827-39</t>
  </si>
  <si>
    <t>01.04.12010916-6</t>
  </si>
  <si>
    <t>171.198.647-00</t>
  </si>
  <si>
    <t>01.04.12713366-6</t>
  </si>
  <si>
    <t>219.263.927-95</t>
  </si>
  <si>
    <t>01.04.12713365-8</t>
  </si>
  <si>
    <t>115.995.797-58</t>
  </si>
  <si>
    <t>01.04.12839417-1</t>
  </si>
  <si>
    <t>214.108.237-41</t>
  </si>
  <si>
    <t>01.04.12505632-1</t>
  </si>
  <si>
    <t>079.969.627-74</t>
  </si>
  <si>
    <t>01.04.14222741-2</t>
  </si>
  <si>
    <t>211.550.407-08</t>
  </si>
  <si>
    <t>01.04.12010917-4</t>
  </si>
  <si>
    <t>038.245.687-48</t>
  </si>
  <si>
    <t>01.04.08636904-1</t>
  </si>
  <si>
    <t>060.037.817-93</t>
  </si>
  <si>
    <t>01.04.11867932-5</t>
  </si>
  <si>
    <t>021.737.267-81</t>
  </si>
  <si>
    <t>01.04.15730866-9</t>
  </si>
  <si>
    <t>032.875.237-16</t>
  </si>
  <si>
    <t>01.04.08819037-4</t>
  </si>
  <si>
    <t>153.671.407-00</t>
  </si>
  <si>
    <t>01.04.11976652-3</t>
  </si>
  <si>
    <t>036.175.897-90</t>
  </si>
  <si>
    <t>01.04.12415281-3</t>
  </si>
  <si>
    <t>181.278.137-70</t>
  </si>
  <si>
    <t>01.04.12794621-7</t>
  </si>
  <si>
    <t>152.617.977-64</t>
  </si>
  <si>
    <t>01.04.12789437-3</t>
  </si>
  <si>
    <t>125.135.367-38</t>
  </si>
  <si>
    <t>01.04.12970434-2</t>
  </si>
  <si>
    <t>905.079.407-68</t>
  </si>
  <si>
    <t>01.04.12512691-3</t>
  </si>
  <si>
    <t>014.908.597-48</t>
  </si>
  <si>
    <t>01.04.12184461-7</t>
  </si>
  <si>
    <t>073.740.107-96</t>
  </si>
  <si>
    <t>01.04.15840863-2</t>
  </si>
  <si>
    <t>083.294.267-77</t>
  </si>
  <si>
    <t>01.04.12749461-8</t>
  </si>
  <si>
    <t>023.512.327-71</t>
  </si>
  <si>
    <t>01.04.12702982-6</t>
  </si>
  <si>
    <t>139.485.517-66</t>
  </si>
  <si>
    <t>01.04.08185545-1</t>
  </si>
  <si>
    <t>134.607.197-70</t>
  </si>
  <si>
    <t>01.04.12035847-6</t>
  </si>
  <si>
    <t>129.496.487-97</t>
  </si>
  <si>
    <t>01.04.14974304-1</t>
  </si>
  <si>
    <t>861.218.807-59</t>
  </si>
  <si>
    <t>01.04.11895385-1</t>
  </si>
  <si>
    <t>095.171.927-03</t>
  </si>
  <si>
    <t>01.04.13126808-2</t>
  </si>
  <si>
    <t>099.139.067-92</t>
  </si>
  <si>
    <t>01.04.12086592-1</t>
  </si>
  <si>
    <t>125.823.697-48</t>
  </si>
  <si>
    <t>01.04.12025895-1</t>
  </si>
  <si>
    <t>157.034.137-02</t>
  </si>
  <si>
    <t>01.04.11942953-5</t>
  </si>
  <si>
    <t>132.528.297-97</t>
  </si>
  <si>
    <t>01.04.11829039-8</t>
  </si>
  <si>
    <t>136.687.197-99</t>
  </si>
  <si>
    <t>01.04.12713369-1</t>
  </si>
  <si>
    <t>091.145.967-76</t>
  </si>
  <si>
    <t>01.04.14891258-3</t>
  </si>
  <si>
    <t>019.203.277-11</t>
  </si>
  <si>
    <t>01.04.16451464-3</t>
  </si>
  <si>
    <t>001.570.493-96</t>
  </si>
  <si>
    <t>01.04.14450581-9</t>
  </si>
  <si>
    <t>095.470.757-56</t>
  </si>
  <si>
    <t>01.04.12162181-2</t>
  </si>
  <si>
    <t>171.605.257-28</t>
  </si>
  <si>
    <t>01.04.12140635-1</t>
  </si>
  <si>
    <t>167.540.357-06</t>
  </si>
  <si>
    <t>01.04.12140070-1</t>
  </si>
  <si>
    <t>098.756.427-70</t>
  </si>
  <si>
    <t>01.04.11987054-1</t>
  </si>
  <si>
    <t>120.223.087-35</t>
  </si>
  <si>
    <t>01.04.13079823-1</t>
  </si>
  <si>
    <t>086.238.697-70</t>
  </si>
  <si>
    <t>01.04.11859985-2</t>
  </si>
  <si>
    <t>DEMISSÃO</t>
  </si>
  <si>
    <t>SEM CADASTRO</t>
  </si>
  <si>
    <t>NOVO CARTÃO</t>
  </si>
  <si>
    <t>INATIVO</t>
  </si>
  <si>
    <t>01.04.11861013-9</t>
  </si>
  <si>
    <t>01.04.11861012-1</t>
  </si>
  <si>
    <t>024.479.337-97</t>
  </si>
  <si>
    <t>140.196.077-45</t>
  </si>
  <si>
    <t>086.822.237-24</t>
  </si>
  <si>
    <t>122.898.447-64</t>
  </si>
  <si>
    <t>01.04.11950263-1</t>
  </si>
  <si>
    <t>230857.</t>
  </si>
  <si>
    <r>
      <t xml:space="preserve">RELATÓRIO DE VALORES ACUMULADOS MARÇO 2026 </t>
    </r>
    <r>
      <rPr>
        <b/>
        <sz val="26"/>
        <color rgb="FFFF0000"/>
        <rFont val="Calibri"/>
        <family val="2"/>
      </rPr>
      <t>(CONSOLIDADO)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</si>
  <si>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01)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</si>
  <si>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02)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</si>
  <si>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03)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</si>
  <si>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04)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</si>
  <si>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05)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</si>
  <si>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06)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</si>
  <si>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07)</t>
    </r>
  </si>
  <si>
    <r>
      <t xml:space="preserve">RELATÓRIO DE VALORES ACUMULADOS MARÇO 2026 </t>
    </r>
    <r>
      <rPr>
        <b/>
        <sz val="26"/>
        <color rgb="FFFF0000"/>
        <rFont val="Calibri"/>
        <family val="2"/>
      </rPr>
      <t>(FILIAL 08)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</si>
  <si>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09)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</si>
  <si>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10)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</si>
  <si>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11)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</si>
  <si>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12)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</si>
  <si>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13)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</si>
  <si>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15)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</si>
  <si>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16)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</si>
  <si>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17)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</si>
  <si>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18)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</si>
  <si>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19)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</si>
  <si>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20)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</si>
  <si>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21)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</si>
  <si>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22)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</si>
  <si>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23)</t>
    </r>
  </si>
  <si>
    <r>
      <t xml:space="preserve">RELATÓRIO DE VALORES ACUMULADOS MARÇO 2026 </t>
    </r>
    <r>
      <rPr>
        <b/>
        <sz val="26"/>
        <color rgb="FFFF0000"/>
        <rFont val="Calibri"/>
        <family val="2"/>
      </rPr>
      <t>(FILIAL 25)</t>
    </r>
  </si>
  <si>
    <r>
      <t xml:space="preserve">RELATÓRIO DE VALORES ACUMULADOS MARÇO 2026  </t>
    </r>
    <r>
      <rPr>
        <b/>
        <sz val="26"/>
        <color rgb="FFFF0000"/>
        <rFont val="Calibri"/>
        <family val="2"/>
      </rPr>
      <t>(FILIAL 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</si>
</sst>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-[$R$-416]\ * #,##0.00_-;\-[$R$-416]\ * #,##0.00_-;_-[$R$-416]\ * \-??_-;_-@_-"/>
    <numFmt numFmtId="166" formatCode="&quot;R$&quot;\ #,##0.00"/>
    <numFmt numFmtId="167" formatCode="_-[$R$-416]\ * #,##0.00_-;\-[$R$-416]\ * #,##0.00_-;_-[$R$-416]\ * &quot;-&quot;??_-;_-@_-"/>
    <numFmt numFmtId="168" formatCode="0000000"/>
    <numFmt numFmtId="169" formatCode="000000"/>
  </numFmts>
  <fonts count="4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6"/>
      <color rgb="FF000000"/>
      <name val="Calibri"/>
      <family val="2"/>
      <charset val="1"/>
    </font>
    <font>
      <sz val="9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4472C4"/>
      <name val="Calibri"/>
      <family val="2"/>
      <charset val="1"/>
    </font>
    <font>
      <b/>
      <sz val="9"/>
      <name val="Calibri"/>
      <family val="2"/>
      <charset val="1"/>
    </font>
    <font>
      <sz val="11"/>
      <name val="Calibri"/>
      <family val="2"/>
      <charset val="1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6"/>
      <color rgb="FFFF0000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charset val="1"/>
    </font>
    <font>
      <b/>
      <sz val="9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rgb="FF323232"/>
      <name val="Calibri"/>
      <family val="2"/>
      <charset val="1"/>
    </font>
    <font>
      <sz val="11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9" fontId="5" fillId="0" borderId="0" applyBorder="0" applyProtection="0"/>
    <xf numFmtId="0" fontId="4" fillId="0" borderId="0"/>
    <xf numFmtId="0" fontId="3" fillId="0" borderId="0"/>
    <xf numFmtId="0" fontId="2" fillId="0" borderId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2" fillId="11" borderId="13" applyNumberFormat="0" applyAlignment="0" applyProtection="0"/>
    <xf numFmtId="0" fontId="33" fillId="12" borderId="14" applyNumberFormat="0" applyAlignment="0" applyProtection="0"/>
    <xf numFmtId="0" fontId="34" fillId="12" borderId="13" applyNumberFormat="0" applyAlignment="0" applyProtection="0"/>
    <xf numFmtId="0" fontId="35" fillId="0" borderId="15" applyNumberFormat="0" applyFill="0" applyAlignment="0" applyProtection="0"/>
    <xf numFmtId="0" fontId="36" fillId="13" borderId="16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41" fillId="0" borderId="0" applyNumberFormat="0" applyFill="0" applyBorder="0" applyAlignment="0" applyProtection="0"/>
    <xf numFmtId="0" fontId="42" fillId="10" borderId="0" applyNumberFormat="0" applyBorder="0" applyAlignment="0" applyProtection="0"/>
    <xf numFmtId="0" fontId="1" fillId="14" borderId="17" applyNumberFormat="0" applyFont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4" fillId="0" borderId="0"/>
    <xf numFmtId="0" fontId="43" fillId="0" borderId="0"/>
    <xf numFmtId="0" fontId="44" fillId="0" borderId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3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43" fontId="5" fillId="0" borderId="0" applyFont="0" applyFill="0" applyBorder="0" applyAlignment="0" applyProtection="0"/>
  </cellStyleXfs>
  <cellXfs count="70">
    <xf numFmtId="0" fontId="0" fillId="0" borderId="0" xfId="0"/>
    <xf numFmtId="0" fontId="6" fillId="2" borderId="0" xfId="0" applyFont="1" applyFill="1"/>
    <xf numFmtId="0" fontId="8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11" fillId="3" borderId="1" xfId="0" applyFont="1" applyFill="1" applyBorder="1"/>
    <xf numFmtId="0" fontId="14" fillId="2" borderId="0" xfId="0" applyFont="1" applyFill="1" applyAlignment="1">
      <alignment horizontal="center"/>
    </xf>
    <xf numFmtId="0" fontId="9" fillId="6" borderId="0" xfId="0" applyFont="1" applyFill="1"/>
    <xf numFmtId="0" fontId="6" fillId="0" borderId="0" xfId="0" applyFont="1"/>
    <xf numFmtId="0" fontId="6" fillId="6" borderId="0" xfId="0" applyFont="1" applyFill="1"/>
    <xf numFmtId="1" fontId="8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164" fontId="18" fillId="6" borderId="0" xfId="0" applyNumberFormat="1" applyFont="1" applyFill="1" applyAlignment="1">
      <alignment horizontal="center"/>
    </xf>
    <xf numFmtId="166" fontId="18" fillId="6" borderId="0" xfId="0" applyNumberFormat="1" applyFont="1" applyFill="1" applyAlignment="1">
      <alignment horizontal="center"/>
    </xf>
    <xf numFmtId="0" fontId="20" fillId="4" borderId="0" xfId="0" applyFont="1" applyFill="1" applyAlignment="1">
      <alignment horizontal="center" vertical="center"/>
    </xf>
    <xf numFmtId="166" fontId="20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166" fontId="20" fillId="7" borderId="0" xfId="0" applyNumberFormat="1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7" fontId="20" fillId="4" borderId="0" xfId="0" applyNumberFormat="1" applyFont="1" applyFill="1" applyAlignment="1">
      <alignment horizontal="center" vertical="center"/>
    </xf>
    <xf numFmtId="166" fontId="19" fillId="7" borderId="0" xfId="0" applyNumberFormat="1" applyFont="1" applyFill="1" applyAlignment="1">
      <alignment horizontal="center" vertical="center"/>
    </xf>
    <xf numFmtId="166" fontId="19" fillId="7" borderId="0" xfId="0" applyNumberFormat="1" applyFont="1" applyFill="1" applyAlignment="1">
      <alignment horizontal="center"/>
    </xf>
    <xf numFmtId="166" fontId="20" fillId="5" borderId="0" xfId="0" applyNumberFormat="1" applyFont="1" applyFill="1" applyAlignment="1">
      <alignment horizontal="center" vertical="center"/>
    </xf>
    <xf numFmtId="1" fontId="20" fillId="4" borderId="0" xfId="0" applyNumberFormat="1" applyFont="1" applyFill="1" applyAlignment="1">
      <alignment horizontal="center" vertical="center"/>
    </xf>
    <xf numFmtId="0" fontId="6" fillId="5" borderId="0" xfId="0" applyFont="1" applyFill="1"/>
    <xf numFmtId="166" fontId="6" fillId="5" borderId="0" xfId="0" applyNumberFormat="1" applyFont="1" applyFill="1"/>
    <xf numFmtId="167" fontId="6" fillId="5" borderId="0" xfId="0" applyNumberFormat="1" applyFont="1" applyFill="1"/>
    <xf numFmtId="164" fontId="6" fillId="5" borderId="0" xfId="0" applyNumberFormat="1" applyFont="1" applyFill="1"/>
    <xf numFmtId="0" fontId="20" fillId="4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166" fontId="6" fillId="2" borderId="0" xfId="0" applyNumberFormat="1" applyFont="1" applyFill="1"/>
    <xf numFmtId="7" fontId="18" fillId="6" borderId="0" xfId="0" applyNumberFormat="1" applyFont="1" applyFill="1" applyAlignment="1">
      <alignment horizontal="center"/>
    </xf>
    <xf numFmtId="165" fontId="13" fillId="2" borderId="0" xfId="0" applyNumberFormat="1" applyFont="1" applyFill="1" applyAlignment="1">
      <alignment horizontal="center"/>
    </xf>
    <xf numFmtId="164" fontId="6" fillId="2" borderId="0" xfId="0" applyNumberFormat="1" applyFont="1" applyFill="1"/>
    <xf numFmtId="9" fontId="13" fillId="2" borderId="0" xfId="1" applyFont="1" applyFill="1" applyBorder="1" applyAlignment="1">
      <alignment horizontal="left" indent="1"/>
    </xf>
    <xf numFmtId="0" fontId="10" fillId="4" borderId="0" xfId="0" applyFont="1" applyFill="1" applyAlignment="1">
      <alignment horizontal="center"/>
    </xf>
    <xf numFmtId="9" fontId="13" fillId="5" borderId="0" xfId="1" applyFont="1" applyFill="1" applyBorder="1" applyAlignment="1">
      <alignment horizontal="left" indent="1"/>
    </xf>
    <xf numFmtId="0" fontId="12" fillId="3" borderId="1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165" fontId="13" fillId="5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2" fillId="4" borderId="0" xfId="0" applyFont="1" applyFill="1" applyAlignment="1">
      <alignment horizontal="center"/>
    </xf>
    <xf numFmtId="0" fontId="10" fillId="3" borderId="1" xfId="0" applyFont="1" applyFill="1" applyBorder="1"/>
    <xf numFmtId="166" fontId="13" fillId="2" borderId="3" xfId="0" applyNumberFormat="1" applyFont="1" applyFill="1" applyBorder="1" applyAlignment="1">
      <alignment horizontal="right" indent="1"/>
    </xf>
    <xf numFmtId="166" fontId="13" fillId="2" borderId="5" xfId="0" applyNumberFormat="1" applyFont="1" applyFill="1" applyBorder="1" applyAlignment="1">
      <alignment horizontal="right" indent="1"/>
    </xf>
    <xf numFmtId="0" fontId="6" fillId="2" borderId="0" xfId="0" applyFont="1" applyFill="1" applyAlignment="1">
      <alignment horizontal="right"/>
    </xf>
    <xf numFmtId="166" fontId="20" fillId="6" borderId="0" xfId="0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right"/>
    </xf>
    <xf numFmtId="0" fontId="13" fillId="5" borderId="2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2" borderId="6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5" xfId="0" applyFont="1" applyFill="1" applyBorder="1" applyAlignment="1">
      <alignment horizontal="right"/>
    </xf>
    <xf numFmtId="166" fontId="20" fillId="6" borderId="0" xfId="0" applyNumberFormat="1" applyFont="1" applyFill="1" applyAlignment="1">
      <alignment horizontal="center"/>
    </xf>
    <xf numFmtId="166" fontId="19" fillId="4" borderId="0" xfId="0" applyNumberFormat="1" applyFont="1" applyFill="1" applyAlignment="1">
      <alignment horizontal="center" vertical="center"/>
    </xf>
    <xf numFmtId="0" fontId="45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166" fontId="13" fillId="2" borderId="3" xfId="0" applyNumberFormat="1" applyFont="1" applyFill="1" applyBorder="1" applyAlignment="1">
      <alignment horizontal="right"/>
    </xf>
    <xf numFmtId="166" fontId="13" fillId="2" borderId="5" xfId="0" applyNumberFormat="1" applyFont="1" applyFill="1" applyBorder="1" applyAlignment="1">
      <alignment horizontal="right"/>
    </xf>
    <xf numFmtId="166" fontId="24" fillId="2" borderId="7" xfId="0" applyNumberFormat="1" applyFont="1" applyFill="1" applyBorder="1" applyAlignment="1">
      <alignment horizontal="right"/>
    </xf>
    <xf numFmtId="166" fontId="24" fillId="2" borderId="9" xfId="0" applyNumberFormat="1" applyFont="1" applyFill="1" applyBorder="1" applyAlignment="1">
      <alignment horizontal="right"/>
    </xf>
    <xf numFmtId="168" fontId="20" fillId="4" borderId="0" xfId="0" applyNumberFormat="1" applyFont="1" applyFill="1" applyAlignment="1">
      <alignment horizontal="center" vertical="center"/>
    </xf>
    <xf numFmtId="169" fontId="20" fillId="4" borderId="0" xfId="0" applyNumberFormat="1" applyFont="1" applyFill="1" applyAlignment="1">
      <alignment horizontal="center" vertical="center"/>
    </xf>
    <xf numFmtId="0" fontId="46" fillId="5" borderId="0" xfId="0" applyFont="1" applyFill="1"/>
    <xf numFmtId="3" fontId="9" fillId="2" borderId="4" xfId="0" applyNumberFormat="1" applyFont="1" applyFill="1" applyBorder="1" applyAlignment="1">
      <alignment horizontal="center"/>
    </xf>
    <xf numFmtId="3" fontId="9" fillId="2" borderId="4" xfId="6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</cellXfs>
  <cellStyles count="62">
    <cellStyle name="20% - Ênfase1" xfId="20" builtinId="30" customBuiltin="1"/>
    <cellStyle name="20% - Ênfase2" xfId="23" builtinId="34" customBuiltin="1"/>
    <cellStyle name="20% - Ênfase3" xfId="26" builtinId="38" customBuiltin="1"/>
    <cellStyle name="20% - Ênfase4" xfId="29" builtinId="42" customBuiltin="1"/>
    <cellStyle name="20% - Ênfase5" xfId="32" builtinId="46" customBuiltin="1"/>
    <cellStyle name="20% - Ênfase6" xfId="35" builtinId="50" customBuiltin="1"/>
    <cellStyle name="40% - Ênfase1" xfId="21" builtinId="31" customBuiltin="1"/>
    <cellStyle name="40% - Ênfase2" xfId="24" builtinId="35" customBuiltin="1"/>
    <cellStyle name="40% - Ênfase3" xfId="27" builtinId="39" customBuiltin="1"/>
    <cellStyle name="40% - Ênfase4" xfId="30" builtinId="43" customBuiltin="1"/>
    <cellStyle name="40% - Ênfase5" xfId="33" builtinId="47" customBuiltin="1"/>
    <cellStyle name="40% - Ênfase6" xfId="36" builtinId="51" customBuiltin="1"/>
    <cellStyle name="60% - Ênfase1 2" xfId="55" xr:uid="{3E4FE650-930E-4861-90B5-34601A9622FA}"/>
    <cellStyle name="60% - Ênfase1 3" xfId="41" xr:uid="{7E20FF8E-B0E8-44E0-8C41-D998EA9D072A}"/>
    <cellStyle name="60% - Ênfase2 2" xfId="56" xr:uid="{8A9C7DBB-7525-4271-9D3E-CF796CABBC7F}"/>
    <cellStyle name="60% - Ênfase2 3" xfId="42" xr:uid="{451CE948-BA93-49A2-A903-5300CF221CC5}"/>
    <cellStyle name="60% - Ênfase3 2" xfId="57" xr:uid="{40ADD282-958D-4B43-A2EC-FA7047683999}"/>
    <cellStyle name="60% - Ênfase3 3" xfId="43" xr:uid="{F72FD29E-9836-41F7-BEC9-4704A0810EC2}"/>
    <cellStyle name="60% - Ênfase4 2" xfId="58" xr:uid="{F40E51CD-2600-4CAA-8252-E192428DC27A}"/>
    <cellStyle name="60% - Ênfase4 3" xfId="44" xr:uid="{173238F1-D714-42F1-A1B0-E333FC33E041}"/>
    <cellStyle name="60% - Ênfase5 2" xfId="59" xr:uid="{B31133F1-EA52-4182-86DF-7B2AD77F828B}"/>
    <cellStyle name="60% - Ênfase5 3" xfId="45" xr:uid="{8DFFCB02-CFA5-4C7C-A8DA-3DFCB5F2F5E0}"/>
    <cellStyle name="60% - Ênfase6 2" xfId="60" xr:uid="{E09F5F88-6A23-472B-BA40-3618A57E90C2}"/>
    <cellStyle name="60% - Ênfase6 3" xfId="46" xr:uid="{E203145A-3206-49E2-9EAB-685DD567B8A8}"/>
    <cellStyle name="Bom" xfId="9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19" builtinId="29" customBuiltin="1"/>
    <cellStyle name="Ênfase2" xfId="22" builtinId="33" customBuiltin="1"/>
    <cellStyle name="Ênfase3" xfId="25" builtinId="37" customBuiltin="1"/>
    <cellStyle name="Ênfase4" xfId="28" builtinId="41" customBuiltin="1"/>
    <cellStyle name="Ênfase5" xfId="31" builtinId="45" customBuiltin="1"/>
    <cellStyle name="Ênfase6" xfId="34" builtinId="49" customBuiltin="1"/>
    <cellStyle name="Entrada" xfId="11" builtinId="20" customBuiltin="1"/>
    <cellStyle name="Moeda 2" xfId="52" xr:uid="{7919C046-402F-451F-B990-2A187A88D6DD}"/>
    <cellStyle name="Neutro 2" xfId="54" xr:uid="{E5602C9B-4CA3-4ED6-81A3-E26EF1475A39}"/>
    <cellStyle name="Neutro 3" xfId="39" xr:uid="{797EDC85-5C03-4C86-A57D-C7DC6D22CC5F}"/>
    <cellStyle name="Normal" xfId="0" builtinId="0"/>
    <cellStyle name="Normal 2" xfId="2" xr:uid="{649A355F-E255-4F14-8810-4EB6C539EEEF}"/>
    <cellStyle name="Normal 2 2" xfId="49" xr:uid="{C95848C2-5C0D-452C-86D4-67BA514ED9CB}"/>
    <cellStyle name="Normal 3" xfId="3" xr:uid="{79772541-5FEC-493E-92C5-B98DF3CB5A7A}"/>
    <cellStyle name="Normal 3 2" xfId="50" xr:uid="{B0CC3A0D-AE7B-41D3-8DF7-FDA67AA3AA24}"/>
    <cellStyle name="Normal 4" xfId="4" xr:uid="{55320EF2-9F53-4F2C-B836-FB3BADAA3941}"/>
    <cellStyle name="Normal 4 2" xfId="51" xr:uid="{D53EEC67-29D3-4BCA-BDE7-B4AF6CCAABA6}"/>
    <cellStyle name="Normal 5" xfId="37" xr:uid="{952492F8-769A-4CD2-8923-11D0FE255BA7}"/>
    <cellStyle name="Nota 2" xfId="40" xr:uid="{687498C0-ABD0-4239-94E2-EE7384AE3592}"/>
    <cellStyle name="Porcentagem" xfId="1" builtinId="5"/>
    <cellStyle name="Porcentagem 2" xfId="48" xr:uid="{B567D300-5B6F-4748-81CB-EEC73942B624}"/>
    <cellStyle name="Ruim" xfId="10" builtinId="27" customBuiltin="1"/>
    <cellStyle name="Saída" xfId="12" builtinId="21" customBuiltin="1"/>
    <cellStyle name="Texto de Aviso" xfId="16" builtinId="11" customBuiltin="1"/>
    <cellStyle name="Texto Explicativo" xfId="17" builtinId="53" customBuiltin="1"/>
    <cellStyle name="Título 1" xfId="5" builtinId="16" customBuiltin="1"/>
    <cellStyle name="Título 2" xfId="6" builtinId="17" customBuiltin="1"/>
    <cellStyle name="Título 3" xfId="7" builtinId="18" customBuiltin="1"/>
    <cellStyle name="Título 4" xfId="8" builtinId="19" customBuiltin="1"/>
    <cellStyle name="Título 5" xfId="53" xr:uid="{65650239-75A7-4205-9194-C7231F7EBFEA}"/>
    <cellStyle name="Título 6" xfId="38" xr:uid="{BC52A159-974C-4384-A3EE-491FD8299EF2}"/>
    <cellStyle name="Total" xfId="18" builtinId="25" customBuiltin="1"/>
    <cellStyle name="Vírgula" xfId="61" builtinId="3"/>
    <cellStyle name="Vírgula 2" xfId="47" xr:uid="{6FFA1398-E64F-45B5-8BFD-F0C78D61ED13}"/>
  </cellStyles>
  <dxfs count="13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rgb="FF000000"/>
        <name val="Calibri"/>
        <family val="2"/>
        <charset val="1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FFFFCC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rgb="FFCC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&quot;R$ 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1" formatCode="&quot;R$&quot;\ #,##0.00;\-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1" formatCode="&quot;R$&quot;\ #,##0.00;\-&quot;R$&quot;\ #,##0.00"/>
      <fill>
        <patternFill patternType="solid"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rgb="FF666699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bgColor rgb="FFFFFFFF"/>
        </patternFill>
      </fill>
      <alignment horizont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7099A20-7E66-423F-9F1A-4B6080DE1699}"/>
  </table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404040"/>
      <rgbColor rgb="FF993300"/>
      <rgbColor rgb="FF993366"/>
      <rgbColor rgb="FF333399"/>
      <rgbColor rgb="FF3232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GERAL!$S$1341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52-4FC2-8862-09AA749280D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52-4FC2-8862-09AA749280D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52-4FC2-8862-09AA749280D6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552-4FC2-8862-09AA749280D6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552-4FC2-8862-09AA749280D6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552-4FC2-8862-09AA749280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GERAL!$R$1342:$R$1344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GERAL!$S$1342:$S$1344</c:f>
              <c:numCache>
                <c:formatCode>General</c:formatCode>
                <c:ptCount val="3"/>
                <c:pt idx="0">
                  <c:v>1281</c:v>
                </c:pt>
                <c:pt idx="1">
                  <c:v>44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52-4FC2-8862-09AA7492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CONSOLIDADO!$S$1341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13-4C25-B8CE-9B3F210E1A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13-4C25-B8CE-9B3F210E1AC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13-4C25-B8CE-9B3F210E1AC7}"/>
              </c:ext>
            </c:extLst>
          </c:dPt>
          <c:dLbls>
            <c:dLbl>
              <c:idx val="0"/>
              <c:layout>
                <c:manualLayout>
                  <c:x val="0.29258606712856661"/>
                  <c:y val="-2.78231048836787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57293421979843"/>
                      <c:h val="0.193623538137585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13-4C25-B8CE-9B3F210E1AC7}"/>
                </c:ext>
              </c:extLst>
            </c:dLbl>
            <c:dLbl>
              <c:idx val="1"/>
              <c:layout>
                <c:manualLayout>
                  <c:x val="-0.14595595311782442"/>
                  <c:y val="-7.78049445461680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013615437359191"/>
                      <c:h val="0.19049504950495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913-4C25-B8CE-9B3F210E1AC7}"/>
                </c:ext>
              </c:extLst>
            </c:dLbl>
            <c:dLbl>
              <c:idx val="2"/>
              <c:layout>
                <c:manualLayout>
                  <c:x val="0.18532675758241313"/>
                  <c:y val="-7.06248186698887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8592594290209137"/>
                      <c:h val="0.193894004215446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913-4C25-B8CE-9B3F210E1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CONSOLIDADO!$R$1342:$R$1344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CONSOLIDADO!$S$1342:$S$1344</c:f>
              <c:numCache>
                <c:formatCode>#,##0</c:formatCode>
                <c:ptCount val="3"/>
                <c:pt idx="0">
                  <c:v>1266</c:v>
                </c:pt>
                <c:pt idx="1">
                  <c:v>44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13-4C25-B8CE-9B3F210E1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'FL01'!$S$281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8A-45D6-A558-2380E2FE25E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8A-45D6-A558-2380E2FE25E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8A-45D6-A558-2380E2FE25E8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38A-45D6-A558-2380E2FE25E8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38A-45D6-A558-2380E2FE25E8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38A-45D6-A558-2380E2FE25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'FL01'!$R$282:$R$284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'FL01'!$S$282:$S$284</c:f>
              <c:numCache>
                <c:formatCode>General</c:formatCode>
                <c:ptCount val="3"/>
                <c:pt idx="0">
                  <c:v>260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8A-45D6-A558-2380E2FE2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'FL02'!$S$9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E4-4C67-AFAF-59418A4025D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E4-4C67-AFAF-59418A4025D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E4-4C67-AFAF-59418A4025D4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FE4-4C67-AFAF-59418A4025D4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FE4-4C67-AFAF-59418A4025D4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FE4-4C67-AFAF-59418A4025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'FL02'!$R$10:$R$12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'FL02'!$S$10:$S$12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E4-4C67-AFAF-59418A40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'FL03'!$S$102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36-4AEE-ABA6-6A136E4D328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6-4AEE-ABA6-6A136E4D328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6-4AEE-ABA6-6A136E4D3289}"/>
              </c:ext>
            </c:extLst>
          </c:dPt>
          <c:dLbls>
            <c:dLbl>
              <c:idx val="0"/>
              <c:layout>
                <c:manualLayout>
                  <c:x val="0.13724024431347739"/>
                  <c:y val="-0.1115762857048726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936-4AEE-ABA6-6A136E4D3289}"/>
                </c:ext>
              </c:extLst>
            </c:dLbl>
            <c:dLbl>
              <c:idx val="1"/>
              <c:layout>
                <c:manualLayout>
                  <c:x val="-4.5864652951655552E-2"/>
                  <c:y val="1.564919447830518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936-4AEE-ABA6-6A136E4D3289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936-4AEE-ABA6-6A136E4D3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'FL03'!$R$103:$R$105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'FL03'!$S$103:$S$105</c:f>
              <c:numCache>
                <c:formatCode>General</c:formatCode>
                <c:ptCount val="3"/>
                <c:pt idx="0">
                  <c:v>88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36-4AEE-ABA6-6A136E4D3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'FL04'!$S$147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3-4E44-A35F-AB1D32DDEF3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3-4E44-A35F-AB1D32DDEF3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63-4E44-A35F-AB1D32DDEF33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063-4E44-A35F-AB1D32DDEF33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063-4E44-A35F-AB1D32DDEF33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063-4E44-A35F-AB1D32DDE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'FL04'!$R$148:$R$150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'FL04'!$S$148:$S$150</c:f>
              <c:numCache>
                <c:formatCode>General</c:formatCode>
                <c:ptCount val="3"/>
                <c:pt idx="0">
                  <c:v>137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63-4E44-A35F-AB1D32DDE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'FL05'!$S$137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A-4088-A30D-C959BFA8FD0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9A-4088-A30D-C959BFA8FD0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9A-4088-A30D-C959BFA8FD03}"/>
              </c:ext>
            </c:extLst>
          </c:dPt>
          <c:dLbls>
            <c:dLbl>
              <c:idx val="0"/>
              <c:layout>
                <c:manualLayout>
                  <c:x val="0.13938560797765479"/>
                  <c:y val="-0.16736429128367328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B9A-4088-A30D-C959BFA8FD03}"/>
                </c:ext>
              </c:extLst>
            </c:dLbl>
            <c:dLbl>
              <c:idx val="1"/>
              <c:layout>
                <c:manualLayout>
                  <c:x val="-1.8909757313557402E-2"/>
                  <c:y val="2.94589222372307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B9A-4088-A30D-C959BFA8FD03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B9A-4088-A30D-C959BFA8FD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'FL05'!$R$138:$R$140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'FL05'!$S$138:$S$140</c:f>
              <c:numCache>
                <c:formatCode>General</c:formatCode>
                <c:ptCount val="3"/>
                <c:pt idx="0">
                  <c:v>118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9A-4088-A30D-C959BFA8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'FL06'!$S$35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B4-4171-A684-C5670ABBD6E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B4-4171-A684-C5670ABBD6E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B4-4171-A684-C5670ABBD6E7}"/>
              </c:ext>
            </c:extLst>
          </c:dPt>
          <c:dLbls>
            <c:dLbl>
              <c:idx val="0"/>
              <c:layout>
                <c:manualLayout>
                  <c:x val="0.10683406800194743"/>
                  <c:y val="-0.13249678779692295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DB4-4171-A684-C5670ABBD6E7}"/>
                </c:ext>
              </c:extLst>
            </c:dLbl>
            <c:dLbl>
              <c:idx val="1"/>
              <c:layout>
                <c:manualLayout>
                  <c:x val="-5.4544234218804132E-2"/>
                  <c:y val="6.43264257239811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DB4-4171-A684-C5670ABBD6E7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DB4-4171-A684-C5670ABBD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'FL06'!$R$36:$R$38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'FL06'!$S$36:$S$38</c:f>
              <c:numCache>
                <c:formatCode>General</c:formatCode>
                <c:ptCount val="3"/>
                <c:pt idx="0">
                  <c:v>25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B4-4171-A684-C5670ABB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'FL07'!$S$18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B1-4A1C-9544-B8DA9235714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B1-4A1C-9544-B8DA9235714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B1-4A1C-9544-B8DA92357146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4B1-4A1C-9544-B8DA92357146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4B1-4A1C-9544-B8DA92357146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4B1-4A1C-9544-B8DA923571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'FL07'!$R$19:$R$21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'FL07'!$S$19:$S$21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B1-4A1C-9544-B8DA92357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'FL08'!$S$28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1-4F28-B10D-9D2740D972B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1-4F28-B10D-9D2740D972B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1-4F28-B10D-9D2740D972B0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5E1-4F28-B10D-9D2740D972B0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5E1-4F28-B10D-9D2740D972B0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5E1-4F28-B10D-9D2740D97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'FL08'!$R$29:$R$31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'FL08'!$S$29:$S$31</c:f>
              <c:numCache>
                <c:formatCode>General</c:formatCode>
                <c:ptCount val="3"/>
                <c:pt idx="0">
                  <c:v>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E1-4F28-B10D-9D2740D9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'FL09'!$S$44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7C-42C1-B104-35A16E0D75C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7C-42C1-B104-35A16E0D75C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7C-42C1-B104-35A16E0D75C3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97C-42C1-B104-35A16E0D75C3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97C-42C1-B104-35A16E0D75C3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97C-42C1-B104-35A16E0D75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'FL09'!$R$45:$R$47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'FL09'!$S$45:$S$47</c:f>
              <c:numCache>
                <c:formatCode>General</c:formatCode>
                <c:ptCount val="3"/>
                <c:pt idx="0">
                  <c:v>34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7C-42C1-B104-35A16E0D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'FL10'!$S$18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36-4955-B11C-F10EB5BBF05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36-4955-B11C-F10EB5BBF051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36-4955-B11C-F10EB5BBF051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E36-4955-B11C-F10EB5BBF051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E36-4955-B11C-F10EB5BBF051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E36-4955-B11C-F10EB5BBF0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'FL10'!$R$19:$R$21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'FL10'!$S$19:$S$21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36-4955-B11C-F10EB5BB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'FL11'!$S$17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34-4E09-B5A0-E06EEBF9888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34-4E09-B5A0-E06EEBF9888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34-4E09-B5A0-E06EEBF98885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734-4E09-B5A0-E06EEBF98885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734-4E09-B5A0-E06EEBF98885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734-4E09-B5A0-E06EEBF98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'FL11'!$R$18:$R$20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'FL11'!$S$18:$S$20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34-4E09-B5A0-E06EEBF98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'FL12'!$S$15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3-4CEC-9761-DA373886A61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3-4CEC-9761-DA373886A61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3-4CEC-9761-DA373886A613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F43-4CEC-9761-DA373886A613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F43-4CEC-9761-DA373886A613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F43-4CEC-9761-DA373886A6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'FL12'!$R$16:$R$18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'FL12'!$S$16:$S$18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43-4CEC-9761-DA373886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'FL13'!$S$44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A-4373-86FF-30AF5313ABC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A-4373-86FF-30AF5313ABC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3A-4373-86FF-30AF5313ABC6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83A-4373-86FF-30AF5313ABC6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83A-4373-86FF-30AF5313ABC6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83A-4373-86FF-30AF5313AB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'FL13'!$R$45:$R$47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'FL13'!$S$45:$S$47</c:f>
              <c:numCache>
                <c:formatCode>General</c:formatCode>
                <c:ptCount val="3"/>
                <c:pt idx="0">
                  <c:v>36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3A-4373-86FF-30AF5313A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'FL15'!$S$14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73-4636-879E-A3F1E7F491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3-4636-879E-A3F1E7F4910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3-4636-879E-A3F1E7F49104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573-4636-879E-A3F1E7F49104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573-4636-879E-A3F1E7F49104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573-4636-879E-A3F1E7F491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'FL15'!$R$15:$R$17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'FL15'!$S$15:$S$17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73-4636-879E-A3F1E7F49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'FL16'!$S$16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3C-437E-A01E-9DCEA170377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3C-437E-A01E-9DCEA170377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3C-437E-A01E-9DCEA170377F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43C-437E-A01E-9DCEA170377F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43C-437E-A01E-9DCEA170377F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43C-437E-A01E-9DCEA1703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'FL16'!$R$17:$R$19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'FL16'!$S$17:$S$19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3C-437E-A01E-9DCEA1703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'FL17'!$S$13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C-494E-847A-F404EBF9092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C-494E-847A-F404EBF9092B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EC-494E-847A-F404EBF9092B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EC-494E-847A-F404EBF9092B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EC-494E-847A-F404EBF9092B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2EC-494E-847A-F404EBF90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'FL17'!$R$14:$R$16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'FL17'!$S$14:$S$16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EC-494E-847A-F404EBF90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'FL18'!$S$14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57-4C13-A549-A265B6131BD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57-4C13-A549-A265B6131BD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57-4C13-A549-A265B6131BD9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E57-4C13-A549-A265B6131BD9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E57-4C13-A549-A265B6131BD9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E57-4C13-A549-A265B6131B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'FL18'!$R$15:$R$17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'FL18'!$S$15:$S$17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57-4C13-A549-A265B6131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'FL19'!$S$18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4E-44BB-B8A6-C813D885683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4E-44BB-B8A6-C813D885683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4E-44BB-B8A6-C813D8856832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A4E-44BB-B8A6-C813D8856832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A4E-44BB-B8A6-C813D8856832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A4E-44BB-B8A6-C813D88568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'FL19'!$R$19:$R$21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'FL19'!$S$19:$S$21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4E-44BB-B8A6-C813D8856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'FL20'!$S$27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5-47B5-A873-AF8355EA997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5-47B5-A873-AF8355EA997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5-47B5-A873-AF8355EA9979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B35-47B5-A873-AF8355EA9979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B35-47B5-A873-AF8355EA9979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B35-47B5-A873-AF8355EA9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'FL20'!$R$28:$R$30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'FL20'!$S$28:$S$30</c:f>
              <c:numCache>
                <c:formatCode>General</c:formatCode>
                <c:ptCount val="3"/>
                <c:pt idx="0">
                  <c:v>19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5-47B5-A873-AF8355EA9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'FL21'!$S$24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51-4A9C-BB68-87B1B30A9F6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51-4A9C-BB68-87B1B30A9F6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51-4A9C-BB68-87B1B30A9F63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51-4A9C-BB68-87B1B30A9F63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51-4A9C-BB68-87B1B30A9F63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051-4A9C-BB68-87B1B30A9F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'FL21'!$R$25:$R$27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'FL21'!$S$25:$S$27</c:f>
              <c:numCache>
                <c:formatCode>General</c:formatCode>
                <c:ptCount val="3"/>
                <c:pt idx="0">
                  <c:v>17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51-4A9C-BB68-87B1B30A9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'FL22'!$S$226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3C-44ED-87A0-4AE56671B10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3C-44ED-87A0-4AE56671B10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3C-44ED-87A0-4AE56671B10C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43C-44ED-87A0-4AE56671B10C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43C-44ED-87A0-4AE56671B10C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43C-44ED-87A0-4AE56671B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'FL22'!$R$227:$R$229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'FL22'!$S$227:$S$229</c:f>
              <c:numCache>
                <c:formatCode>General</c:formatCode>
                <c:ptCount val="3"/>
                <c:pt idx="0">
                  <c:v>207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3C-44ED-87A0-4AE56671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'FL23'!$S$10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56-49BC-9751-4EF429B6727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56-49BC-9751-4EF429B6727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56-49BC-9751-4EF429B6727A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C56-49BC-9751-4EF429B6727A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C56-49BC-9751-4EF429B6727A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C56-49BC-9751-4EF429B672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'FL23'!$R$11:$R$13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'FL23'!$S$11:$S$13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56-49BC-9751-4EF429B6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'FL25'!$S$32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7D-485B-9639-94180BE83C1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7D-485B-9639-94180BE83C1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D-485B-9639-94180BE83C1E}"/>
              </c:ext>
            </c:extLst>
          </c:dPt>
          <c:dLbls>
            <c:dLbl>
              <c:idx val="0"/>
              <c:layout>
                <c:manualLayout>
                  <c:x val="0.23608083328145707"/>
                  <c:y val="-2.7454727154921535E-7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F7D-485B-9639-94180BE83C1E}"/>
                </c:ext>
              </c:extLst>
            </c:dLbl>
            <c:dLbl>
              <c:idx val="1"/>
              <c:layout>
                <c:manualLayout>
                  <c:x val="-0.33666695824124887"/>
                  <c:y val="8.5246927816031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F7D-485B-9639-94180BE83C1E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F7D-485B-9639-94180BE83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'FL25'!$R$33:$R$35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'FL25'!$S$33:$S$35</c:f>
              <c:numCache>
                <c:formatCode>General</c:formatCode>
                <c:ptCount val="3"/>
                <c:pt idx="0">
                  <c:v>23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D-485B-9639-94180BE83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83333333333331"/>
          <c:y val="9.9537037037037035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'FL26'!$S$224</c:f>
              <c:strCache>
                <c:ptCount val="1"/>
                <c:pt idx="0">
                  <c:v>Coluna1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79-44D1-8287-5AC86CC4ECE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79-44D1-8287-5AC86CC4ECE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79-44D1-8287-5AC86CC4ECEF}"/>
              </c:ext>
            </c:extLst>
          </c:dPt>
          <c:dLbls>
            <c:dLbl>
              <c:idx val="0"/>
              <c:layout>
                <c:manualLayout>
                  <c:x val="0.25033497252316189"/>
                  <c:y val="-0.25801980034922412"/>
                </c:manualLayout>
              </c:layout>
              <c:tx>
                <c:rich>
                  <a:bodyPr/>
                  <a:lstStyle/>
                  <a:p>
                    <a:fld id="{E598A406-A284-48CE-A521-5EA9AECEA60A}" type="CATEGORYNAME">
                      <a:rPr lang="en-US" b="1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FACE74D-BA33-4F71-83CD-6217E4F01A6E}" type="VALUE">
                      <a:rPr lang="en-US" b="1" baseline="0"/>
                      <a:pPr/>
                      <a:t>[VALOR]</a:t>
                    </a:fld>
                    <a:r>
                      <a:rPr lang="en-US" b="1" baseline="0"/>
                      <a:t>
</a:t>
                    </a:r>
                    <a:fld id="{8AF2FD48-027B-4DF1-A1DC-F9BB65FFBB52}" type="PERCENTAGE">
                      <a:rPr lang="en-US" b="1" baseline="0"/>
                      <a:pPr/>
                      <a:t>[PORCENTAGEM]</a:t>
                    </a:fld>
                    <a:endParaRPr lang="en-US" b="1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83030138474072"/>
                      <c:h val="0.297687710929262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F79-44D1-8287-5AC86CC4ECEF}"/>
                </c:ext>
              </c:extLst>
            </c:dLbl>
            <c:dLbl>
              <c:idx val="1"/>
              <c:layout>
                <c:manualLayout>
                  <c:x val="-0.24829112945170009"/>
                  <c:y val="0.168928936184232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2056FB-9841-44E2-BA11-5B18D52469A0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="1" baseline="0"/>
                      <a:t>
</a:t>
                    </a:r>
                    <a:fld id="{8A0B2D63-249F-45C1-B671-2347D915410F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23C4ED93-7729-48BB-9B43-FECD075E1B88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1105406283262"/>
                      <c:h val="0.316099537126038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F79-44D1-8287-5AC86CC4ECEF}"/>
                </c:ext>
              </c:extLst>
            </c:dLbl>
            <c:dLbl>
              <c:idx val="2"/>
              <c:layout>
                <c:manualLayout>
                  <c:x val="0.31817778074805225"/>
                  <c:y val="2.0920502092050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A19BB3-D6C2-47D5-98EF-CE537A7350B3}" type="CATEGORYNAME">
                      <a:rPr lang="en-US" b="1"/>
                      <a:pPr>
                        <a:defRPr sz="1000"/>
                      </a:pPr>
                      <a:t>[NOME DA CATEGORIA]</a:t>
                    </a:fld>
                    <a:r>
                      <a:rPr lang="en-US" baseline="0"/>
                      <a:t>
</a:t>
                    </a:r>
                    <a:fld id="{7C1126B0-5985-4D53-A592-64E4C35218E1}" type="VALUE">
                      <a:rPr lang="en-US" b="1" baseline="0"/>
                      <a:pPr>
                        <a:defRPr sz="1000"/>
                      </a:pPr>
                      <a:t>[VALOR]</a:t>
                    </a:fld>
                    <a:r>
                      <a:rPr lang="en-US" b="1" baseline="0"/>
                      <a:t>
</a:t>
                    </a:r>
                    <a:fld id="{BA9549B2-E186-4F12-93F4-C1DC40F30B5A}" type="PERCENTAGE">
                      <a:rPr lang="en-US" b="1" baseline="0"/>
                      <a:pPr>
                        <a:defRPr sz="1000"/>
                      </a:pPr>
                      <a:t>[PORCENTAGEM]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611313514437982"/>
                      <c:h val="0.323589650666051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F79-44D1-8287-5AC86CC4E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'FL26'!$R$225:$R$227</c:f>
              <c:strCache>
                <c:ptCount val="3"/>
                <c:pt idx="0">
                  <c:v>RECARGA NORMAL</c:v>
                </c:pt>
                <c:pt idx="1">
                  <c:v>COMPLEMENTO</c:v>
                </c:pt>
                <c:pt idx="2">
                  <c:v>NÃO EFETUAR RECARGA</c:v>
                </c:pt>
              </c:strCache>
            </c:strRef>
          </c:cat>
          <c:val>
            <c:numRef>
              <c:f>'FL26'!$S$225:$S$227</c:f>
              <c:numCache>
                <c:formatCode>General</c:formatCode>
                <c:ptCount val="3"/>
                <c:pt idx="0">
                  <c:v>214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79-44D1-8287-5AC86CC4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2.xml"/><Relationship Id="rId7" Type="http://schemas.openxmlformats.org/officeDocument/2006/relationships/image" Target="../media/image6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sv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1341</xdr:row>
      <xdr:rowOff>160020</xdr:rowOff>
    </xdr:from>
    <xdr:to>
      <xdr:col>11</xdr:col>
      <xdr:colOff>381000</xdr:colOff>
      <xdr:row>1351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3D7F18-6052-44EC-A787-7C0262F3E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DBB12BF-C7D3-4824-83A9-08BC742D6922}"/>
            </a:ext>
          </a:extLst>
        </xdr:cNvPr>
        <xdr:cNvGrpSpPr/>
      </xdr:nvGrpSpPr>
      <xdr:grpSpPr>
        <a:xfrm>
          <a:off x="0" y="0"/>
          <a:ext cx="1519237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0CEF0901-4AFB-A824-5659-341721E16A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7CA20178-5A77-C60F-CF8A-9C6EC1E491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F32B4F53-C079-4723-A47D-E5E49291AF6A}"/>
            </a:ext>
          </a:extLst>
        </xdr:cNvPr>
        <xdr:cNvGrpSpPr/>
      </xdr:nvGrpSpPr>
      <xdr:grpSpPr>
        <a:xfrm>
          <a:off x="0" y="0"/>
          <a:ext cx="152971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678A5310-70F8-1E32-F2BE-164C0EE516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EB56D44B-6825-ED41-6AE9-DB105FF5D4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925830</xdr:colOff>
      <xdr:row>1338</xdr:row>
      <xdr:rowOff>1905</xdr:rowOff>
    </xdr:from>
    <xdr:to>
      <xdr:col>12</xdr:col>
      <xdr:colOff>804455</xdr:colOff>
      <xdr:row>1355</xdr:row>
      <xdr:rowOff>102598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3A9A1BD3-45DB-4757-9A72-29A1BB0D61CA}"/>
            </a:ext>
          </a:extLst>
        </xdr:cNvPr>
        <xdr:cNvGrpSpPr/>
      </xdr:nvGrpSpPr>
      <xdr:grpSpPr>
        <a:xfrm>
          <a:off x="5374005" y="257491230"/>
          <a:ext cx="6260375" cy="3339193"/>
          <a:chOff x="6238875" y="715470375"/>
          <a:chExt cx="4257675" cy="2352676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B32F0543-54D1-8C77-B338-8D14550CD329}"/>
              </a:ext>
            </a:extLst>
          </xdr:cNvPr>
          <xdr:cNvGraphicFramePr>
            <a:graphicFrameLocks/>
          </xdr:cNvGraphicFramePr>
        </xdr:nvGraphicFramePr>
        <xdr:xfrm>
          <a:off x="6238875" y="715470375"/>
          <a:ext cx="4257675" cy="23526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8" name="Gráfico 7" descr="Homem">
            <a:extLst>
              <a:ext uri="{FF2B5EF4-FFF2-40B4-BE49-F238E27FC236}">
                <a16:creationId xmlns:a16="http://schemas.microsoft.com/office/drawing/2014/main" id="{91270841-BFB6-46BA-BF5B-4FBB90813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7885267" y="716352213"/>
            <a:ext cx="449401" cy="424328"/>
          </a:xfrm>
          <a:prstGeom prst="rect">
            <a:avLst/>
          </a:prstGeom>
        </xdr:spPr>
      </xdr:pic>
      <xdr:pic>
        <xdr:nvPicPr>
          <xdr:cNvPr id="9" name="Gráfico 8" descr="Homem">
            <a:extLst>
              <a:ext uri="{FF2B5EF4-FFF2-40B4-BE49-F238E27FC236}">
                <a16:creationId xmlns:a16="http://schemas.microsoft.com/office/drawing/2014/main" id="{95F03531-66B9-2625-D4CC-67FE4DBA24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8166535" y="716352213"/>
            <a:ext cx="437099" cy="424330"/>
          </a:xfrm>
          <a:prstGeom prst="rect">
            <a:avLst/>
          </a:prstGeom>
        </xdr:spPr>
      </xdr:pic>
      <xdr:pic>
        <xdr:nvPicPr>
          <xdr:cNvPr id="10" name="Gráfico 9" descr="Homem">
            <a:extLst>
              <a:ext uri="{FF2B5EF4-FFF2-40B4-BE49-F238E27FC236}">
                <a16:creationId xmlns:a16="http://schemas.microsoft.com/office/drawing/2014/main" id="{057EDE95-E050-65BD-B340-595C993669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8424891" y="716351645"/>
            <a:ext cx="418520" cy="424898"/>
          </a:xfrm>
          <a:prstGeom prst="rect">
            <a:avLst/>
          </a:prstGeom>
        </xdr:spPr>
      </xdr:pic>
      <xdr:sp macro="" textlink="$S$1342">
        <xdr:nvSpPr>
          <xdr:cNvPr id="11" name="CaixaDeTexto 10">
            <a:extLst>
              <a:ext uri="{FF2B5EF4-FFF2-40B4-BE49-F238E27FC236}">
                <a16:creationId xmlns:a16="http://schemas.microsoft.com/office/drawing/2014/main" id="{0DDD40C4-970F-DD2A-CFF0-C1160B9A3824}"/>
              </a:ext>
            </a:extLst>
          </xdr:cNvPr>
          <xdr:cNvSpPr txBox="1"/>
        </xdr:nvSpPr>
        <xdr:spPr>
          <a:xfrm>
            <a:off x="7826923" y="716791136"/>
            <a:ext cx="581381" cy="125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B5A6387-9210-47F8-BB25-563C5C077415}" type="TxLink">
              <a:rPr lang="en-US" sz="9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1.266</a:t>
            </a:fld>
            <a:endParaRPr lang="pt-BR" sz="1050" b="1">
              <a:solidFill>
                <a:schemeClr val="accent1"/>
              </a:solidFill>
            </a:endParaRPr>
          </a:p>
        </xdr:txBody>
      </xdr:sp>
      <xdr:sp macro="" textlink="$S$1343">
        <xdr:nvSpPr>
          <xdr:cNvPr id="12" name="CaixaDeTexto 11">
            <a:extLst>
              <a:ext uri="{FF2B5EF4-FFF2-40B4-BE49-F238E27FC236}">
                <a16:creationId xmlns:a16="http://schemas.microsoft.com/office/drawing/2014/main" id="{244BF095-5C3A-340D-206A-16B4FE008B2D}"/>
              </a:ext>
            </a:extLst>
          </xdr:cNvPr>
          <xdr:cNvSpPr txBox="1"/>
        </xdr:nvSpPr>
        <xdr:spPr>
          <a:xfrm>
            <a:off x="8090651" y="716791136"/>
            <a:ext cx="581381" cy="125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DCCC378-4639-4BCE-ABC9-663BE8F108C4}" type="TxLink">
              <a:rPr lang="en-US" sz="9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44</a:t>
            </a:fld>
            <a:endParaRPr lang="pt-BR" sz="1050" b="1">
              <a:solidFill>
                <a:schemeClr val="accent3"/>
              </a:solidFill>
            </a:endParaRPr>
          </a:p>
        </xdr:txBody>
      </xdr:sp>
      <xdr:sp macro="" textlink="$S$1344">
        <xdr:nvSpPr>
          <xdr:cNvPr id="13" name="CaixaDeTexto 12">
            <a:extLst>
              <a:ext uri="{FF2B5EF4-FFF2-40B4-BE49-F238E27FC236}">
                <a16:creationId xmlns:a16="http://schemas.microsoft.com/office/drawing/2014/main" id="{ADF6066A-70B3-D41E-615F-5ACAE4E9596A}"/>
              </a:ext>
            </a:extLst>
          </xdr:cNvPr>
          <xdr:cNvSpPr txBox="1"/>
        </xdr:nvSpPr>
        <xdr:spPr>
          <a:xfrm>
            <a:off x="8478618" y="716788597"/>
            <a:ext cx="301535" cy="1309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076B148-2C1C-4901-BF2E-B4A2113FB8E7}" type="TxLink">
              <a:rPr lang="en-US" sz="9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24</a:t>
            </a:fld>
            <a:endParaRPr lang="pt-BR" sz="1050" b="1">
              <a:solidFill>
                <a:schemeClr val="accent5"/>
              </a:solidFill>
            </a:endParaRPr>
          </a:p>
        </xdr:txBody>
      </xdr:sp>
    </xdr:grpSp>
    <xdr:clientData/>
  </xdr:twoCellAnchor>
  <xdr:twoCellAnchor>
    <xdr:from>
      <xdr:col>3</xdr:col>
      <xdr:colOff>358140</xdr:colOff>
      <xdr:row>1338</xdr:row>
      <xdr:rowOff>167640</xdr:rowOff>
    </xdr:from>
    <xdr:to>
      <xdr:col>16</xdr:col>
      <xdr:colOff>724172</xdr:colOff>
      <xdr:row>1343</xdr:row>
      <xdr:rowOff>76200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91E4FC4-4E17-41AB-AAAD-137C9D482715}"/>
            </a:ext>
          </a:extLst>
        </xdr:cNvPr>
        <xdr:cNvGrpSpPr/>
      </xdr:nvGrpSpPr>
      <xdr:grpSpPr>
        <a:xfrm rot="10800000" flipV="1">
          <a:off x="4806315" y="257656965"/>
          <a:ext cx="7566932" cy="861060"/>
          <a:chOff x="4384349" y="10437090"/>
          <a:chExt cx="6706748" cy="468001"/>
        </a:xfrm>
      </xdr:grpSpPr>
      <xdr:pic>
        <xdr:nvPicPr>
          <xdr:cNvPr id="15" name="Gráfico 14" descr="Seta: curva ligeira">
            <a:extLst>
              <a:ext uri="{FF2B5EF4-FFF2-40B4-BE49-F238E27FC236}">
                <a16:creationId xmlns:a16="http://schemas.microsoft.com/office/drawing/2014/main" id="{299F64AF-3152-20DD-A4E9-315CA773B6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 rot="20425312" flipH="1">
            <a:off x="4384349" y="10437091"/>
            <a:ext cx="744099" cy="468000"/>
          </a:xfrm>
          <a:prstGeom prst="rect">
            <a:avLst/>
          </a:prstGeom>
        </xdr:spPr>
      </xdr:pic>
      <xdr:pic>
        <xdr:nvPicPr>
          <xdr:cNvPr id="16" name="Gráfico 15" descr="Seta: curva ligeira">
            <a:extLst>
              <a:ext uri="{FF2B5EF4-FFF2-40B4-BE49-F238E27FC236}">
                <a16:creationId xmlns:a16="http://schemas.microsoft.com/office/drawing/2014/main" id="{D6A79596-34E9-1FCB-8D45-EB3517A5BD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 rot="1174688">
            <a:off x="10346999" y="10437090"/>
            <a:ext cx="744098" cy="46800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281</xdr:row>
      <xdr:rowOff>160020</xdr:rowOff>
    </xdr:from>
    <xdr:to>
      <xdr:col>11</xdr:col>
      <xdr:colOff>381000</xdr:colOff>
      <xdr:row>291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9E08DF-3909-4B49-A163-3C334FABF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0</xdr:row>
      <xdr:rowOff>0</xdr:rowOff>
    </xdr:from>
    <xdr:to>
      <xdr:col>20</xdr:col>
      <xdr:colOff>38100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6D544916-4E36-4952-9CE3-7AAA2BA1A7A9}"/>
            </a:ext>
          </a:extLst>
        </xdr:cNvPr>
        <xdr:cNvGrpSpPr/>
      </xdr:nvGrpSpPr>
      <xdr:grpSpPr>
        <a:xfrm>
          <a:off x="38100" y="0"/>
          <a:ext cx="133921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972A2E2A-4ECA-55AE-A91A-BEE6750B95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AD333F6C-D294-6E15-4659-FB708F1889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9</xdr:row>
      <xdr:rowOff>160020</xdr:rowOff>
    </xdr:from>
    <xdr:to>
      <xdr:col>11</xdr:col>
      <xdr:colOff>381000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9A86BE-5195-48F8-86EF-44B91C148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5EF8877-3546-44F6-B627-C019F341B0BA}"/>
            </a:ext>
          </a:extLst>
        </xdr:cNvPr>
        <xdr:cNvGrpSpPr/>
      </xdr:nvGrpSpPr>
      <xdr:grpSpPr>
        <a:xfrm>
          <a:off x="0" y="0"/>
          <a:ext cx="1291590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F2BC390D-60AE-CBCA-F5FD-8666BF2A23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D35F436E-99A9-B8A7-6C85-AA13734887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102</xdr:row>
      <xdr:rowOff>160020</xdr:rowOff>
    </xdr:from>
    <xdr:to>
      <xdr:col>11</xdr:col>
      <xdr:colOff>381000</xdr:colOff>
      <xdr:row>112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842A47-E8D4-4FE8-93CB-FB4D2D7B7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54795E80-BD13-4D49-BC24-E3DC20852534}"/>
            </a:ext>
          </a:extLst>
        </xdr:cNvPr>
        <xdr:cNvGrpSpPr/>
      </xdr:nvGrpSpPr>
      <xdr:grpSpPr>
        <a:xfrm>
          <a:off x="0" y="0"/>
          <a:ext cx="143827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BBFFA1D1-6EA7-DCA2-74C9-C6FBD9751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C989B417-AB86-3EE7-A8FA-C36F826CEA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147</xdr:row>
      <xdr:rowOff>160020</xdr:rowOff>
    </xdr:from>
    <xdr:to>
      <xdr:col>11</xdr:col>
      <xdr:colOff>381000</xdr:colOff>
      <xdr:row>157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E3B54A-E43A-4F20-9F04-B891ED773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26C05D88-4318-462A-9B58-29A437564041}"/>
            </a:ext>
          </a:extLst>
        </xdr:cNvPr>
        <xdr:cNvGrpSpPr/>
      </xdr:nvGrpSpPr>
      <xdr:grpSpPr>
        <a:xfrm>
          <a:off x="0" y="0"/>
          <a:ext cx="120205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E1A23F77-E28A-59AA-7C90-0F036A603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8E5BBFCA-6548-075C-3B42-16DC98FCA5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137</xdr:row>
      <xdr:rowOff>160020</xdr:rowOff>
    </xdr:from>
    <xdr:to>
      <xdr:col>11</xdr:col>
      <xdr:colOff>381000</xdr:colOff>
      <xdr:row>147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9FEF21-3BC2-4491-BD7C-0D6F1F1BA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86E87C2-1D55-4639-B004-7C46BB8AD8A3}"/>
            </a:ext>
          </a:extLst>
        </xdr:cNvPr>
        <xdr:cNvGrpSpPr/>
      </xdr:nvGrpSpPr>
      <xdr:grpSpPr>
        <a:xfrm>
          <a:off x="0" y="0"/>
          <a:ext cx="136588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707DC776-6E84-B830-DC1A-47A6EF69EA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582F8522-BAD0-B099-BE1F-006BFE1317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35</xdr:row>
      <xdr:rowOff>160020</xdr:rowOff>
    </xdr:from>
    <xdr:to>
      <xdr:col>11</xdr:col>
      <xdr:colOff>381000</xdr:colOff>
      <xdr:row>45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0009EB-C46F-4B3D-AF8C-1889ED00A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2B640B2B-844F-4384-A483-E7B3EE4E3CD8}"/>
            </a:ext>
          </a:extLst>
        </xdr:cNvPr>
        <xdr:cNvGrpSpPr/>
      </xdr:nvGrpSpPr>
      <xdr:grpSpPr>
        <a:xfrm>
          <a:off x="0" y="0"/>
          <a:ext cx="129730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6965D4BE-6424-2F12-C54D-A572C215EB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4040D0B3-0CE4-9205-55B3-CBF1946980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18</xdr:row>
      <xdr:rowOff>160020</xdr:rowOff>
    </xdr:from>
    <xdr:to>
      <xdr:col>11</xdr:col>
      <xdr:colOff>381000</xdr:colOff>
      <xdr:row>28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62D9FE-10D1-41F1-B471-E0D39ED80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D0A7068D-D4BC-4E96-8CE2-7450F90C97B1}"/>
            </a:ext>
          </a:extLst>
        </xdr:cNvPr>
        <xdr:cNvGrpSpPr/>
      </xdr:nvGrpSpPr>
      <xdr:grpSpPr>
        <a:xfrm>
          <a:off x="0" y="0"/>
          <a:ext cx="1287780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6F7B8B5E-B095-CA2A-6F49-3B8CC52B12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1615FB6-B64A-D48C-1187-3CE717E0A2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28</xdr:row>
      <xdr:rowOff>160020</xdr:rowOff>
    </xdr:from>
    <xdr:to>
      <xdr:col>11</xdr:col>
      <xdr:colOff>381000</xdr:colOff>
      <xdr:row>38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673EAC-27FE-4B71-BAA8-3FE2C7AF1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9365AB44-33EE-45A8-97B7-BD1B97527D2D}"/>
            </a:ext>
          </a:extLst>
        </xdr:cNvPr>
        <xdr:cNvGrpSpPr/>
      </xdr:nvGrpSpPr>
      <xdr:grpSpPr>
        <a:xfrm>
          <a:off x="0" y="0"/>
          <a:ext cx="1345882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6353956A-B5D5-205E-2373-9E2F7D285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9C458DD-AE74-35CE-7C90-6B21F10683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44</xdr:row>
      <xdr:rowOff>160020</xdr:rowOff>
    </xdr:from>
    <xdr:to>
      <xdr:col>11</xdr:col>
      <xdr:colOff>381000</xdr:colOff>
      <xdr:row>54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625B94-93D8-428E-8322-3A0267F0A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350C497-5971-48C3-9B85-414ED486530D}"/>
            </a:ext>
          </a:extLst>
        </xdr:cNvPr>
        <xdr:cNvGrpSpPr/>
      </xdr:nvGrpSpPr>
      <xdr:grpSpPr>
        <a:xfrm>
          <a:off x="0" y="0"/>
          <a:ext cx="1328737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55703FD8-64B1-AE9A-A2FD-F1C4814BE3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144A3977-6D2E-77C9-4313-C07698C7CF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18</xdr:row>
      <xdr:rowOff>160020</xdr:rowOff>
    </xdr:from>
    <xdr:to>
      <xdr:col>11</xdr:col>
      <xdr:colOff>381000</xdr:colOff>
      <xdr:row>28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89AA43-7320-4F55-B041-0012F2F4C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CF29832-F898-46AD-BB29-63327C952339}"/>
            </a:ext>
          </a:extLst>
        </xdr:cNvPr>
        <xdr:cNvGrpSpPr/>
      </xdr:nvGrpSpPr>
      <xdr:grpSpPr>
        <a:xfrm>
          <a:off x="0" y="0"/>
          <a:ext cx="1299210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80EE7E44-87D4-7FAB-A237-FB66D3D867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D1BF0E3C-5416-51D8-A236-1A65FA94A8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17</xdr:row>
      <xdr:rowOff>160020</xdr:rowOff>
    </xdr:from>
    <xdr:to>
      <xdr:col>11</xdr:col>
      <xdr:colOff>381000</xdr:colOff>
      <xdr:row>27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21D7E-22FC-454A-8C4F-613F98D1F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FAC9824-E46B-46AF-A803-779A8C0FD760}"/>
            </a:ext>
          </a:extLst>
        </xdr:cNvPr>
        <xdr:cNvGrpSpPr/>
      </xdr:nvGrpSpPr>
      <xdr:grpSpPr>
        <a:xfrm>
          <a:off x="0" y="0"/>
          <a:ext cx="1353502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787380B3-84A8-36D5-1FB1-C352CD9556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A5CED1EF-D670-F660-3E8C-E3BAC0B003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15</xdr:row>
      <xdr:rowOff>160020</xdr:rowOff>
    </xdr:from>
    <xdr:to>
      <xdr:col>11</xdr:col>
      <xdr:colOff>381000</xdr:colOff>
      <xdr:row>25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5BACAD-D9D2-47E8-842B-3DC3789C5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D5D7574-8B25-4C87-B99B-79732958F1BE}"/>
            </a:ext>
          </a:extLst>
        </xdr:cNvPr>
        <xdr:cNvGrpSpPr/>
      </xdr:nvGrpSpPr>
      <xdr:grpSpPr>
        <a:xfrm>
          <a:off x="0" y="0"/>
          <a:ext cx="1286827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2C469A63-1616-B5D2-FB96-E6708BCE04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53AF60E2-E7BF-C231-F1A7-5F141039B2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44</xdr:row>
      <xdr:rowOff>160020</xdr:rowOff>
    </xdr:from>
    <xdr:to>
      <xdr:col>11</xdr:col>
      <xdr:colOff>381000</xdr:colOff>
      <xdr:row>54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BE03BA-4DFF-49F6-80BD-4AB54BCE0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59ED0B6-03D1-4A23-8F4F-C3D71CE3B530}"/>
            </a:ext>
          </a:extLst>
        </xdr:cNvPr>
        <xdr:cNvGrpSpPr/>
      </xdr:nvGrpSpPr>
      <xdr:grpSpPr>
        <a:xfrm>
          <a:off x="0" y="0"/>
          <a:ext cx="134683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5F5AE92E-D3D8-6DB7-8306-649ECAA18E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8CEAACEA-6720-67A8-4EC0-BCF5AD16C4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14</xdr:row>
      <xdr:rowOff>160020</xdr:rowOff>
    </xdr:from>
    <xdr:to>
      <xdr:col>11</xdr:col>
      <xdr:colOff>381000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645D37-DB82-4047-8F4E-4758F7F0B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6A2BE14-499D-4F58-8E76-A20592E68442}"/>
            </a:ext>
          </a:extLst>
        </xdr:cNvPr>
        <xdr:cNvGrpSpPr/>
      </xdr:nvGrpSpPr>
      <xdr:grpSpPr>
        <a:xfrm>
          <a:off x="0" y="0"/>
          <a:ext cx="129730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51B39EC6-9AE7-D561-C95B-F157F78243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D917596E-A9B4-55CE-DEB8-ED8DE3BE9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16</xdr:row>
      <xdr:rowOff>160020</xdr:rowOff>
    </xdr:from>
    <xdr:to>
      <xdr:col>11</xdr:col>
      <xdr:colOff>381000</xdr:colOff>
      <xdr:row>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6E2589-3139-4870-AC4E-693EF4126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5D59756C-B7E7-457A-9E4E-99A7F9D05812}"/>
            </a:ext>
          </a:extLst>
        </xdr:cNvPr>
        <xdr:cNvGrpSpPr/>
      </xdr:nvGrpSpPr>
      <xdr:grpSpPr>
        <a:xfrm>
          <a:off x="0" y="0"/>
          <a:ext cx="132778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FCF65658-CBCF-B559-1F63-AEEF6CEBD2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E9D5C725-43BD-5405-6E78-D15AFA7E8E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13</xdr:row>
      <xdr:rowOff>160020</xdr:rowOff>
    </xdr:from>
    <xdr:to>
      <xdr:col>11</xdr:col>
      <xdr:colOff>381000</xdr:colOff>
      <xdr:row>23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BF9107-444D-44AC-A00E-AAAA15407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D818D0E8-C24E-41BA-B32A-7B4B8951FCDA}"/>
            </a:ext>
          </a:extLst>
        </xdr:cNvPr>
        <xdr:cNvGrpSpPr/>
      </xdr:nvGrpSpPr>
      <xdr:grpSpPr>
        <a:xfrm>
          <a:off x="0" y="0"/>
          <a:ext cx="1256347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B13D01A5-527F-1E27-4210-320CF64986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1E17D513-A7A9-B1ED-B2B5-FC287E0FD1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14</xdr:row>
      <xdr:rowOff>160020</xdr:rowOff>
    </xdr:from>
    <xdr:to>
      <xdr:col>11</xdr:col>
      <xdr:colOff>381000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910DB-2697-4B81-8FF3-5378C7CA1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9741098-3179-4CE9-B8E1-C59773376EED}"/>
            </a:ext>
          </a:extLst>
        </xdr:cNvPr>
        <xdr:cNvGrpSpPr/>
      </xdr:nvGrpSpPr>
      <xdr:grpSpPr>
        <a:xfrm>
          <a:off x="0" y="0"/>
          <a:ext cx="1306830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94515CD6-D780-8B35-B340-23A07E2FDC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739E5DFE-81FD-623B-9A09-721C68593E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18</xdr:row>
      <xdr:rowOff>160020</xdr:rowOff>
    </xdr:from>
    <xdr:to>
      <xdr:col>11</xdr:col>
      <xdr:colOff>381000</xdr:colOff>
      <xdr:row>28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146B27-F624-4DBE-9CD9-4BDA0C2D7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4F9BB5E5-7158-45B1-ABD1-CB59BC7FBA6B}"/>
            </a:ext>
          </a:extLst>
        </xdr:cNvPr>
        <xdr:cNvGrpSpPr/>
      </xdr:nvGrpSpPr>
      <xdr:grpSpPr>
        <a:xfrm>
          <a:off x="0" y="0"/>
          <a:ext cx="1313497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F9DE0AC0-26C5-DECD-7B15-6CDCDE7EF3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47970774-CC16-9B07-586F-5C4BF154BC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27</xdr:row>
      <xdr:rowOff>160020</xdr:rowOff>
    </xdr:from>
    <xdr:to>
      <xdr:col>11</xdr:col>
      <xdr:colOff>381000</xdr:colOff>
      <xdr:row>37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F80DFB-590B-4EFB-97A5-077DE1A0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8BB08AD-1392-4EE7-8064-3B713D311247}"/>
            </a:ext>
          </a:extLst>
        </xdr:cNvPr>
        <xdr:cNvGrpSpPr/>
      </xdr:nvGrpSpPr>
      <xdr:grpSpPr>
        <a:xfrm>
          <a:off x="0" y="0"/>
          <a:ext cx="132397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114C5A70-CB99-5302-FA46-13EAAF6150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3AE5138E-2584-28BE-17FF-79D86428E9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24</xdr:row>
      <xdr:rowOff>160020</xdr:rowOff>
    </xdr:from>
    <xdr:to>
      <xdr:col>11</xdr:col>
      <xdr:colOff>381000</xdr:colOff>
      <xdr:row>34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4E991D-08D7-4DB9-B7FE-BA395B562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2C63690-15F7-4062-AE2E-82448F8962B8}"/>
            </a:ext>
          </a:extLst>
        </xdr:cNvPr>
        <xdr:cNvGrpSpPr/>
      </xdr:nvGrpSpPr>
      <xdr:grpSpPr>
        <a:xfrm>
          <a:off x="0" y="0"/>
          <a:ext cx="1303972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AC3419F7-ED18-3FA7-2482-AB8E0D0A33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9CB9AD-151A-D796-F672-7167275F6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226</xdr:row>
      <xdr:rowOff>160020</xdr:rowOff>
    </xdr:from>
    <xdr:to>
      <xdr:col>11</xdr:col>
      <xdr:colOff>381000</xdr:colOff>
      <xdr:row>236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FD3FC0-F3FB-4E9C-93D0-9ACFCE5C6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F7C2595-1722-4733-9382-7F8FA687E261}"/>
            </a:ext>
          </a:extLst>
        </xdr:cNvPr>
        <xdr:cNvGrpSpPr/>
      </xdr:nvGrpSpPr>
      <xdr:grpSpPr>
        <a:xfrm>
          <a:off x="0" y="0"/>
          <a:ext cx="1439227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5FCDEA84-9CF4-2384-2211-FA5EFE522C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25FF1545-8A72-65CA-598D-BDF186F65C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10</xdr:row>
      <xdr:rowOff>160020</xdr:rowOff>
    </xdr:from>
    <xdr:to>
      <xdr:col>11</xdr:col>
      <xdr:colOff>381000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9E34E4-0D73-4B71-9FAF-3F78B0364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401E79C7-AA80-45F5-9020-277536E6ECA6}"/>
            </a:ext>
          </a:extLst>
        </xdr:cNvPr>
        <xdr:cNvGrpSpPr/>
      </xdr:nvGrpSpPr>
      <xdr:grpSpPr>
        <a:xfrm>
          <a:off x="0" y="0"/>
          <a:ext cx="1223010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5299B071-CCE2-7618-8A64-6BDCFF6BA1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DA8DE78-9A7A-BF88-FC51-C0DC52433A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32</xdr:row>
      <xdr:rowOff>160020</xdr:rowOff>
    </xdr:from>
    <xdr:to>
      <xdr:col>11</xdr:col>
      <xdr:colOff>381000</xdr:colOff>
      <xdr:row>42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DCEB48-D3FC-4B62-9020-CEA6FADA2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54F6A7E9-6ED4-4CFE-9A1C-614A9DB116A8}"/>
            </a:ext>
          </a:extLst>
        </xdr:cNvPr>
        <xdr:cNvGrpSpPr/>
      </xdr:nvGrpSpPr>
      <xdr:grpSpPr>
        <a:xfrm>
          <a:off x="0" y="0"/>
          <a:ext cx="14192250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59E3EE1F-E293-7210-B3F2-97BFC9F6FB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F74054A4-BDBE-8EEB-3066-2EB96481BE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1801177</xdr:colOff>
      <xdr:row>224</xdr:row>
      <xdr:rowOff>160020</xdr:rowOff>
    </xdr:from>
    <xdr:to>
      <xdr:col>11</xdr:col>
      <xdr:colOff>381000</xdr:colOff>
      <xdr:row>234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CE63B-AB8A-40C6-B155-57226549C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0</xdr:colOff>
      <xdr:row>0</xdr:row>
      <xdr:rowOff>2362200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D3E22EC4-0838-4DCE-845E-79DCD38C430A}"/>
            </a:ext>
          </a:extLst>
        </xdr:cNvPr>
        <xdr:cNvGrpSpPr/>
      </xdr:nvGrpSpPr>
      <xdr:grpSpPr>
        <a:xfrm>
          <a:off x="0" y="0"/>
          <a:ext cx="13992225" cy="2362200"/>
          <a:chOff x="0" y="0"/>
          <a:chExt cx="12020550" cy="2047875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01ABDF9F-EF9B-B4DF-F0CB-FDB30FEB8B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20550" cy="20478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A2F0F81B-AA68-380A-184C-026DED7B6A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43" y="153398"/>
            <a:ext cx="1951102" cy="1473341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EF863CD-6F15-4F75-9C8C-1494EB2A4DC7}" name="Tabela174681012142230322681619252731333624210121416182426283038402481012141620222628303234362426810121424610122426244262628262681026286236" displayName="Tabela174681012142230322681619252731333624210121416182426283038402481012141620222628303234362426810121424610122426244262628262681026286236" ref="A3:T1338" totalsRowCount="1" dataDxfId="1252" totalsRowDxfId="1251">
  <sortState xmlns:xlrd2="http://schemas.microsoft.com/office/spreadsheetml/2017/richdata2" ref="A4:T1337">
    <sortCondition ref="D3:D1337"/>
  </sortState>
  <tableColumns count="20">
    <tableColumn id="1" xr3:uid="{8087B01A-D506-4B72-88AB-B3A72593F600}" name="Matricula" totalsRowLabel="Total" dataDxfId="1250" totalsRowDxfId="1249"/>
    <tableColumn id="2" xr3:uid="{055EA7CF-89BD-4257-BFD0-DEE4BBFFE4DB}" name="Nome" dataDxfId="1248" totalsRowDxfId="1247"/>
    <tableColumn id="22" xr3:uid="{899B941A-92C0-40FE-9DB6-E764708273C1}" name="Seção" dataDxfId="1246" totalsRowDxfId="1245"/>
    <tableColumn id="19" xr3:uid="{93C9A685-6371-4454-A8EE-67B8D1500AAA}" name="Função" dataDxfId="1244" totalsRowDxfId="1243"/>
    <tableColumn id="23" xr3:uid="{4603D195-7645-4C18-8E69-C96BA811F39E}" name="CPF" dataDxfId="1242" totalsRowDxfId="1241"/>
    <tableColumn id="3" xr3:uid="{8FC83086-E5E6-4754-88E6-8234914DFE6E}" name="Nùmero do Cartão" dataDxfId="1240" totalsRowDxfId="1239"/>
    <tableColumn id="4" xr3:uid="{911DAD29-B3D5-4986-BE0C-546F29E62AE5}" name="Uso diário" dataDxfId="1238" totalsRowDxfId="1237"/>
    <tableColumn id="5" xr3:uid="{616FB0F3-7524-47F7-BED0-6FBE97862877}" name="D" dataDxfId="1236" totalsRowDxfId="1235"/>
    <tableColumn id="24" xr3:uid="{BE549742-2D3D-4FD5-9B9F-F94EB2FBBC49}" name="F" dataDxfId="1234" totalsRowDxfId="1233"/>
    <tableColumn id="8" xr3:uid="{03A5219E-84EA-42B6-962B-81796F1AD88C}" name="Pedido Inicial" totalsRowFunction="sum" dataDxfId="1232" totalsRowDxfId="1231">
      <calculatedColumnFormula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calculatedColumnFormula>
    </tableColumn>
    <tableColumn id="9" xr3:uid="{182B24FC-1FF9-40DC-9ABC-276CF617E65F}" name="Saldo no cartão" dataDxfId="1230" totalsRowDxfId="1229"/>
    <tableColumn id="15" xr3:uid="{7C527659-F73E-4BAC-9FFC-01DA31D72FDB}" name="Recarga Pendente" dataDxfId="1228" totalsRowDxfId="1227"/>
    <tableColumn id="13" xr3:uid="{E51E1927-5E2F-4EA7-86DA-C4CFAED1E6A1}" name="Total Acumulado" dataDxfId="1226" totalsRowDxfId="1225">
      <calculatedColumnFormula>SUM(Tabela174681012142230322681619252731333624210121416182426283038402481012141620222628303234362426810121424610122426244262628262681026286236[[#This Row],[Saldo no cartão]:[Recarga Pendente]])</calculatedColumnFormula>
    </tableColumn>
    <tableColumn id="21" xr3:uid="{8A81383A-7BA6-43FD-99FB-C00061E365E0}" name="acumulo minimo" dataDxfId="1224" totalsRowDxfId="1223">
      <calculatedColumnFormula>Tabela174681012142230322681619252731333624210121416182426283038402481012141620222628303234362426810121424610122426244262628262681026286236[[#This Row],[Uso diário]]*2</calculatedColumnFormula>
    </tableColumn>
    <tableColumn id="20" xr3:uid="{5343D9DA-E6A7-4B2B-98D0-78EFFA974668}" name="acumulo" dataDxfId="1222" totalsRowDxfId="1221">
      <calculatedColumnFormula>Tabela174681012142230322681619252731333624210121416182426283038402481012141620222628303234362426810121424610122426244262628262681026286236[[#This Row],[Total Acumulado]]-P4</calculatedColumnFormula>
    </tableColumn>
    <tableColumn id="10" xr3:uid="{DD22FFA0-EBA7-4E99-A48A-C69A6547287E}" name="Saldo para terminar o mês" dataDxfId="1220" totalsRowDxfId="1219">
      <calculatedColumnFormula>Tabela174681012142230322681619252731333624210121416182426283038402481012141620222628303234362426810121424610122426244262628262681026286236[[#This Row],[Uso diário]]*5</calculatedColumnFormula>
    </tableColumn>
    <tableColumn id="11" xr3:uid="{FD7B5430-959D-4E4B-ACA5-2718B4FDCD39}" name="Valor economizado" dataDxfId="1218" totalsRowDxfId="1217">
      <calculatedColumnFormula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calculatedColumnFormula>
    </tableColumn>
    <tableColumn id="16" xr3:uid="{CCD6CA1D-B084-40EE-9C59-F74B5897C98C}" name="Pedido Final" totalsRowFunction="sum" dataDxfId="1216" totalsRowDxfId="1215">
      <calculatedColumnFormula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calculatedColumnFormula>
    </tableColumn>
    <tableColumn id="17" xr3:uid="{24FD4C60-4B83-4666-87E8-BB25E1C5CAE3}" name="Status" totalsRowFunction="count" dataDxfId="1214" totalsRowDxfId="1213">
      <calculatedColumnFormula>IF(Tabela174681012142230322681619252731333624210121416182426283038402481012141620222628303234362426810121424610122426244262628262681026286236[[#This Row],[Pedido Final]]=0,"NÃO EFETUAR RECARGA","RECARGA NORMAL")</calculatedColumnFormula>
    </tableColumn>
    <tableColumn id="14" xr3:uid="{20FC827E-0B76-442A-9CEE-A559C98CC6A2}" name="Filial" dataDxfId="1212" totalsRowDxfId="12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8E9C262-16FD-40B6-A69A-059A15B117D4}" name="Tabela25791113152331333791720262832343735311131517192527293139413591113151721232729313335373537911131535711133537345373739373791137397337" displayName="Tabela25791113152331333791720262832343735311131517192527293139413591113151721232729313335373537911131535711133537345373739373791137397337" ref="R1341:S1345" totalsRowCount="1" totalsRowDxfId="1210">
  <autoFilter ref="R1341:S1344" xr:uid="{00000000-0009-0000-0100-000004000000}"/>
  <sortState xmlns:xlrd2="http://schemas.microsoft.com/office/spreadsheetml/2017/richdata2" ref="R1342:S1344">
    <sortCondition descending="1" ref="S1342:S1344"/>
  </sortState>
  <tableColumns count="2">
    <tableColumn id="1" xr3:uid="{42C88757-502F-40BC-9446-4252FF0498EE}" name="STATUS" totalsRowLabel="TOTAL" dataDxfId="1209" totalsRowDxfId="1208"/>
    <tableColumn id="2" xr3:uid="{AC664324-38E8-48BF-878A-9C789BE80D2C}" name="Coluna1" totalsRowFunction="sum" dataDxfId="1207" totalsRowDxfId="1206">
      <calculatedColumnFormula>COUNTIF(Tabela174681012142230322681619252731333624210121416182426283038402481012141620222628303234362426810121424610122426244262628262681026286236[Status],Tabela25791113152331333791720262832343735311131517192527293139413591113151721232729313335373537911131535711133537345373739373791137397337[[#This Row],[STATUS]])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3A3B92F-2CDD-498C-A8C3-A0EAD90B26E4}" name="Tabela17468101214223032268161925273133362421012141618242628303840248101214162022262830323436242681012142461012242624426262826268102628623654" displayName="Tabela17468101214223032268161925273133362421012141618242628303840248101214162022262830323436242681012142461012242624426262826268102628623654" ref="A3:T1338" totalsRowCount="1" dataDxfId="1299" totalsRowDxfId="1298">
  <sortState xmlns:xlrd2="http://schemas.microsoft.com/office/spreadsheetml/2017/richdata2" ref="A4:T1337">
    <sortCondition ref="D3:D1337"/>
  </sortState>
  <tableColumns count="20">
    <tableColumn id="1" xr3:uid="{21099C8C-D7C6-4959-9FC8-FBC7F63BDDE5}" name="Matricula" totalsRowLabel="Total" dataDxfId="1297" totalsRowDxfId="1296"/>
    <tableColumn id="2" xr3:uid="{7E0E4D4F-2888-4E8F-B6DB-FEC2862D2591}" name="Nome" dataDxfId="1295" totalsRowDxfId="1294"/>
    <tableColumn id="22" xr3:uid="{E386BC91-D25C-4D43-A531-314D829F8DCC}" name="Seção" dataDxfId="1293" totalsRowDxfId="1292"/>
    <tableColumn id="19" xr3:uid="{19E27B6C-AD71-46FA-A2E7-13DAB39AC8C9}" name="Função" dataDxfId="1291" totalsRowDxfId="1290"/>
    <tableColumn id="23" xr3:uid="{EF296E22-08F6-499C-B8E4-A916C24D9904}" name="CPF" dataDxfId="1289" totalsRowDxfId="1288"/>
    <tableColumn id="3" xr3:uid="{DFF3AABB-6FA8-4075-ACF8-CC127346F68E}" name="Nùmero do Cartão" dataDxfId="1287" totalsRowDxfId="1286"/>
    <tableColumn id="4" xr3:uid="{96E66067-D271-4331-8ACC-8C8E8D358F72}" name="Uso diário" dataDxfId="1285" totalsRowDxfId="1284"/>
    <tableColumn id="5" xr3:uid="{64016580-9F57-452D-9639-B3DE6B97D237}" name="D" dataDxfId="1283" totalsRowDxfId="1282"/>
    <tableColumn id="24" xr3:uid="{CD22578D-C754-42DB-80E7-F2CEFD41F7B4}" name="F" dataDxfId="1281" totalsRowDxfId="1280"/>
    <tableColumn id="8" xr3:uid="{9989F667-D451-4E9F-804E-F83989B573F2}" name="Pedido Inicial" totalsRowFunction="sum" dataDxfId="1279" totalsRowDxfId="1278"/>
    <tableColumn id="9" xr3:uid="{90C27E66-EBFE-43DF-BFCF-7966CC8E8D6C}" name="Saldo no cartão" dataDxfId="1277" totalsRowDxfId="1276"/>
    <tableColumn id="15" xr3:uid="{21EE7A7E-2F94-4ABC-87B9-2C98B20E14D5}" name="Recarga Pendente" dataDxfId="1275" totalsRowDxfId="1274"/>
    <tableColumn id="13" xr3:uid="{03A20349-C704-4F0C-AD6F-EFA6543695B5}" name="Total Acumulado" dataDxfId="1273" totalsRowDxfId="1272"/>
    <tableColumn id="21" xr3:uid="{F944317F-E371-4942-A143-C7780B4FFCD2}" name="acumulo minimo" dataDxfId="1271" totalsRowDxfId="1270"/>
    <tableColumn id="20" xr3:uid="{FCCCAA43-540C-4EA5-9EF6-296BBAE6593E}" name="acumulo" dataDxfId="1269" totalsRowDxfId="1268"/>
    <tableColumn id="10" xr3:uid="{037D2345-E6F3-45AF-86C6-840C6205FE7A}" name="Saldo para terminar o mês" dataDxfId="1267" totalsRowDxfId="1266"/>
    <tableColumn id="11" xr3:uid="{CCBA6BC8-B32D-4241-9ED8-138AE2A156DC}" name="Valor economizado" dataDxfId="1265" totalsRowDxfId="1264"/>
    <tableColumn id="16" xr3:uid="{7C5177BB-788F-45F0-88FA-B240312D0DE9}" name="Pedido Final" totalsRowFunction="sum" dataDxfId="1263" totalsRowDxfId="1262"/>
    <tableColumn id="17" xr3:uid="{3303AAF9-081D-4632-A47D-C66EAE249F93}" name="Status" totalsRowFunction="count" dataDxfId="1261" totalsRowDxfId="1260"/>
    <tableColumn id="14" xr3:uid="{56E8CE32-F8F6-41D8-BC9C-67BD72644AB4}" name="Filial" dataDxfId="1259" totalsRowDxfId="12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25977D6-0AA0-454D-B121-5CA8949CBCF7}" name="Tabela2579111315233133379172026283234373531113151719252729313941359111315172123272931333537353791113153571113353734537373937379113739733755" displayName="Tabela2579111315233133379172026283234373531113151719252729313941359111315172123272931333537353791113153571113353734537373937379113739733755" ref="R1341:S1345" totalsRowCount="1" totalsRowDxfId="1257">
  <autoFilter ref="R1341:S1344" xr:uid="{00000000-0009-0000-0100-000004000000}"/>
  <sortState xmlns:xlrd2="http://schemas.microsoft.com/office/spreadsheetml/2017/richdata2" ref="R1342:S1344">
    <sortCondition descending="1" ref="S1342:S1344"/>
  </sortState>
  <tableColumns count="2">
    <tableColumn id="1" xr3:uid="{650F1566-2C41-42D1-9872-B4E74CD319A5}" name="STATUS" totalsRowLabel="TOTAL" dataDxfId="1256" totalsRowDxfId="1255"/>
    <tableColumn id="2" xr3:uid="{81864E9A-F4D9-4EB2-A66B-4C9A39B7BB2A}" name="Coluna1" totalsRowFunction="sum" dataDxfId="1254" totalsRowDxfId="125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E4FD89-0D7D-448B-94F9-4913FB8E9D42}" name="Tabela1746810121422303226816192527313336242101214161824262830384024810121416202226283032343624268101214246101224262442626282626810262862366" displayName="Tabela1746810121422303226816192527313336242101214161824262830384024810121416202226283032343624268101214246101224262442626282626810262862366" ref="A3:T278" totalsRowCount="1" dataDxfId="1205" totalsRowDxfId="1204">
  <sortState xmlns:xlrd2="http://schemas.microsoft.com/office/spreadsheetml/2017/richdata2" ref="A4:T276">
    <sortCondition ref="D3:D276"/>
  </sortState>
  <tableColumns count="20">
    <tableColumn id="1" xr3:uid="{8EE8A96E-6923-46AD-9498-DFC17252359D}" name="Matricula" totalsRowLabel="Total" dataDxfId="1203" totalsRowDxfId="1202"/>
    <tableColumn id="2" xr3:uid="{9A6949CE-46ED-41D1-BA82-189EC76F10BF}" name="Nome" dataDxfId="1201" totalsRowDxfId="1200"/>
    <tableColumn id="22" xr3:uid="{29CB94CD-29B0-4128-9FEE-43E8F813B21A}" name="Seção" dataDxfId="1199" totalsRowDxfId="1198"/>
    <tableColumn id="19" xr3:uid="{8A44385E-C464-47E4-A2AF-9D4DDDB0C60C}" name="Função" dataDxfId="1197" totalsRowDxfId="1196"/>
    <tableColumn id="23" xr3:uid="{5B1B3887-AF66-4187-A995-5FA0D9D962B2}" name="CPF" dataDxfId="1195" totalsRowDxfId="1194"/>
    <tableColumn id="3" xr3:uid="{1E1B1E92-27BA-4E56-BB19-E871C4A44DCF}" name="Nùmero do Cartão" dataDxfId="1193" totalsRowDxfId="1192"/>
    <tableColumn id="4" xr3:uid="{26C7A38D-64D1-483D-8BFE-FE60963F60DE}" name="Uso diário" dataDxfId="1191" totalsRowDxfId="1190"/>
    <tableColumn id="5" xr3:uid="{A0A32A93-34E6-4D91-BD49-81EED05FB31C}" name="D" dataDxfId="1189" totalsRowDxfId="1188"/>
    <tableColumn id="24" xr3:uid="{D57E3F24-BA0F-49E7-A527-CB9B7369F85D}" name="F" dataDxfId="1187" totalsRowDxfId="1186"/>
    <tableColumn id="8" xr3:uid="{3A19AA64-CF1A-4585-8A68-840D66ECC31F}" name="Pedido Inicial" totalsRowFunction="sum" dataDxfId="1185" totalsRowDxfId="1184">
      <calculatedColumnFormula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calculatedColumnFormula>
    </tableColumn>
    <tableColumn id="9" xr3:uid="{3741A0DC-BDAA-4A75-835F-62C1630D6551}" name="Saldo no cartão" dataDxfId="1183" totalsRowDxfId="1182"/>
    <tableColumn id="15" xr3:uid="{68C64D40-E999-4F9F-B6FE-707DD17EEE38}" name="Recarga Pendente" dataDxfId="1181" totalsRowDxfId="1180"/>
    <tableColumn id="13" xr3:uid="{0D47974F-246F-4A62-8E58-7538A86EECD0}" name="Total Acumulado" dataDxfId="1179" totalsRowDxfId="1178">
      <calculatedColumnFormula>SUM(Tabela1746810121422303226816192527313336242101214161824262830384024810121416202226283032343624268101214246101224262442626282626810262862366[[#This Row],[Saldo no cartão]:[Recarga Pendente]])</calculatedColumnFormula>
    </tableColumn>
    <tableColumn id="21" xr3:uid="{616125BD-BBA4-479E-A880-07E9372AC9CB}" name="acumulo minimo" dataDxfId="1177" totalsRowDxfId="1176">
      <calculatedColumnFormula>Tabela1746810121422303226816192527313336242101214161824262830384024810121416202226283032343624268101214246101224262442626282626810262862366[[#This Row],[Uso diário]]*2</calculatedColumnFormula>
    </tableColumn>
    <tableColumn id="20" xr3:uid="{349D5040-C43D-4161-8865-FFE84A5BE7BB}" name="acumulo" dataDxfId="1175" totalsRowDxfId="1174">
      <calculatedColumnFormula>Tabela1746810121422303226816192527313336242101214161824262830384024810121416202226283032343624268101214246101224262442626282626810262862366[[#This Row],[Total Acumulado]]-P4</calculatedColumnFormula>
    </tableColumn>
    <tableColumn id="10" xr3:uid="{0F865C9E-E21A-46F1-A422-854E16E8379B}" name="Saldo para terminar o mês" dataDxfId="1173" totalsRowDxfId="1172">
      <calculatedColumnFormula>Tabela1746810121422303226816192527313336242101214161824262830384024810121416202226283032343624268101214246101224262442626282626810262862366[[#This Row],[Uso diário]]*5</calculatedColumnFormula>
    </tableColumn>
    <tableColumn id="11" xr3:uid="{8ED60996-9169-4956-8C45-D7C261EAA18C}" name="Valor economizado" dataDxfId="1171" totalsRowDxfId="1170">
      <calculatedColumnFormula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calculatedColumnFormula>
    </tableColumn>
    <tableColumn id="16" xr3:uid="{EC4D9D8B-4DED-4D02-9418-DA67B64D8FF7}" name="Pedido Final" totalsRowFunction="sum" dataDxfId="1169" totalsRowDxfId="1168">
      <calculatedColumnFormula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calculatedColumnFormula>
    </tableColumn>
    <tableColumn id="17" xr3:uid="{835E4F67-E671-4ABF-894A-715C88568596}" name="Status" totalsRowFunction="count" dataDxfId="1167" totalsRowDxfId="1166">
      <calculatedColumnFormula>IF(Tabela1746810121422303226816192527313336242101214161824262830384024810121416202226283032343624268101214246101224262442626282626810262862366[[#This Row],[Pedido Final]]=0,"NÃO EFETUAR RECARGA","RECARGA NORMAL")</calculatedColumnFormula>
    </tableColumn>
    <tableColumn id="14" xr3:uid="{0F414427-7529-4A9B-BA08-8AA4929D686D}" name="Filial" dataDxfId="1165" totalsRowDxfId="116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CC3BB8-22F0-4AC5-B0CB-C50C815EF632}" name="Tabela257911131523313337917202628323437353111315171925272931394135911131517212327293133353735379111315357111335373453737393737911373973377" displayName="Tabela257911131523313337917202628323437353111315171925272931394135911131517212327293133353735379111315357111335373453737393737911373973377" ref="R281:S285" totalsRowCount="1" totalsRowDxfId="1163">
  <autoFilter ref="R281:S284" xr:uid="{00000000-0009-0000-0100-000004000000}"/>
  <sortState xmlns:xlrd2="http://schemas.microsoft.com/office/spreadsheetml/2017/richdata2" ref="R282:S284">
    <sortCondition descending="1" ref="S282:S284"/>
  </sortState>
  <tableColumns count="2">
    <tableColumn id="1" xr3:uid="{EA58F7D6-62B9-4B4D-9606-BAC7B3519633}" name="STATUS" totalsRowLabel="TOTAL" dataDxfId="1162" totalsRowDxfId="1161"/>
    <tableColumn id="2" xr3:uid="{ADF0793D-2C94-42A2-85BD-A6FB10D557E0}" name="Coluna1" totalsRowFunction="sum" dataDxfId="1160" totalsRowDxfId="1159">
      <calculatedColumnFormula>COUNTIF(Tabela1746810121422303226816192527313336242101214161824262830384024810121416202226283032343624268101214246101224262442626282626810262862366[Status],Tabela257911131523313337917202628323437353111315171925272931394135911131517212327293133353735379111315357111335373453737393737911373973377[[#This Row],[STATUS]])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30A5B0-C4CA-42E0-84D2-DC8240343B7C}" name="Tabela17468101214223032268161925273133362421012141618242628303840248101214162022262830323436242681012142461012242624426262826268102628623668" displayName="Tabela17468101214223032268161925273133362421012141618242628303840248101214162022262830323436242681012142461012242624426262826268102628623668" ref="A3:T6" totalsRowCount="1" dataDxfId="1158" totalsRowDxfId="1157">
  <sortState xmlns:xlrd2="http://schemas.microsoft.com/office/spreadsheetml/2017/richdata2" ref="A4:T5">
    <sortCondition ref="D3:D5"/>
  </sortState>
  <tableColumns count="20">
    <tableColumn id="1" xr3:uid="{42D641B2-5811-4C02-81EC-2983E6E43D45}" name="Matricula" totalsRowLabel="Total" dataDxfId="1156" totalsRowDxfId="1155"/>
    <tableColumn id="2" xr3:uid="{97D65313-CB04-41DF-994E-31655F9D01B2}" name="Nome" dataDxfId="1154" totalsRowDxfId="1153"/>
    <tableColumn id="22" xr3:uid="{9B50EBA9-C01B-4349-A877-C551DDA8FBA8}" name="Seção" dataDxfId="1152" totalsRowDxfId="1151"/>
    <tableColumn id="19" xr3:uid="{F314EDA4-48E6-4D36-84E6-3CCE6ACB7805}" name="Função" dataDxfId="1150" totalsRowDxfId="1149"/>
    <tableColumn id="23" xr3:uid="{0F0922C9-5E87-4DFD-88EC-9F99F92B4840}" name="CPF" dataDxfId="1148" totalsRowDxfId="1147"/>
    <tableColumn id="3" xr3:uid="{7DC11A9A-D141-4E91-9FB6-A72E57F37248}" name="Nùmero do Cartão" dataDxfId="1146" totalsRowDxfId="1145"/>
    <tableColumn id="4" xr3:uid="{F6C457AE-8160-4C92-9302-EBD1AF20AF0C}" name="Uso diário" dataDxfId="1144" totalsRowDxfId="1143"/>
    <tableColumn id="5" xr3:uid="{66CA4A6B-02DA-4AD3-BAAC-193EAA1A1FF6}" name="D" dataDxfId="1142" totalsRowDxfId="1141"/>
    <tableColumn id="24" xr3:uid="{DF35D832-83B8-4C6C-AA11-5BF3DD3D6A31}" name="F" dataDxfId="1140" totalsRowDxfId="1139"/>
    <tableColumn id="8" xr3:uid="{C6FD04C2-6547-4298-9553-8DEB891B96B2}" name="Pedido Inicial" totalsRowFunction="sum" dataDxfId="1138" totalsRowDxfId="1137">
      <calculatedColumnFormula>(Tabela17468101214223032268161925273133362421012141618242628303840248101214162022262830323436242681012142461012242624426262826268102628623668[[#This Row],[D]]-Tabela17468101214223032268161925273133362421012141618242628303840248101214162022262830323436242681012142461012242624426262826268102628623668[[#This Row],[F]])*Tabela17468101214223032268161925273133362421012141618242628303840248101214162022262830323436242681012142461012242624426262826268102628623668[[#This Row],[Uso diário]]</calculatedColumnFormula>
    </tableColumn>
    <tableColumn id="9" xr3:uid="{37814149-8F4C-4A41-BBF0-F45862908F8C}" name="Saldo no cartão" dataDxfId="1136" totalsRowDxfId="1135"/>
    <tableColumn id="15" xr3:uid="{5E6B1B9A-0FEA-413B-8945-74BC7FA90E97}" name="Recarga Pendente" dataDxfId="1134" totalsRowDxfId="1133"/>
    <tableColumn id="13" xr3:uid="{6D3B16A6-058F-49AE-A8FA-D9A8F8115550}" name="Total Acumulado" dataDxfId="1132" totalsRowDxfId="1131">
      <calculatedColumnFormula>SUM(Tabela17468101214223032268161925273133362421012141618242628303840248101214162022262830323436242681012142461012242624426262826268102628623668[[#This Row],[Saldo no cartão]:[Recarga Pendente]])</calculatedColumnFormula>
    </tableColumn>
    <tableColumn id="21" xr3:uid="{F8FAEA13-59E7-46FB-8CF1-279D6BF7F86B}" name="acumulo minimo" dataDxfId="1130" totalsRowDxfId="1129">
      <calculatedColumnFormula>Tabela17468101214223032268161925273133362421012141618242628303840248101214162022262830323436242681012142461012242624426262826268102628623668[[#This Row],[Uso diário]]*2</calculatedColumnFormula>
    </tableColumn>
    <tableColumn id="20" xr3:uid="{5BA9B196-5433-4D16-9B25-8BD6A54D58F7}" name="acumulo" dataDxfId="1128" totalsRowDxfId="1127">
      <calculatedColumnFormula>Tabela17468101214223032268161925273133362421012141618242628303840248101214162022262830323436242681012142461012242624426262826268102628623668[[#This Row],[Total Acumulado]]-P4</calculatedColumnFormula>
    </tableColumn>
    <tableColumn id="10" xr3:uid="{6DD00E64-7D78-4919-A753-9B3BF3C73FBD}" name="Saldo para terminar o mês" dataDxfId="1126" totalsRowDxfId="1125">
      <calculatedColumnFormula>Tabela17468101214223032268161925273133362421012141618242628303840248101214162022262830323436242681012142461012242624426262826268102628623668[[#This Row],[Uso diário]]*5</calculatedColumnFormula>
    </tableColumn>
    <tableColumn id="11" xr3:uid="{BB3305D6-6699-4E35-9CD7-8DE01AD1A651}" name="Valor economizado" dataDxfId="1124" totalsRowDxfId="1123">
      <calculatedColumnFormula>IF(Tabela17468101214223032268161925273133362421012141618242628303840248101214162022262830323436242681012142461012242624426262826268102628623668[[#This Row],[acumulo]]&lt;Tabela17468101214223032268161925273133362421012141618242628303840248101214162022262830323436242681012142461012242624426262826268102628623668[[#This Row],[acumulo minimo]],0,Tabela17468101214223032268161925273133362421012141618242628303840248101214162022262830323436242681012142461012242624426262826268102628623668[[#This Row],[acumulo]])</calculatedColumnFormula>
    </tableColumn>
    <tableColumn id="16" xr3:uid="{EAB23B66-A412-4417-B794-7AB349E4E7C3}" name="Pedido Final" totalsRowFunction="sum" dataDxfId="1122" totalsRowDxfId="1121">
      <calculatedColumnFormula>IF(Tabela17468101214223032268161925273133362421012141618242628303840248101214162022262830323436242681012142461012242624426262826268102628623668[[#This Row],[Valor economizado]]&gt;Tabela17468101214223032268161925273133362421012141618242628303840248101214162022262830323436242681012142461012242624426262826268102628623668[[#This Row],[Pedido Inicial]],0,Tabela17468101214223032268161925273133362421012141618242628303840248101214162022262830323436242681012142461012242624426262826268102628623668[[#This Row],[Pedido Inicial]]-Tabela17468101214223032268161925273133362421012141618242628303840248101214162022262830323436242681012142461012242624426262826268102628623668[[#This Row],[Valor economizado]])</calculatedColumnFormula>
    </tableColumn>
    <tableColumn id="17" xr3:uid="{F58F0449-ACE9-45AD-8644-AAC753D323CF}" name="Status" totalsRowFunction="count" dataDxfId="1120" totalsRowDxfId="1119">
      <calculatedColumnFormula>IF(Tabela17468101214223032268161925273133362421012141618242628303840248101214162022262830323436242681012142461012242624426262826268102628623668[[#This Row],[Pedido Final]]=0,"NÃO EFETUAR RECARGA","RECARGA NORMAL")</calculatedColumnFormula>
    </tableColumn>
    <tableColumn id="14" xr3:uid="{B2D9FD1F-843C-44B3-980E-C4F373C150C2}" name="Filial" dataDxfId="1118" totalsRowDxfId="111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90DF7A-4B0E-4720-B300-37F2E7ECD7C7}" name="Tabela2579111315233133379172026283234373531113151719252729313941359111315172123272931333537353791113153571113353734537373937379113739733779" displayName="Tabela2579111315233133379172026283234373531113151719252729313941359111315172123272931333537353791113153571113353734537373937379113739733779" ref="R9:S13" totalsRowCount="1" totalsRowDxfId="1116">
  <autoFilter ref="R9:S12" xr:uid="{00000000-0009-0000-0100-000004000000}"/>
  <sortState xmlns:xlrd2="http://schemas.microsoft.com/office/spreadsheetml/2017/richdata2" ref="R10:S12">
    <sortCondition descending="1" ref="S10:S12"/>
  </sortState>
  <tableColumns count="2">
    <tableColumn id="1" xr3:uid="{F452E041-B446-438B-8540-47DAE9383A83}" name="STATUS" totalsRowLabel="TOTAL" dataDxfId="1115" totalsRowDxfId="1114"/>
    <tableColumn id="2" xr3:uid="{53DBB68B-D073-4EB1-980D-C07F4F408C56}" name="Coluna1" totalsRowFunction="sum" dataDxfId="1113" totalsRowDxfId="1112">
      <calculatedColumnFormula>COUNTIF(Tabela17468101214223032268161925273133362421012141618242628303840248101214162022262830323436242681012142461012242624426262826268102628623668[Status],Tabela2579111315233133379172026283234373531113151719252729313941359111315172123272931333537353791113153571113353734537373937379113739733779[[#This Row],[STATUS]])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4069A3-EEFF-4451-A398-B5A62A3DD54C}" name="Tabela1746810121422303226816192527313336242101214161824262830384024810121416202226283032343624268101214246101224262442626282626810262862366810" displayName="Tabela1746810121422303226816192527313336242101214161824262830384024810121416202226283032343624268101214246101224262442626282626810262862366810" ref="A3:T99" totalsRowCount="1" dataDxfId="1111" totalsRowDxfId="1110">
  <sortState xmlns:xlrd2="http://schemas.microsoft.com/office/spreadsheetml/2017/richdata2" ref="A4:T97">
    <sortCondition ref="D3:D97"/>
  </sortState>
  <tableColumns count="20">
    <tableColumn id="1" xr3:uid="{819B2AAB-F00B-4399-9AAA-347C54B70CFB}" name="Matricula" totalsRowLabel="Total" dataDxfId="1109" totalsRowDxfId="1108"/>
    <tableColumn id="2" xr3:uid="{604C6DAF-B44F-409F-91B8-51A07B9754A9}" name="Nome" dataDxfId="1107" totalsRowDxfId="1106"/>
    <tableColumn id="22" xr3:uid="{36CD54AE-3B1F-4369-AD6C-707E8BC940DD}" name="Seção" dataDxfId="1105" totalsRowDxfId="1104"/>
    <tableColumn id="19" xr3:uid="{7D1BAAF3-8E2F-4A0C-A1F7-F77E93470596}" name="Função" dataDxfId="1103" totalsRowDxfId="1102"/>
    <tableColumn id="23" xr3:uid="{C33F13A6-AEE9-4B34-8315-74D234776848}" name="CPF" dataDxfId="1101" totalsRowDxfId="1100"/>
    <tableColumn id="3" xr3:uid="{C19D7F39-1A69-409D-987E-81B2568CCFAA}" name="Nùmero do Cartão" dataDxfId="1099" totalsRowDxfId="1098"/>
    <tableColumn id="4" xr3:uid="{38EA2C3D-54DA-4A86-80F1-770D49D9831D}" name="Uso diário" dataDxfId="1097" totalsRowDxfId="1096"/>
    <tableColumn id="5" xr3:uid="{03E3DCBB-1B24-4574-876C-32316BEAB117}" name="D" dataDxfId="1095" totalsRowDxfId="1094"/>
    <tableColumn id="24" xr3:uid="{72EA0F05-DF47-4419-8D31-81F70B2A599D}" name="F" dataDxfId="1093" totalsRowDxfId="1092"/>
    <tableColumn id="8" xr3:uid="{7A245A52-BCEE-4896-8591-7946ED7AD6DC}" name="Pedido Inicial" totalsRowFunction="sum" dataDxfId="1091" totalsRowDxfId="1090">
      <calculatedColumnFormula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calculatedColumnFormula>
    </tableColumn>
    <tableColumn id="9" xr3:uid="{FB843BCD-A828-4E8E-AD22-F01F58D5B89E}" name="Saldo no cartão" dataDxfId="1089" totalsRowDxfId="1088"/>
    <tableColumn id="15" xr3:uid="{9B2A3ACF-4872-4E4A-95F0-77286CA918D1}" name="Recarga Pendente" dataDxfId="1087" totalsRowDxfId="1086"/>
    <tableColumn id="13" xr3:uid="{36C77A01-1C3A-4104-8D5F-3BB439FC2C9C}" name="Total Acumulado" dataDxfId="1085" totalsRowDxfId="1084">
      <calculatedColumnFormula>SUM(Tabela1746810121422303226816192527313336242101214161824262830384024810121416202226283032343624268101214246101224262442626282626810262862366810[[#This Row],[Saldo no cartão]:[Recarga Pendente]])</calculatedColumnFormula>
    </tableColumn>
    <tableColumn id="21" xr3:uid="{5ED85C89-ECFC-45A0-B0E6-FF84D1CF9622}" name="acumulo minimo" dataDxfId="1083" totalsRowDxfId="1082">
      <calculatedColumnFormula>Tabela1746810121422303226816192527313336242101214161824262830384024810121416202226283032343624268101214246101224262442626282626810262862366810[[#This Row],[Uso diário]]*2</calculatedColumnFormula>
    </tableColumn>
    <tableColumn id="20" xr3:uid="{4D48DD17-3F33-44D0-997C-277F6E958521}" name="acumulo" dataDxfId="1081" totalsRowDxfId="1080">
      <calculatedColumnFormula>Tabela1746810121422303226816192527313336242101214161824262830384024810121416202226283032343624268101214246101224262442626282626810262862366810[[#This Row],[Total Acumulado]]-P4</calculatedColumnFormula>
    </tableColumn>
    <tableColumn id="10" xr3:uid="{239E895A-79AA-4CE6-8899-EA48BA9D0EB2}" name="Saldo para terminar o mês" dataDxfId="1079" totalsRowDxfId="1078">
      <calculatedColumnFormula>Tabela1746810121422303226816192527313336242101214161824262830384024810121416202226283032343624268101214246101224262442626282626810262862366810[[#This Row],[Uso diário]]*5</calculatedColumnFormula>
    </tableColumn>
    <tableColumn id="11" xr3:uid="{C26B41B6-2E16-43DC-A55D-329FDBAEF98F}" name="Valor economizado" dataDxfId="1077" totalsRowDxfId="1076">
      <calculatedColumnFormula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calculatedColumnFormula>
    </tableColumn>
    <tableColumn id="16" xr3:uid="{F433606C-67FF-4B3F-9550-CA1A15F9B660}" name="Pedido Final" totalsRowFunction="sum" dataDxfId="1075" totalsRowDxfId="1074">
      <calculatedColumnFormula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calculatedColumnFormula>
    </tableColumn>
    <tableColumn id="17" xr3:uid="{ED4680BA-C909-4061-A794-B2FFC39C8F0F}" name="Status" totalsRowFunction="count" dataDxfId="1073" totalsRowDxfId="1072">
      <calculatedColumnFormula>IF(Tabela1746810121422303226816192527313336242101214161824262830384024810121416202226283032343624268101214246101224262442626282626810262862366810[[#This Row],[Pedido Final]]=0,"NÃO EFETUAR RECARGA","RECARGA NORMAL")</calculatedColumnFormula>
    </tableColumn>
    <tableColumn id="14" xr3:uid="{AD0DAD6A-FB21-4A5B-AA5C-92AAACAC982E}" name="Filial" dataDxfId="1071" totalsRowDxfId="107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08FBF1-339A-42A4-B71E-60CDBE6AF79B}" name="Tabela257911131523313337917202628323437353111315171925272931394135911131517212327293133353735379111315357111335373453737393737911373973377911" displayName="Tabela257911131523313337917202628323437353111315171925272931394135911131517212327293133353735379111315357111335373453737393737911373973377911" ref="R102:S106" totalsRowCount="1" totalsRowDxfId="1069">
  <autoFilter ref="R102:S105" xr:uid="{00000000-0009-0000-0100-000004000000}"/>
  <sortState xmlns:xlrd2="http://schemas.microsoft.com/office/spreadsheetml/2017/richdata2" ref="R103:S105">
    <sortCondition descending="1" ref="S103:S105"/>
  </sortState>
  <tableColumns count="2">
    <tableColumn id="1" xr3:uid="{52817217-9A30-475B-8B80-93E665586462}" name="STATUS" totalsRowLabel="TOTAL" dataDxfId="1068" totalsRowDxfId="1067"/>
    <tableColumn id="2" xr3:uid="{4D1455F5-EAE5-4A7F-9F56-D7779A1C0091}" name="Coluna1" totalsRowFunction="sum" dataDxfId="1066" totalsRowDxfId="1065">
      <calculatedColumnFormula>COUNTIF(Tabela1746810121422303226816192527313336242101214161824262830384024810121416202226283032343624268101214246101224262442626282626810262862366810[Status],Tabela257911131523313337917202628323437353111315171925272931394135911131517212327293133353735379111315357111335373453737393737911373973377911[[#This Row],[STATUS]])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EA9B39-8B13-4662-B269-6678B46E83D0}" name="Tabela174681012142230322681619252731333624210121416182426283038402481012141620222628303234362426810121424610122426244262628262681026286236681012" displayName="Tabela174681012142230322681619252731333624210121416182426283038402481012141620222628303234362426810121424610122426244262628262681026286236681012" ref="A3:T144" totalsRowCount="1" dataDxfId="1064" totalsRowDxfId="1063">
  <sortState xmlns:xlrd2="http://schemas.microsoft.com/office/spreadsheetml/2017/richdata2" ref="A4:T141">
    <sortCondition ref="D3:D141"/>
  </sortState>
  <tableColumns count="20">
    <tableColumn id="1" xr3:uid="{E671CF96-2AB8-44FD-AAC4-C53132E866D8}" name="Matricula" totalsRowLabel="Total" dataDxfId="1062" totalsRowDxfId="1061"/>
    <tableColumn id="2" xr3:uid="{05E9DFEE-7BF7-4138-92D1-5972799C4A6F}" name="Nome" dataDxfId="1060" totalsRowDxfId="1059"/>
    <tableColumn id="22" xr3:uid="{395C8873-F406-4840-A424-5B3346CCEE4B}" name="Seção" dataDxfId="1058" totalsRowDxfId="1057"/>
    <tableColumn id="19" xr3:uid="{9829D2BD-CEA7-40B8-9450-72215DD21959}" name="Função" dataDxfId="1056" totalsRowDxfId="1055"/>
    <tableColumn id="23" xr3:uid="{9918D06B-BC32-4837-A472-83E637D539E8}" name="CPF" dataDxfId="1054" totalsRowDxfId="1053"/>
    <tableColumn id="3" xr3:uid="{A494288C-1357-42D2-8B30-A0D2EA52DDA7}" name="Nùmero do Cartão" dataDxfId="1052" totalsRowDxfId="1051"/>
    <tableColumn id="4" xr3:uid="{00BCC42A-0B00-4041-BCBB-D0EE755B3343}" name="Uso diário" dataDxfId="1050" totalsRowDxfId="1049"/>
    <tableColumn id="5" xr3:uid="{D50ADF2A-9079-437E-973A-6DFDAF7FBD29}" name="D" dataDxfId="1048" totalsRowDxfId="1047"/>
    <tableColumn id="24" xr3:uid="{B6D18277-1A66-4187-97D6-8B6DB8F8EC62}" name="F" dataDxfId="1046" totalsRowDxfId="1045"/>
    <tableColumn id="8" xr3:uid="{795A863F-66AC-4829-9254-1216161BA239}" name="Pedido Inicial" totalsRowFunction="sum" dataDxfId="1044" totalsRowDxfId="1043">
      <calculatedColumnFormula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calculatedColumnFormula>
    </tableColumn>
    <tableColumn id="9" xr3:uid="{5DF830FB-DBC4-418B-8DEA-603FBD952439}" name="Saldo no cartão" dataDxfId="1042" totalsRowDxfId="1041"/>
    <tableColumn id="15" xr3:uid="{02333CD6-53A4-43A6-A65B-854BE00BF705}" name="Recarga Pendente" dataDxfId="1040" totalsRowDxfId="1039"/>
    <tableColumn id="13" xr3:uid="{05C41D28-24CF-41E9-859D-FFB8A0D14CCD}" name="Total Acumulado" dataDxfId="1038" totalsRowDxfId="1037">
      <calculatedColumnFormula>SUM(Tabela174681012142230322681619252731333624210121416182426283038402481012141620222628303234362426810121424610122426244262628262681026286236681012[[#This Row],[Saldo no cartão]:[Recarga Pendente]])</calculatedColumnFormula>
    </tableColumn>
    <tableColumn id="21" xr3:uid="{D68282C4-9576-46CA-8649-D328FFD60EB2}" name="acumulo minimo" dataDxfId="1036" totalsRowDxfId="1035">
      <calculatedColumnFormula>Tabela174681012142230322681619252731333624210121416182426283038402481012141620222628303234362426810121424610122426244262628262681026286236681012[[#This Row],[Uso diário]]*2</calculatedColumnFormula>
    </tableColumn>
    <tableColumn id="20" xr3:uid="{87F57293-14DE-4792-BABB-7C6D19420FD4}" name="acumulo" dataDxfId="1034" totalsRowDxfId="1033">
      <calculatedColumnFormula>Tabela174681012142230322681619252731333624210121416182426283038402481012141620222628303234362426810121424610122426244262628262681026286236681012[[#This Row],[Total Acumulado]]-P4</calculatedColumnFormula>
    </tableColumn>
    <tableColumn id="10" xr3:uid="{2AB11D41-5AD8-4C80-8A39-D955784CBFF6}" name="Saldo para terminar o mês" dataDxfId="1032" totalsRowDxfId="1031">
      <calculatedColumnFormula>Tabela174681012142230322681619252731333624210121416182426283038402481012141620222628303234362426810121424610122426244262628262681026286236681012[[#This Row],[Uso diário]]*5</calculatedColumnFormula>
    </tableColumn>
    <tableColumn id="11" xr3:uid="{F0435971-7560-483E-B355-F61627A2A9AF}" name="Valor economizado" dataDxfId="1030" totalsRowDxfId="1029">
      <calculatedColumnFormula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calculatedColumnFormula>
    </tableColumn>
    <tableColumn id="16" xr3:uid="{0A00D276-258F-4451-9D4E-936BF5B3C7B8}" name="Pedido Final" totalsRowFunction="sum" dataDxfId="1028" totalsRowDxfId="1027">
      <calculatedColumnFormula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calculatedColumnFormula>
    </tableColumn>
    <tableColumn id="17" xr3:uid="{93C54544-2E37-46CF-BD68-494543454789}" name="Status" totalsRowFunction="count" dataDxfId="1026" totalsRowDxfId="1025">
      <calculatedColumnFormula>IF(Tabela174681012142230322681619252731333624210121416182426283038402481012141620222628303234362426810121424610122426244262628262681026286236681012[[#This Row],[Pedido Final]]=0,"NÃO EFETUAR RECARGA","RECARGA NORMAL")</calculatedColumnFormula>
    </tableColumn>
    <tableColumn id="14" xr3:uid="{D552371E-AB1F-40BB-9188-9EE323C9FD90}" name="Filial" dataDxfId="1024" totalsRowDxfId="102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D85F4D-80BC-491F-A9E7-FBABFDCC0FBC}" name="Tabela25791113152331333791720262832343735311131517192527293139413591113151721232729313335373537911131535711133537345373739373791137397337791113" displayName="Tabela25791113152331333791720262832343735311131517192527293139413591113151721232729313335373537911131535711133537345373739373791137397337791113" ref="R147:S151" totalsRowCount="1" totalsRowDxfId="1022">
  <autoFilter ref="R147:S150" xr:uid="{00000000-0009-0000-0100-000004000000}"/>
  <sortState xmlns:xlrd2="http://schemas.microsoft.com/office/spreadsheetml/2017/richdata2" ref="R148:S150">
    <sortCondition descending="1" ref="S148:S150"/>
  </sortState>
  <tableColumns count="2">
    <tableColumn id="1" xr3:uid="{8CDAB650-87BD-49E9-84DE-8785A7A3C97D}" name="STATUS" totalsRowLabel="TOTAL" dataDxfId="1021" totalsRowDxfId="1020"/>
    <tableColumn id="2" xr3:uid="{DD0577FE-266A-46CA-9E6B-AC2F1A95D399}" name="Coluna1" totalsRowFunction="sum" dataDxfId="1019" totalsRowDxfId="1018">
      <calculatedColumnFormula>COUNTIF(Tabela174681012142230322681619252731333624210121416182426283038402481012141620222628303234362426810121424610122426244262628262681026286236681012[Status],Tabela25791113152331333791720262832343735311131517192527293139413591113151721232729313335373537911131535711133537345373739373791137397337791113[[#This Row],[STATUS]])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2746D8-189A-4A23-8971-F148A8C23A21}" name="Tabela17468101214223032268161925273133362421012141618242628303840248101214162022262830323436242681012142461012242624426262826268102628623668101214" displayName="Tabela17468101214223032268161925273133362421012141618242628303840248101214162022262830323436242681012142461012242624426262826268102628623668101214" ref="A3:T134" totalsRowCount="1" dataDxfId="1017" totalsRowDxfId="1016">
  <sortState xmlns:xlrd2="http://schemas.microsoft.com/office/spreadsheetml/2017/richdata2" ref="A4:T133">
    <sortCondition ref="D3:D133"/>
  </sortState>
  <tableColumns count="20">
    <tableColumn id="1" xr3:uid="{2677FF67-114B-43BF-9F79-548C3E23B883}" name="Matricula" totalsRowLabel="Total" dataDxfId="1015" totalsRowDxfId="1014"/>
    <tableColumn id="2" xr3:uid="{96B498B4-340E-4658-BA99-48B3F79F1704}" name="Nome" dataDxfId="1013" totalsRowDxfId="1012"/>
    <tableColumn id="22" xr3:uid="{3A3F9ECD-FA7C-49EA-87B4-A4D5D6E94307}" name="Seção" dataDxfId="1011" totalsRowDxfId="1010"/>
    <tableColumn id="19" xr3:uid="{1F1EE4D2-6984-4519-9830-04265F0C5EA1}" name="Função" dataDxfId="1009" totalsRowDxfId="1008"/>
    <tableColumn id="23" xr3:uid="{F251ECDD-713C-4AB3-A680-D2CB1E80E2C7}" name="CPF" dataDxfId="1007" totalsRowDxfId="1006"/>
    <tableColumn id="3" xr3:uid="{C9F1094D-215A-4CE1-BA9F-E66A782596AF}" name="Nùmero do Cartão" dataDxfId="1005" totalsRowDxfId="1004"/>
    <tableColumn id="4" xr3:uid="{59FBE5AB-250A-4706-B1EC-45040D51D33E}" name="Uso diário" dataDxfId="1003" totalsRowDxfId="1002"/>
    <tableColumn id="5" xr3:uid="{EAE73FFD-7C32-4CED-B5EC-F626EB2F92AB}" name="D" dataDxfId="1001" totalsRowDxfId="1000"/>
    <tableColumn id="24" xr3:uid="{7D98D89A-FE24-4505-82C9-A84993E705FC}" name="F" dataDxfId="999" totalsRowDxfId="998"/>
    <tableColumn id="8" xr3:uid="{91DB7395-60A2-4875-A00C-EEC9F1BB6455}" name="Pedido Inicial" totalsRowFunction="sum" dataDxfId="997" totalsRowDxfId="996">
      <calculatedColumnFormula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calculatedColumnFormula>
    </tableColumn>
    <tableColumn id="9" xr3:uid="{8E4A2C1C-A536-497C-845B-0F6429A7F9BE}" name="Saldo no cartão" dataDxfId="995" totalsRowDxfId="994"/>
    <tableColumn id="15" xr3:uid="{D104CD81-F134-49F7-A69A-9B6C3BB5B442}" name="Recarga Pendente" dataDxfId="993" totalsRowDxfId="992"/>
    <tableColumn id="13" xr3:uid="{E076D625-70DF-4762-BE4E-C988E9151B35}" name="Total Acumulado" dataDxfId="991" totalsRowDxfId="990">
      <calculatedColumnFormula>SUM(Tabela17468101214223032268161925273133362421012141618242628303840248101214162022262830323436242681012142461012242624426262826268102628623668101214[[#This Row],[Saldo no cartão]:[Recarga Pendente]])</calculatedColumnFormula>
    </tableColumn>
    <tableColumn id="21" xr3:uid="{62E41085-D203-4565-930A-9C25C74647E9}" name="acumulo minimo" dataDxfId="989" totalsRowDxfId="988">
      <calculatedColumnFormula>Tabela17468101214223032268161925273133362421012141618242628303840248101214162022262830323436242681012142461012242624426262826268102628623668101214[[#This Row],[Uso diário]]*2</calculatedColumnFormula>
    </tableColumn>
    <tableColumn id="20" xr3:uid="{9D14F9D5-BF52-4A2F-A1B2-385C8B76A517}" name="acumulo" dataDxfId="987" totalsRowDxfId="986">
      <calculatedColumnFormula>Tabela17468101214223032268161925273133362421012141618242628303840248101214162022262830323436242681012142461012242624426262826268102628623668101214[[#This Row],[Total Acumulado]]-P4</calculatedColumnFormula>
    </tableColumn>
    <tableColumn id="10" xr3:uid="{6CA14905-0FAA-430F-84C1-E9704C9C240E}" name="Saldo para terminar o mês" dataDxfId="985" totalsRowDxfId="984">
      <calculatedColumnFormula>Tabela17468101214223032268161925273133362421012141618242628303840248101214162022262830323436242681012142461012242624426262826268102628623668101214[[#This Row],[Uso diário]]*5</calculatedColumnFormula>
    </tableColumn>
    <tableColumn id="11" xr3:uid="{4122D061-2D90-4D19-9C8E-B903C2EF9911}" name="Valor economizado" dataDxfId="983" totalsRowDxfId="982">
      <calculatedColumnFormula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calculatedColumnFormula>
    </tableColumn>
    <tableColumn id="16" xr3:uid="{34E9D2CF-5579-4F6B-BE0C-0EB3B9E59101}" name="Pedido Final" totalsRowFunction="sum" dataDxfId="981" totalsRowDxfId="980">
      <calculatedColumnFormula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calculatedColumnFormula>
    </tableColumn>
    <tableColumn id="17" xr3:uid="{384AB2B1-9EE3-4170-9686-F198ABCC0CD7}" name="Status" totalsRowFunction="count" dataDxfId="979" totalsRowDxfId="978">
      <calculatedColumnFormula>IF(Tabela17468101214223032268161925273133362421012141618242628303840248101214162022262830323436242681012142461012242624426262826268102628623668101214[[#This Row],[Pedido Final]]=0,"NÃO EFETUAR RECARGA","RECARGA NORMAL")</calculatedColumnFormula>
    </tableColumn>
    <tableColumn id="14" xr3:uid="{8E37C5CB-87A5-4002-A2FE-75FFAF748333}" name="Filial" dataDxfId="977" totalsRowDxfId="97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CC74D87-4443-41EC-8B1C-C8CCA28C4776}" name="Tabela2579111315233133379172026283234373531113151719252729313941359111315172123272931333537353791113153571113353734537373937379113739733779111315" displayName="Tabela2579111315233133379172026283234373531113151719252729313941359111315172123272931333537353791113153571113353734537373937379113739733779111315" ref="R137:S141" totalsRowCount="1" totalsRowDxfId="975">
  <autoFilter ref="R137:S140" xr:uid="{00000000-0009-0000-0100-000004000000}"/>
  <sortState xmlns:xlrd2="http://schemas.microsoft.com/office/spreadsheetml/2017/richdata2" ref="R138:S140">
    <sortCondition descending="1" ref="S138:S140"/>
  </sortState>
  <tableColumns count="2">
    <tableColumn id="1" xr3:uid="{DD35F9C7-08F4-4EEF-9A29-620260038AD7}" name="STATUS" totalsRowLabel="TOTAL" dataDxfId="974" totalsRowDxfId="973"/>
    <tableColumn id="2" xr3:uid="{19D109B3-F9CB-486D-A7E1-98CC0C7FF5BA}" name="Coluna1" totalsRowFunction="sum" dataDxfId="972" totalsRowDxfId="971">
      <calculatedColumnFormula>COUNTIF(Tabela17468101214223032268161925273133362421012141618242628303840248101214162022262830323436242681012142461012242624426262826268102628623668101214[Status],Tabela2579111315233133379172026283234373531113151719252729313941359111315172123272931333537353791113153571113353734537373937379113739733779111315[[#This Row],[STATUS]])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96862D-339E-4478-AB7F-31D7F0DDD6DE}" name="Tabela1746810121422303226816192527313336242101214161824262830384024810121416202226283032343624268101214246101224262442626282626810262862366810121416" displayName="Tabela1746810121422303226816192527313336242101214161824262830384024810121416202226283032343624268101214246101224262442626282626810262862366810121416" ref="A3:T32" totalsRowCount="1" dataDxfId="970" totalsRowDxfId="969">
  <sortState xmlns:xlrd2="http://schemas.microsoft.com/office/spreadsheetml/2017/richdata2" ref="A4:T31">
    <sortCondition ref="D3:D31"/>
  </sortState>
  <tableColumns count="20">
    <tableColumn id="1" xr3:uid="{0D85F609-C2D2-4473-99EE-0D096C16ACE7}" name="Matricula" totalsRowLabel="Total" dataDxfId="968" totalsRowDxfId="967"/>
    <tableColumn id="2" xr3:uid="{8B963582-07DB-4558-AD26-A09BF4E82A41}" name="Nome" dataDxfId="966" totalsRowDxfId="965"/>
    <tableColumn id="22" xr3:uid="{4182F50A-C678-45C4-BD6E-40FE1701A0BC}" name="Seção" dataDxfId="964" totalsRowDxfId="963"/>
    <tableColumn id="19" xr3:uid="{FA6CEB07-DAE4-4446-B4F0-99AD341BA46C}" name="Função" dataDxfId="962" totalsRowDxfId="961"/>
    <tableColumn id="23" xr3:uid="{E83724F4-C356-4384-AA09-F816F751CA98}" name="CPF" dataDxfId="960" totalsRowDxfId="959"/>
    <tableColumn id="3" xr3:uid="{F7B08311-9C2A-472F-A030-27BA1F40D836}" name="Nùmero do Cartão" dataDxfId="958" totalsRowDxfId="957"/>
    <tableColumn id="4" xr3:uid="{D705818E-CB13-4BC8-85C7-D1E68646E399}" name="Uso diário" dataDxfId="956" totalsRowDxfId="955"/>
    <tableColumn id="5" xr3:uid="{D76503E2-4E07-46EC-B59C-B1B49F600056}" name="D" dataDxfId="954" totalsRowDxfId="953"/>
    <tableColumn id="24" xr3:uid="{3043AE3C-1C36-415F-AD8D-51467BABA683}" name="F" dataDxfId="952" totalsRowDxfId="951"/>
    <tableColumn id="8" xr3:uid="{48F2EFA0-BC8A-4B35-88CF-AAB184F6F823}" name="Pedido Inicial" totalsRowFunction="sum" dataDxfId="950" totalsRowDxfId="949">
      <calculatedColumnFormula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calculatedColumnFormula>
    </tableColumn>
    <tableColumn id="9" xr3:uid="{471CF1CE-4F02-4EDA-A041-DCED33B8D428}" name="Saldo no cartão" dataDxfId="948" totalsRowDxfId="947"/>
    <tableColumn id="15" xr3:uid="{D213388C-8BD9-4127-B530-7381353352E2}" name="Recarga Pendente" dataDxfId="946" totalsRowDxfId="945"/>
    <tableColumn id="13" xr3:uid="{05E507E9-5505-48F3-854E-4EB743D85C93}" name="Total Acumulado" dataDxfId="944" totalsRowDxfId="943">
      <calculatedColumnFormula>SUM(Tabela1746810121422303226816192527313336242101214161824262830384024810121416202226283032343624268101214246101224262442626282626810262862366810121416[[#This Row],[Saldo no cartão]:[Recarga Pendente]])</calculatedColumnFormula>
    </tableColumn>
    <tableColumn id="21" xr3:uid="{5044E618-75D6-46FB-B3F9-655564E2EEEB}" name="acumulo minimo" dataDxfId="942" totalsRowDxfId="941">
      <calculatedColumnFormula>Tabela1746810121422303226816192527313336242101214161824262830384024810121416202226283032343624268101214246101224262442626282626810262862366810121416[[#This Row],[Uso diário]]*2</calculatedColumnFormula>
    </tableColumn>
    <tableColumn id="20" xr3:uid="{2EAB049A-4807-485B-823F-A45F7D28B1B4}" name="acumulo" dataDxfId="940" totalsRowDxfId="939">
      <calculatedColumnFormula>Tabela1746810121422303226816192527313336242101214161824262830384024810121416202226283032343624268101214246101224262442626282626810262862366810121416[[#This Row],[Total Acumulado]]-P4</calculatedColumnFormula>
    </tableColumn>
    <tableColumn id="10" xr3:uid="{20377195-06E5-42AA-BE12-D35D1452EF7E}" name="Saldo para terminar o mês" dataDxfId="938" totalsRowDxfId="937">
      <calculatedColumnFormula>Tabela1746810121422303226816192527313336242101214161824262830384024810121416202226283032343624268101214246101224262442626282626810262862366810121416[[#This Row],[Uso diário]]*5</calculatedColumnFormula>
    </tableColumn>
    <tableColumn id="11" xr3:uid="{442E84D4-6842-49B8-A954-FB1F6335834C}" name="Valor economizado" dataDxfId="936" totalsRowDxfId="935">
      <calculatedColumnFormula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calculatedColumnFormula>
    </tableColumn>
    <tableColumn id="16" xr3:uid="{F023F470-6987-43A4-8356-BD264A90E1F9}" name="Pedido Final" totalsRowFunction="sum" dataDxfId="934" totalsRowDxfId="933">
      <calculatedColumnFormula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calculatedColumnFormula>
    </tableColumn>
    <tableColumn id="17" xr3:uid="{D58A9FFB-4497-4C3C-BA4D-F3585CC789C8}" name="Status" totalsRowFunction="count" dataDxfId="932" totalsRowDxfId="931">
      <calculatedColumnFormula>IF(Tabela1746810121422303226816192527313336242101214161824262830384024810121416202226283032343624268101214246101224262442626282626810262862366810121416[[#This Row],[Pedido Final]]=0,"NÃO EFETUAR RECARGA","RECARGA NORMAL")</calculatedColumnFormula>
    </tableColumn>
    <tableColumn id="14" xr3:uid="{5B291A5B-18FC-4AEF-9E73-C26CCC075BA4}" name="Filial" dataDxfId="930" totalsRowDxfId="929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0C7DFC-51AA-4687-AE06-514E392D4475}" name="Tabela257911131523313337917202628323437353111315171925272931394135911131517212327293133353735379111315357111335373453737393737911373973377911131517" displayName="Tabela257911131523313337917202628323437353111315171925272931394135911131517212327293133353735379111315357111335373453737393737911373973377911131517" ref="R35:S39" totalsRowCount="1" totalsRowDxfId="928">
  <autoFilter ref="R35:S38" xr:uid="{00000000-0009-0000-0100-000004000000}"/>
  <sortState xmlns:xlrd2="http://schemas.microsoft.com/office/spreadsheetml/2017/richdata2" ref="R36:S38">
    <sortCondition descending="1" ref="S36:S38"/>
  </sortState>
  <tableColumns count="2">
    <tableColumn id="1" xr3:uid="{E1924EBF-1BD6-486D-81C3-F45B32B7B9A5}" name="STATUS" totalsRowLabel="TOTAL" dataDxfId="927" totalsRowDxfId="926"/>
    <tableColumn id="2" xr3:uid="{C911094F-1A9C-4936-8ABB-7F74B15ED4F1}" name="Coluna1" totalsRowFunction="sum" dataDxfId="925" totalsRowDxfId="924">
      <calculatedColumnFormula>COUNTIF(Tabela1746810121422303226816192527313336242101214161824262830384024810121416202226283032343624268101214246101224262442626282626810262862366810121416[Status],Tabela257911131523313337917202628323437353111315171925272931394135911131517212327293133353735379111315357111335373453737393737911373973377911131517[[#This Row],[STATUS]])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6899979-29AB-4B0C-BFBA-1D572FCE41FC}" name="Tabela174681012142230322681619252731333624210121416182426283038402481012141620222628303234362426810121424610122426244262628262681026286236681012141618" displayName="Tabela174681012142230322681619252731333624210121416182426283038402481012141620222628303234362426810121424610122426244262628262681026286236681012141618" ref="A3:T15" totalsRowCount="1" dataDxfId="923" totalsRowDxfId="922">
  <sortState xmlns:xlrd2="http://schemas.microsoft.com/office/spreadsheetml/2017/richdata2" ref="A4:T14">
    <sortCondition ref="D3:D14"/>
  </sortState>
  <tableColumns count="20">
    <tableColumn id="1" xr3:uid="{4F290489-ECCA-4FAC-90A1-39C55B19A474}" name="Matricula" totalsRowLabel="Total" dataDxfId="921" totalsRowDxfId="920"/>
    <tableColumn id="2" xr3:uid="{82F323C1-E0F0-4423-8E8E-DF563D7CA836}" name="Nome" dataDxfId="919" totalsRowDxfId="918"/>
    <tableColumn id="22" xr3:uid="{7629BD77-838F-4765-A270-14D6222B9FAE}" name="Seção" dataDxfId="917" totalsRowDxfId="916"/>
    <tableColumn id="19" xr3:uid="{AF5D4C86-1A18-4455-8865-7D187AB86F0C}" name="Função" dataDxfId="915" totalsRowDxfId="914"/>
    <tableColumn id="23" xr3:uid="{9C8BE977-39F0-4CB9-88E1-010D3E4FAE9E}" name="CPF" dataDxfId="913" totalsRowDxfId="912"/>
    <tableColumn id="3" xr3:uid="{22CF0E51-0404-4010-84A5-F5D5FD78E58B}" name="Nùmero do Cartão" dataDxfId="911" totalsRowDxfId="910"/>
    <tableColumn id="4" xr3:uid="{A526D367-74D5-4975-984B-461B234E697A}" name="Uso diário" dataDxfId="909" totalsRowDxfId="908"/>
    <tableColumn id="5" xr3:uid="{357C816C-81BD-42ED-AB70-53BAA3A83340}" name="D" dataDxfId="907" totalsRowDxfId="906"/>
    <tableColumn id="24" xr3:uid="{C0D705B9-38BB-48A6-9F24-FF98E321CE52}" name="F" dataDxfId="905" totalsRowDxfId="904"/>
    <tableColumn id="8" xr3:uid="{569CFC5D-7F0B-4290-91A6-14FCF6B47065}" name="Pedido Inicial" totalsRowFunction="sum" dataDxfId="903" totalsRowDxfId="902">
      <calculatedColumnFormula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calculatedColumnFormula>
    </tableColumn>
    <tableColumn id="9" xr3:uid="{51F14175-5F91-4EB1-99FE-6AF8C0A8B9D1}" name="Saldo no cartão" dataDxfId="901" totalsRowDxfId="900"/>
    <tableColumn id="15" xr3:uid="{F7573386-2B09-491E-8FF0-DEBD50D36521}" name="Recarga Pendente" dataDxfId="899" totalsRowDxfId="898"/>
    <tableColumn id="13" xr3:uid="{B23B3245-14C5-453A-8D0F-C7AFEDD04FBD}" name="Total Acumulado" dataDxfId="897" totalsRowDxfId="896">
      <calculatedColumnFormula>SUM(Tabela174681012142230322681619252731333624210121416182426283038402481012141620222628303234362426810121424610122426244262628262681026286236681012141618[[#This Row],[Saldo no cartão]:[Recarga Pendente]])</calculatedColumnFormula>
    </tableColumn>
    <tableColumn id="21" xr3:uid="{46F17079-83DC-4BDB-83FF-B921F30F7D8B}" name="acumulo minimo" dataDxfId="895" totalsRowDxfId="894">
      <calculatedColumnFormula>Tabela174681012142230322681619252731333624210121416182426283038402481012141620222628303234362426810121424610122426244262628262681026286236681012141618[[#This Row],[Uso diário]]*2</calculatedColumnFormula>
    </tableColumn>
    <tableColumn id="20" xr3:uid="{1509E400-12D6-4DBB-8DED-C72844E6355D}" name="acumulo" dataDxfId="893" totalsRowDxfId="892">
      <calculatedColumnFormula>Tabela174681012142230322681619252731333624210121416182426283038402481012141620222628303234362426810121424610122426244262628262681026286236681012141618[[#This Row],[Total Acumulado]]-P4</calculatedColumnFormula>
    </tableColumn>
    <tableColumn id="10" xr3:uid="{A55CD74E-2E5E-40A3-B58F-0E30B10C4121}" name="Saldo para terminar o mês" dataDxfId="891" totalsRowDxfId="890">
      <calculatedColumnFormula>Tabela174681012142230322681619252731333624210121416182426283038402481012141620222628303234362426810121424610122426244262628262681026286236681012141618[[#This Row],[Uso diário]]*5</calculatedColumnFormula>
    </tableColumn>
    <tableColumn id="11" xr3:uid="{4BB6DDEC-DCEB-494C-9B8E-E3C60A461F30}" name="Valor economizado" dataDxfId="889" totalsRowDxfId="888">
      <calculatedColumnFormula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calculatedColumnFormula>
    </tableColumn>
    <tableColumn id="16" xr3:uid="{A46F7DEE-B56E-4594-8B22-D15EF43CF155}" name="Pedido Final" totalsRowFunction="sum" dataDxfId="887" totalsRowDxfId="886">
      <calculatedColumnFormula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calculatedColumnFormula>
    </tableColumn>
    <tableColumn id="17" xr3:uid="{F37F1413-9D28-4502-86C6-AE054B304956}" name="Status" totalsRowFunction="count" dataDxfId="885" totalsRowDxfId="884">
      <calculatedColumnFormula>IF(Tabela174681012142230322681619252731333624210121416182426283038402481012141620222628303234362426810121424610122426244262628262681026286236681012141618[[#This Row],[Pedido Final]]=0,"NÃO EFETUAR RECARGA","RECARGA NORMAL")</calculatedColumnFormula>
    </tableColumn>
    <tableColumn id="14" xr3:uid="{588C87E9-B637-4B5A-9045-422CB4126285}" name="Filial" dataDxfId="883" totalsRowDxfId="88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850CB8-C5BA-4216-9949-D4146567C960}" name="Tabela25791113152331333791720262832343735311131517192527293139413591113151721232729313335373537911131535711133537345373739373791137397337791113151719" displayName="Tabela25791113152331333791720262832343735311131517192527293139413591113151721232729313335373537911131535711133537345373739373791137397337791113151719" ref="R18:S22" totalsRowCount="1" totalsRowDxfId="881">
  <autoFilter ref="R18:S21" xr:uid="{00000000-0009-0000-0100-000004000000}"/>
  <sortState xmlns:xlrd2="http://schemas.microsoft.com/office/spreadsheetml/2017/richdata2" ref="R19:S21">
    <sortCondition descending="1" ref="S19:S21"/>
  </sortState>
  <tableColumns count="2">
    <tableColumn id="1" xr3:uid="{7722EF4C-2550-4E73-923D-1367E66A1DEA}" name="STATUS" totalsRowLabel="TOTAL" dataDxfId="880" totalsRowDxfId="879"/>
    <tableColumn id="2" xr3:uid="{9404CDCF-C49B-4405-9F3F-336F5012AE9A}" name="Coluna1" totalsRowFunction="sum" dataDxfId="878" totalsRowDxfId="877">
      <calculatedColumnFormula>COUNTIF(Tabela174681012142230322681619252731333624210121416182426283038402481012141620222628303234362426810121424610122426244262628262681026286236681012141618[Status],Tabela25791113152331333791720262832343735311131517192527293139413591113151721232729313335373537911131535711133537345373739373791137397337791113151719[[#This Row],[STATUS]])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B380DD3-23DB-4F27-B888-AD7DCCC3F431}" name="Tabela17468101214223032268161925273133362421012141618242628303840248101214162022262830323436242681012142461012242624426262826268102628623668101214161820" displayName="Tabela17468101214223032268161925273133362421012141618242628303840248101214162022262830323436242681012142461012242624426262826268102628623668101214161820" ref="A3:T25" totalsRowCount="1" dataDxfId="876" totalsRowDxfId="875">
  <sortState xmlns:xlrd2="http://schemas.microsoft.com/office/spreadsheetml/2017/richdata2" ref="A4:T24">
    <sortCondition ref="D3:D24"/>
  </sortState>
  <tableColumns count="20">
    <tableColumn id="1" xr3:uid="{57F660B4-86BB-474F-AB0A-951F39CF75C2}" name="Matricula" totalsRowLabel="Total" dataDxfId="874" totalsRowDxfId="873"/>
    <tableColumn id="2" xr3:uid="{39B6BC76-CF5E-4F6A-93BB-93000B90DB50}" name="Nome" dataDxfId="872" totalsRowDxfId="871"/>
    <tableColumn id="22" xr3:uid="{180B89BA-104E-4971-99EA-987CA81B36F9}" name="Seção" dataDxfId="870" totalsRowDxfId="869"/>
    <tableColumn id="19" xr3:uid="{5A56A259-7A31-4433-9046-471F7452F69B}" name="Função" dataDxfId="868" totalsRowDxfId="867"/>
    <tableColumn id="23" xr3:uid="{8B5C13F6-A0D3-4C69-8F36-009EC86F0D1A}" name="CPF" dataDxfId="866" totalsRowDxfId="865"/>
    <tableColumn id="3" xr3:uid="{F9061B02-9093-4E97-B7B8-8A0BC1C619F3}" name="Nùmero do Cartão" dataDxfId="864" totalsRowDxfId="863"/>
    <tableColumn id="4" xr3:uid="{93B5326F-3A5F-428B-B83B-B7C3689EE03F}" name="Uso diário" dataDxfId="862" totalsRowDxfId="861"/>
    <tableColumn id="5" xr3:uid="{77DC2BFD-EA26-4C6E-8399-A81FEB943AEF}" name="D" dataDxfId="860" totalsRowDxfId="859"/>
    <tableColumn id="24" xr3:uid="{DF0D9C18-06B7-4112-B134-D59882F388D8}" name="F" dataDxfId="858" totalsRowDxfId="857"/>
    <tableColumn id="8" xr3:uid="{B1AA5CD8-2B01-4A73-BDA3-1D4C9B05345D}" name="Pedido Inicial" totalsRowFunction="sum" dataDxfId="856" totalsRowDxfId="855">
      <calculatedColumnFormula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calculatedColumnFormula>
    </tableColumn>
    <tableColumn id="9" xr3:uid="{D150C9AE-5C12-4112-B3FA-DBE1B3445424}" name="Saldo no cartão" dataDxfId="854" totalsRowDxfId="853"/>
    <tableColumn id="15" xr3:uid="{DB093BC8-A63A-42C3-84A2-801DC4EDBCC8}" name="Recarga Pendente" dataDxfId="852" totalsRowDxfId="851"/>
    <tableColumn id="13" xr3:uid="{A3D7ED7D-52E8-4127-94E0-E73572FFA659}" name="Total Acumulado" dataDxfId="850" totalsRowDxfId="849">
      <calculatedColumnFormula>SUM(Tabela17468101214223032268161925273133362421012141618242628303840248101214162022262830323436242681012142461012242624426262826268102628623668101214161820[[#This Row],[Saldo no cartão]:[Recarga Pendente]])</calculatedColumnFormula>
    </tableColumn>
    <tableColumn id="21" xr3:uid="{B6BCC7FB-AB33-4813-82F7-EB5C3067FD4F}" name="acumulo minimo" dataDxfId="848" totalsRowDxfId="847">
      <calculatedColumnFormula>Tabela17468101214223032268161925273133362421012141618242628303840248101214162022262830323436242681012142461012242624426262826268102628623668101214161820[[#This Row],[Uso diário]]*2</calculatedColumnFormula>
    </tableColumn>
    <tableColumn id="20" xr3:uid="{D850081E-FF77-4B94-9AC4-0D2718BCE815}" name="acumulo" dataDxfId="846" totalsRowDxfId="845">
      <calculatedColumnFormula>Tabela17468101214223032268161925273133362421012141618242628303840248101214162022262830323436242681012142461012242624426262826268102628623668101214161820[[#This Row],[Total Acumulado]]-P4</calculatedColumnFormula>
    </tableColumn>
    <tableColumn id="10" xr3:uid="{2E20B3D4-1843-4C02-ACCF-A6CAF958C90E}" name="Saldo para terminar o mês" dataDxfId="844" totalsRowDxfId="843">
      <calculatedColumnFormula>Tabela17468101214223032268161925273133362421012141618242628303840248101214162022262830323436242681012142461012242624426262826268102628623668101214161820[[#This Row],[Uso diário]]*5</calculatedColumnFormula>
    </tableColumn>
    <tableColumn id="11" xr3:uid="{9F541C6C-64D4-44B7-B33B-7B9EFC40847A}" name="Valor economizado" dataDxfId="842" totalsRowDxfId="841">
      <calculatedColumnFormula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calculatedColumnFormula>
    </tableColumn>
    <tableColumn id="16" xr3:uid="{8BB6711C-C58E-44E1-9207-7D397DAD80D6}" name="Pedido Final" totalsRowFunction="sum" dataDxfId="840" totalsRowDxfId="839">
      <calculatedColumnFormula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calculatedColumnFormula>
    </tableColumn>
    <tableColumn id="17" xr3:uid="{752D9A9C-9A12-42F0-BB5A-482420F3DE81}" name="Status" totalsRowFunction="count" dataDxfId="838" totalsRowDxfId="837">
      <calculatedColumnFormula>IF(Tabela17468101214223032268161925273133362421012141618242628303840248101214162022262830323436242681012142461012242624426262826268102628623668101214161820[[#This Row],[Pedido Final]]=0,"NÃO EFETUAR RECARGA","RECARGA NORMAL")</calculatedColumnFormula>
    </tableColumn>
    <tableColumn id="14" xr3:uid="{C5F2DEF3-30FA-4ECE-B85E-C7A160604509}" name="Filial" dataDxfId="836" totalsRowDxfId="835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51DA737-4FF7-463A-89B7-6AD85E079FEE}" name="Tabela2579111315233133379172026283234373531113151719252729313941359111315172123272931333537353791113153571113353734537373937379113739733779111315171921" displayName="Tabela2579111315233133379172026283234373531113151719252729313941359111315172123272931333537353791113153571113353734537373937379113739733779111315171921" ref="R28:S32" totalsRowCount="1" totalsRowDxfId="834">
  <autoFilter ref="R28:S31" xr:uid="{00000000-0009-0000-0100-000004000000}"/>
  <sortState xmlns:xlrd2="http://schemas.microsoft.com/office/spreadsheetml/2017/richdata2" ref="R29:S31">
    <sortCondition descending="1" ref="S29:S31"/>
  </sortState>
  <tableColumns count="2">
    <tableColumn id="1" xr3:uid="{E2F2141B-7BFF-4DD8-8257-7D5702211528}" name="STATUS" totalsRowLabel="TOTAL" dataDxfId="833" totalsRowDxfId="832"/>
    <tableColumn id="2" xr3:uid="{756E0B8A-C9D7-4937-ADED-71C9D819C84B}" name="Coluna1" totalsRowFunction="sum" dataDxfId="831" totalsRowDxfId="830">
      <calculatedColumnFormula>COUNTIF(Tabela17468101214223032268161925273133362421012141618242628303840248101214162022262830323436242681012142461012242624426262826268102628623668101214161820[Status],Tabela2579111315233133379172026283234373531113151719252729313941359111315172123272931333537353791113153571113353734537373937379113739733779111315171921[[#This Row],[STATUS]])</calculatedColumnFormula>
    </tableColumn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2B7225F-432D-4565-A55F-4C7F8502DCA1}" name="Tabela1746810121422303226816192527313336242101214161824262830384024810121416202226283032343624268101214246101224262442626282626810262862366810121416182022" displayName="Tabela1746810121422303226816192527313336242101214161824262830384024810121416202226283032343624268101214246101224262442626282626810262862366810121416182022" ref="A3:T41" totalsRowCount="1" dataDxfId="829" totalsRowDxfId="828">
  <sortState xmlns:xlrd2="http://schemas.microsoft.com/office/spreadsheetml/2017/richdata2" ref="A4:T40">
    <sortCondition ref="D3:D40"/>
  </sortState>
  <tableColumns count="20">
    <tableColumn id="1" xr3:uid="{AF68C996-84F2-4310-8886-D57325E7E7AC}" name="Matricula" totalsRowLabel="Total" dataDxfId="827" totalsRowDxfId="826"/>
    <tableColumn id="2" xr3:uid="{E58D7E8E-BDC5-44CD-A226-2338D447A160}" name="Nome" dataDxfId="825" totalsRowDxfId="824"/>
    <tableColumn id="22" xr3:uid="{2ED2DACE-A07E-424A-A9B1-62F2BDDC081A}" name="Seção" dataDxfId="823" totalsRowDxfId="822"/>
    <tableColumn id="19" xr3:uid="{83F876A5-A77E-4EA1-B0DB-A02B5A7DA9D0}" name="Função" dataDxfId="821" totalsRowDxfId="820"/>
    <tableColumn id="23" xr3:uid="{1C9C13B4-56A7-4BF2-AD27-F9676B2717C8}" name="CPF" dataDxfId="819" totalsRowDxfId="818"/>
    <tableColumn id="3" xr3:uid="{89210B3D-A3AE-4063-9B7E-CFE3BEF3CEE9}" name="Nùmero do Cartão" dataDxfId="817" totalsRowDxfId="816"/>
    <tableColumn id="4" xr3:uid="{EDAE2307-C736-4C2C-A1E2-9EE0C6C157E3}" name="Uso diário" dataDxfId="815" totalsRowDxfId="814"/>
    <tableColumn id="5" xr3:uid="{35AB1885-6863-4C18-93DB-147C7E718767}" name="D" dataDxfId="813" totalsRowDxfId="812"/>
    <tableColumn id="24" xr3:uid="{433A0FF3-27BD-4C81-A750-70371AC3E71E}" name="F" dataDxfId="811" totalsRowDxfId="810"/>
    <tableColumn id="8" xr3:uid="{3E454370-2C3D-42F2-9212-6A7F86E7036D}" name="Pedido Inicial" totalsRowFunction="sum" dataDxfId="809" totalsRowDxfId="808">
      <calculatedColumnFormula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calculatedColumnFormula>
    </tableColumn>
    <tableColumn id="9" xr3:uid="{5A4C3D33-8DC7-4D69-AE18-8685488820C9}" name="Saldo no cartão" dataDxfId="807" totalsRowDxfId="806"/>
    <tableColumn id="15" xr3:uid="{4CCC3F6B-AB03-443B-B356-B3DEE73F7717}" name="Recarga Pendente" dataDxfId="805" totalsRowDxfId="804"/>
    <tableColumn id="13" xr3:uid="{40C16094-945B-411D-880C-FFD208BA8544}" name="Total Acumulado" dataDxfId="803" totalsRowDxfId="802">
      <calculatedColumnFormula>SUM(Tabela1746810121422303226816192527313336242101214161824262830384024810121416202226283032343624268101214246101224262442626282626810262862366810121416182022[[#This Row],[Saldo no cartão]:[Recarga Pendente]])</calculatedColumnFormula>
    </tableColumn>
    <tableColumn id="21" xr3:uid="{BF16B9D7-5B6B-4846-A426-BC8237A9196C}" name="acumulo minimo" dataDxfId="801" totalsRowDxfId="800">
      <calculatedColumnFormula>Tabela1746810121422303226816192527313336242101214161824262830384024810121416202226283032343624268101214246101224262442626282626810262862366810121416182022[[#This Row],[Uso diário]]*2</calculatedColumnFormula>
    </tableColumn>
    <tableColumn id="20" xr3:uid="{27589F4B-2DA6-41C2-B560-858296F6FE8C}" name="acumulo" dataDxfId="799" totalsRowDxfId="798">
      <calculatedColumnFormula>Tabela1746810121422303226816192527313336242101214161824262830384024810121416202226283032343624268101214246101224262442626282626810262862366810121416182022[[#This Row],[Total Acumulado]]-P4</calculatedColumnFormula>
    </tableColumn>
    <tableColumn id="10" xr3:uid="{0674A9B3-E9DE-4705-B34C-53532AF2284D}" name="Saldo para terminar o mês" dataDxfId="797" totalsRowDxfId="796">
      <calculatedColumnFormula>Tabela1746810121422303226816192527313336242101214161824262830384024810121416202226283032343624268101214246101224262442626282626810262862366810121416182022[[#This Row],[Uso diário]]*5</calculatedColumnFormula>
    </tableColumn>
    <tableColumn id="11" xr3:uid="{33801F86-6E04-4317-B397-5DB710644BDC}" name="Valor economizado" dataDxfId="795" totalsRowDxfId="794">
      <calculatedColumnFormula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calculatedColumnFormula>
    </tableColumn>
    <tableColumn id="16" xr3:uid="{89EF5AB7-9A9A-40C7-AFF4-30C627308016}" name="Pedido Final" totalsRowFunction="sum" dataDxfId="793" totalsRowDxfId="792">
      <calculatedColumnFormula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calculatedColumnFormula>
    </tableColumn>
    <tableColumn id="17" xr3:uid="{13E36EA4-788C-4BC6-AF96-CD9DDF6218EB}" name="Status" totalsRowFunction="count" dataDxfId="791" totalsRowDxfId="790">
      <calculatedColumnFormula>IF(Tabela1746810121422303226816192527313336242101214161824262830384024810121416202226283032343624268101214246101224262442626282626810262862366810121416182022[[#This Row],[Pedido Final]]=0,"NÃO EFETUAR RECARGA","RECARGA NORMAL")</calculatedColumnFormula>
    </tableColumn>
    <tableColumn id="14" xr3:uid="{87E0DFDB-1A9F-4783-82BC-8239110DD1FF}" name="Filial" dataDxfId="789" totalsRowDxfId="788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7CDBF61-CD2A-4707-A036-11A79F133AA4}" name="Tabela257911131523313337917202628323437353111315171925272931394135911131517212327293133353735379111315357111335373453737393737911373973377911131517192123" displayName="Tabela257911131523313337917202628323437353111315171925272931394135911131517212327293133353735379111315357111335373453737393737911373973377911131517192123" ref="R44:S48" totalsRowCount="1" totalsRowDxfId="787">
  <autoFilter ref="R44:S47" xr:uid="{00000000-0009-0000-0100-000004000000}"/>
  <sortState xmlns:xlrd2="http://schemas.microsoft.com/office/spreadsheetml/2017/richdata2" ref="R45:S47">
    <sortCondition descending="1" ref="S45:S47"/>
  </sortState>
  <tableColumns count="2">
    <tableColumn id="1" xr3:uid="{387011DD-EFE7-4D91-AA38-6D5E03BDDC4B}" name="STATUS" totalsRowLabel="TOTAL" dataDxfId="786" totalsRowDxfId="785"/>
    <tableColumn id="2" xr3:uid="{469256F1-B667-40BD-B606-C9D1DBE24155}" name="Coluna1" totalsRowFunction="sum" dataDxfId="784" totalsRowDxfId="783">
      <calculatedColumnFormula>COUNTIF(Tabela1746810121422303226816192527313336242101214161824262830384024810121416202226283032343624268101214246101224262442626282626810262862366810121416182022[Status],Tabela257911131523313337917202628323437353111315171925272931394135911131517212327293133353735379111315357111335373453737393737911373973377911131517192123[[#This Row],[STATUS]])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75F47A0-2EAE-4437-850F-35F9740EEA1F}" name="Tabela174681012142230322681619252731333624210121416182426283038402481012141620222628303234362426810121424610122426244262628262681026286236681012141618202224" displayName="Tabela174681012142230322681619252731333624210121416182426283038402481012141620222628303234362426810121424610122426244262628262681026286236681012141618202224" ref="A3:T15" totalsRowCount="1" dataDxfId="782" totalsRowDxfId="781">
  <sortState xmlns:xlrd2="http://schemas.microsoft.com/office/spreadsheetml/2017/richdata2" ref="A4:T14">
    <sortCondition ref="D3:D14"/>
  </sortState>
  <tableColumns count="20">
    <tableColumn id="1" xr3:uid="{CE264753-1892-4BC1-A17E-24772C70951C}" name="Matricula" totalsRowLabel="Total" dataDxfId="780" totalsRowDxfId="779"/>
    <tableColumn id="2" xr3:uid="{22E3A599-9002-4F81-90B4-EBD42A13F999}" name="Nome" dataDxfId="778" totalsRowDxfId="777"/>
    <tableColumn id="22" xr3:uid="{E825DA6B-9A10-4319-A1C4-C61B1573B89C}" name="Seção" dataDxfId="776" totalsRowDxfId="775"/>
    <tableColumn id="19" xr3:uid="{56D5DA44-063E-4161-8C69-1BCF61C6D3AB}" name="Função" dataDxfId="774" totalsRowDxfId="773"/>
    <tableColumn id="23" xr3:uid="{7A349EB8-16D9-410C-BD24-3B98F9FB10B7}" name="CPF" dataDxfId="772" totalsRowDxfId="771"/>
    <tableColumn id="3" xr3:uid="{C44634F7-1B45-4BC4-99F8-9D609283B07F}" name="Nùmero do Cartão" dataDxfId="770" totalsRowDxfId="769"/>
    <tableColumn id="4" xr3:uid="{C769F7F1-7C2C-4B98-A84A-8A2FF8A46289}" name="Uso diário" dataDxfId="768" totalsRowDxfId="767"/>
    <tableColumn id="5" xr3:uid="{FA903F64-0EF1-4CCE-986E-EE98B587214F}" name="D" dataDxfId="766" totalsRowDxfId="765"/>
    <tableColumn id="24" xr3:uid="{CE508614-0012-4B1D-9185-E74D965E4AEB}" name="F" dataDxfId="764" totalsRowDxfId="763"/>
    <tableColumn id="8" xr3:uid="{9CD2985E-1F13-4F2C-8731-CF6039B63FAB}" name="Pedido Inicial" totalsRowFunction="sum" dataDxfId="762" totalsRowDxfId="761">
      <calculatedColumnFormula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calculatedColumnFormula>
    </tableColumn>
    <tableColumn id="9" xr3:uid="{536444DC-25B4-425B-A46B-126315DA3097}" name="Saldo no cartão" dataDxfId="760" totalsRowDxfId="759"/>
    <tableColumn id="15" xr3:uid="{AB9D7594-A3DB-42FA-A528-0B7F38FD43D3}" name="Recarga Pendente" dataDxfId="758" totalsRowDxfId="757"/>
    <tableColumn id="13" xr3:uid="{ABA64703-264B-42FF-83C9-3D7D668FA411}" name="Total Acumulado" dataDxfId="756" totalsRowDxfId="755">
      <calculatedColumnFormula>SUM(Tabela174681012142230322681619252731333624210121416182426283038402481012141620222628303234362426810121424610122426244262628262681026286236681012141618202224[[#This Row],[Saldo no cartão]:[Recarga Pendente]])</calculatedColumnFormula>
    </tableColumn>
    <tableColumn id="21" xr3:uid="{25500D20-8542-4AD9-825D-BD05A57670A7}" name="acumulo minimo" dataDxfId="754" totalsRowDxfId="753">
      <calculatedColumnFormula>Tabela174681012142230322681619252731333624210121416182426283038402481012141620222628303234362426810121424610122426244262628262681026286236681012141618202224[[#This Row],[Uso diário]]*2</calculatedColumnFormula>
    </tableColumn>
    <tableColumn id="20" xr3:uid="{A2222B10-F54A-4743-B0EA-C71A48E8EB99}" name="acumulo" dataDxfId="752" totalsRowDxfId="751">
      <calculatedColumnFormula>Tabela174681012142230322681619252731333624210121416182426283038402481012141620222628303234362426810121424610122426244262628262681026286236681012141618202224[[#This Row],[Total Acumulado]]-P4</calculatedColumnFormula>
    </tableColumn>
    <tableColumn id="10" xr3:uid="{D56FBDCE-0743-4280-AC0D-EE87BB7BF04C}" name="Saldo para terminar o mês" dataDxfId="750" totalsRowDxfId="749">
      <calculatedColumnFormula>Tabela174681012142230322681619252731333624210121416182426283038402481012141620222628303234362426810121424610122426244262628262681026286236681012141618202224[[#This Row],[Uso diário]]*5</calculatedColumnFormula>
    </tableColumn>
    <tableColumn id="11" xr3:uid="{4128D3E1-8228-4D25-8F0A-DB837A09DBEB}" name="Valor economizado" dataDxfId="748" totalsRowDxfId="747">
      <calculatedColumnFormula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calculatedColumnFormula>
    </tableColumn>
    <tableColumn id="16" xr3:uid="{4D7A3E89-CB5C-4EA1-8C1F-7E5C11DAB59B}" name="Pedido Final" totalsRowFunction="sum" dataDxfId="746" totalsRowDxfId="745">
      <calculatedColumnFormula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calculatedColumnFormula>
    </tableColumn>
    <tableColumn id="17" xr3:uid="{8D7B2889-47E5-4C55-B41D-1CA330C6DEA3}" name="Status" totalsRowFunction="count" dataDxfId="744" totalsRowDxfId="743">
      <calculatedColumnFormula>IF(Tabela174681012142230322681619252731333624210121416182426283038402481012141620222628303234362426810121424610122426244262628262681026286236681012141618202224[[#This Row],[Pedido Final]]=0,"NÃO EFETUAR RECARGA","RECARGA NORMAL")</calculatedColumnFormula>
    </tableColumn>
    <tableColumn id="14" xr3:uid="{FA60E471-C14A-4531-9CFF-38B348B23DF7}" name="Filial" dataDxfId="742" totalsRowDxfId="74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E2C5B6-A59B-4040-ACB3-779AB1439417}" name="Tabela25791113152331333791720262832343735311131517192527293139413591113151721232729313335373537911131535711133537345373739373791137397337791113151719212325" displayName="Tabela25791113152331333791720262832343735311131517192527293139413591113151721232729313335373537911131535711133537345373739373791137397337791113151719212325" ref="R18:S22" totalsRowCount="1" totalsRowDxfId="740">
  <autoFilter ref="R18:S21" xr:uid="{00000000-0009-0000-0100-000004000000}"/>
  <sortState xmlns:xlrd2="http://schemas.microsoft.com/office/spreadsheetml/2017/richdata2" ref="R19:S21">
    <sortCondition descending="1" ref="S19:S21"/>
  </sortState>
  <tableColumns count="2">
    <tableColumn id="1" xr3:uid="{E84B3287-FDB1-4B30-8D0E-DB2259D197D4}" name="STATUS" totalsRowLabel="TOTAL" dataDxfId="739" totalsRowDxfId="738"/>
    <tableColumn id="2" xr3:uid="{FAB114EE-A725-422E-A9CC-09C7F3D3EE93}" name="Coluna1" totalsRowFunction="sum" dataDxfId="737" totalsRowDxfId="736">
      <calculatedColumnFormula>COUNTIF(Tabela174681012142230322681619252731333624210121416182426283038402481012141620222628303234362426810121424610122426244262628262681026286236681012141618202224[Status],Tabela25791113152331333791720262832343735311131517192527293139413591113151721232729313335373537911131535711133537345373739373791137397337791113151719212325[[#This Row],[STATUS]])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D53D7-ABF7-4A8E-818C-4EF86338298A}" name="Tabela1746810121422303226816192527313336242101214161824262830384024810121416202226283032343624268101214246101224262442626282626810262862366810121416182022242" displayName="Tabela1746810121422303226816192527313336242101214161824262830384024810121416202226283032343624268101214246101224262442626282626810262862366810121416182022242" ref="A3:T14" totalsRowCount="1" dataDxfId="735" totalsRowDxfId="734">
  <sortState xmlns:xlrd2="http://schemas.microsoft.com/office/spreadsheetml/2017/richdata2" ref="A4:T13">
    <sortCondition ref="D3:D13"/>
  </sortState>
  <tableColumns count="20">
    <tableColumn id="1" xr3:uid="{6E7C95F6-7265-4253-B0E4-42895C30E02E}" name="Matricula" totalsRowLabel="Total" dataDxfId="733" totalsRowDxfId="732"/>
    <tableColumn id="2" xr3:uid="{EFA2F60B-9EAC-40BE-AD34-104D5F5C808F}" name="Nome" dataDxfId="731" totalsRowDxfId="730"/>
    <tableColumn id="22" xr3:uid="{4DC78047-6345-4758-8426-F0489997EF93}" name="Seção" dataDxfId="729" totalsRowDxfId="728"/>
    <tableColumn id="19" xr3:uid="{38FC5E61-48EE-4CF4-84A8-D71908686EF2}" name="Função" dataDxfId="727" totalsRowDxfId="726"/>
    <tableColumn id="23" xr3:uid="{A44DE820-FE8C-44C4-B357-872F689750BD}" name="CPF" dataDxfId="725" totalsRowDxfId="724"/>
    <tableColumn id="3" xr3:uid="{15144838-14F8-4065-B421-6E31BD2072E9}" name="Nùmero do Cartão" dataDxfId="723" totalsRowDxfId="722"/>
    <tableColumn id="4" xr3:uid="{F02D9E89-328F-4BCB-94E4-0FAB4EECD7CF}" name="Uso diário" dataDxfId="721" totalsRowDxfId="720"/>
    <tableColumn id="5" xr3:uid="{18670E15-1F7F-4C16-8D50-AC6B28CBE242}" name="D" dataDxfId="719" totalsRowDxfId="718"/>
    <tableColumn id="24" xr3:uid="{F192F2CD-3678-4A53-8E0B-6A90B58D7C76}" name="F" dataDxfId="717" totalsRowDxfId="716"/>
    <tableColumn id="8" xr3:uid="{343B2801-A95C-49C9-AE15-B025FA38F806}" name="Pedido Inicial" totalsRowFunction="sum" dataDxfId="715" totalsRowDxfId="714">
      <calculatedColumnFormula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calculatedColumnFormula>
    </tableColumn>
    <tableColumn id="9" xr3:uid="{59021933-31E8-4670-8FA6-EA20F26E661F}" name="Saldo no cartão" dataDxfId="713" totalsRowDxfId="712"/>
    <tableColumn id="15" xr3:uid="{2441D657-E52C-4508-9DAB-71FFE424371E}" name="Recarga Pendente" dataDxfId="711" totalsRowDxfId="710"/>
    <tableColumn id="13" xr3:uid="{0C06A6E2-5DFF-404A-83BA-E7318750DB0B}" name="Total Acumulado" dataDxfId="709" totalsRowDxfId="708">
      <calculatedColumnFormula>SUM(Tabela1746810121422303226816192527313336242101214161824262830384024810121416202226283032343624268101214246101224262442626282626810262862366810121416182022242[[#This Row],[Saldo no cartão]:[Recarga Pendente]])</calculatedColumnFormula>
    </tableColumn>
    <tableColumn id="21" xr3:uid="{DCCC41A3-498D-45BF-9D2C-976F4A0D3253}" name="acumulo minimo" dataDxfId="707" totalsRowDxfId="706">
      <calculatedColumnFormula>Tabela1746810121422303226816192527313336242101214161824262830384024810121416202226283032343624268101214246101224262442626282626810262862366810121416182022242[[#This Row],[Uso diário]]*2</calculatedColumnFormula>
    </tableColumn>
    <tableColumn id="20" xr3:uid="{431F072F-1728-489D-B8A1-BBEA43B10C3F}" name="acumulo" dataDxfId="705" totalsRowDxfId="704">
      <calculatedColumnFormula>Tabela1746810121422303226816192527313336242101214161824262830384024810121416202226283032343624268101214246101224262442626282626810262862366810121416182022242[[#This Row],[Total Acumulado]]-P4</calculatedColumnFormula>
    </tableColumn>
    <tableColumn id="10" xr3:uid="{3B5C58CA-BD25-408B-8D0D-960BD3F6B1BB}" name="Saldo para terminar o mês" dataDxfId="703" totalsRowDxfId="702">
      <calculatedColumnFormula>Tabela1746810121422303226816192527313336242101214161824262830384024810121416202226283032343624268101214246101224262442626282626810262862366810121416182022242[[#This Row],[Uso diário]]*5</calculatedColumnFormula>
    </tableColumn>
    <tableColumn id="11" xr3:uid="{659E77A5-297E-41D1-B491-656594445EF2}" name="Valor economizado" dataDxfId="701" totalsRowDxfId="700">
      <calculatedColumnFormula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calculatedColumnFormula>
    </tableColumn>
    <tableColumn id="16" xr3:uid="{3712DB6F-9695-4D00-9AD1-E4C1E76C0390}" name="Pedido Final" totalsRowFunction="sum" dataDxfId="699" totalsRowDxfId="698">
      <calculatedColumnFormula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calculatedColumnFormula>
    </tableColumn>
    <tableColumn id="17" xr3:uid="{4B61F2AA-86EE-4DF8-9754-4C09E2D6D4AF}" name="Status" totalsRowFunction="count" dataDxfId="697" totalsRowDxfId="696">
      <calculatedColumnFormula>IF(Tabela1746810121422303226816192527313336242101214161824262830384024810121416202226283032343624268101214246101224262442626282626810262862366810121416182022242[[#This Row],[Pedido Final]]=0,"NÃO EFETUAR RECARGA","RECARGA NORMAL")</calculatedColumnFormula>
    </tableColumn>
    <tableColumn id="14" xr3:uid="{2E6EF33E-1FC0-4A09-9608-F939148F1E78}" name="Filial" dataDxfId="695" totalsRowDxfId="694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5AA38-A275-4417-8C2F-3AA10B06006C}" name="Tabela257911131523313337917202628323437353111315171925272931394135911131517212327293133353735379111315357111335373453737393737911373973377911131517192123253" displayName="Tabela257911131523313337917202628323437353111315171925272931394135911131517212327293133353735379111315357111335373453737393737911373973377911131517192123253" ref="R17:S21" totalsRowCount="1" totalsRowDxfId="693">
  <autoFilter ref="R17:S20" xr:uid="{00000000-0009-0000-0100-000004000000}"/>
  <sortState xmlns:xlrd2="http://schemas.microsoft.com/office/spreadsheetml/2017/richdata2" ref="R18:S20">
    <sortCondition descending="1" ref="S18:S20"/>
  </sortState>
  <tableColumns count="2">
    <tableColumn id="1" xr3:uid="{A72EBF65-3587-4084-A8E0-4C12127F9D73}" name="STATUS" totalsRowLabel="TOTAL" dataDxfId="692" totalsRowDxfId="691"/>
    <tableColumn id="2" xr3:uid="{1ECA05F1-A0C4-42FF-BA21-5787AED81B54}" name="Coluna1" totalsRowFunction="sum" dataDxfId="690" totalsRowDxfId="689">
      <calculatedColumnFormula>COUNTIF(Tabela1746810121422303226816192527313336242101214161824262830384024810121416202226283032343624268101214246101224262442626282626810262862366810121416182022242[Status],Tabela257911131523313337917202628323437353111315171925272931394135911131517212327293133353735379111315357111335373453737393737911373973377911131517192123253[[#This Row],[STATUS]])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AA2AD7-224A-43A0-9A5A-BC38B1AC1322}" name="Tabela17468101214223032268161925273133362421012141618242628303840248101214162022262830323436242681012142461012242624426262826268102628623668101214161820222424" displayName="Tabela17468101214223032268161925273133362421012141618242628303840248101214162022262830323436242681012142461012242624426262826268102628623668101214161820222424" ref="A3:T12" totalsRowCount="1" dataDxfId="688" totalsRowDxfId="687">
  <sortState xmlns:xlrd2="http://schemas.microsoft.com/office/spreadsheetml/2017/richdata2" ref="A4:T11">
    <sortCondition ref="D3:D11"/>
  </sortState>
  <tableColumns count="20">
    <tableColumn id="1" xr3:uid="{48EFF188-8FB2-406C-88FA-D4654714900F}" name="Matricula" totalsRowLabel="Total" dataDxfId="686" totalsRowDxfId="685"/>
    <tableColumn id="2" xr3:uid="{00BC77D1-087D-49AC-BA19-1A505BB03C7C}" name="Nome" dataDxfId="684" totalsRowDxfId="683"/>
    <tableColumn id="22" xr3:uid="{5B0730B9-8A67-4677-A3F3-499AF9AECB70}" name="Seção" dataDxfId="682" totalsRowDxfId="681"/>
    <tableColumn id="19" xr3:uid="{742B22CC-1914-4979-A3D0-B783881B6501}" name="Função" dataDxfId="680" totalsRowDxfId="679"/>
    <tableColumn id="23" xr3:uid="{25EED0CE-A31B-4795-A9D3-8D432C811A94}" name="CPF" dataDxfId="678" totalsRowDxfId="677"/>
    <tableColumn id="3" xr3:uid="{E5B03543-ED95-4216-ADA8-E6CC2B220422}" name="Nùmero do Cartão" dataDxfId="676" totalsRowDxfId="675"/>
    <tableColumn id="4" xr3:uid="{DACDCB75-1EF6-43E2-AB5B-6FA95A64C391}" name="Uso diário" dataDxfId="674" totalsRowDxfId="673"/>
    <tableColumn id="5" xr3:uid="{10E9726A-CD5E-4236-A237-692023AEB67C}" name="D" dataDxfId="672" totalsRowDxfId="671"/>
    <tableColumn id="24" xr3:uid="{0294D941-07E8-433D-A6F2-BF12163E3A9C}" name="F" dataDxfId="670" totalsRowDxfId="669"/>
    <tableColumn id="8" xr3:uid="{C31670B1-BAF5-4669-AB17-9CD9FC398DA0}" name="Pedido Inicial" totalsRowFunction="sum" dataDxfId="668" totalsRowDxfId="667">
      <calculatedColumnFormula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calculatedColumnFormula>
    </tableColumn>
    <tableColumn id="9" xr3:uid="{95F61374-B517-4723-89CC-46B61F49C20D}" name="Saldo no cartão" dataDxfId="666" totalsRowDxfId="665"/>
    <tableColumn id="15" xr3:uid="{6D821E04-EA9E-4CFE-9ACC-83025ED8F97B}" name="Recarga Pendente" dataDxfId="664" totalsRowDxfId="663"/>
    <tableColumn id="13" xr3:uid="{114B06C5-22FC-4B91-B072-6905CC0199EE}" name="Total Acumulado" dataDxfId="662" totalsRowDxfId="661">
      <calculatedColumnFormula>SUM(Tabela17468101214223032268161925273133362421012141618242628303840248101214162022262830323436242681012142461012242624426262826268102628623668101214161820222424[[#This Row],[Saldo no cartão]:[Recarga Pendente]])</calculatedColumnFormula>
    </tableColumn>
    <tableColumn id="21" xr3:uid="{7F635AD3-6400-40D8-9AD7-5DD6BC8BF50D}" name="acumulo minimo" dataDxfId="660" totalsRowDxfId="659">
      <calculatedColumnFormula>Tabela17468101214223032268161925273133362421012141618242628303840248101214162022262830323436242681012142461012242624426262826268102628623668101214161820222424[[#This Row],[Uso diário]]*2</calculatedColumnFormula>
    </tableColumn>
    <tableColumn id="20" xr3:uid="{8F678AFA-68FD-46F1-B3F4-55D35FC39C6E}" name="acumulo" dataDxfId="658" totalsRowDxfId="657">
      <calculatedColumnFormula>Tabela17468101214223032268161925273133362421012141618242628303840248101214162022262830323436242681012142461012242624426262826268102628623668101214161820222424[[#This Row],[Total Acumulado]]-P4</calculatedColumnFormula>
    </tableColumn>
    <tableColumn id="10" xr3:uid="{692D2CB1-1128-495A-8469-36981C37D7CB}" name="Saldo para terminar o mês" dataDxfId="656" totalsRowDxfId="655">
      <calculatedColumnFormula>Tabela17468101214223032268161925273133362421012141618242628303840248101214162022262830323436242681012142461012242624426262826268102628623668101214161820222424[[#This Row],[Uso diário]]*5</calculatedColumnFormula>
    </tableColumn>
    <tableColumn id="11" xr3:uid="{2A82D281-0EFD-48B6-BCFE-BB033219F8D0}" name="Valor economizado" dataDxfId="654" totalsRowDxfId="653">
      <calculatedColumnFormula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calculatedColumnFormula>
    </tableColumn>
    <tableColumn id="16" xr3:uid="{C7CD511D-D2ED-4849-9054-E8087247A6DF}" name="Pedido Final" totalsRowFunction="sum" dataDxfId="652" totalsRowDxfId="651">
      <calculatedColumnFormula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calculatedColumnFormula>
    </tableColumn>
    <tableColumn id="17" xr3:uid="{97B46549-CC76-435F-AA75-B22C3AC25697}" name="Status" totalsRowFunction="count" dataDxfId="650" totalsRowDxfId="649">
      <calculatedColumnFormula>IF(Tabela17468101214223032268161925273133362421012141618242628303840248101214162022262830323436242681012142461012242624426262826268102628623668101214161820222424[[#This Row],[Pedido Final]]=0,"NÃO EFETUAR RECARGA","RECARGA NORMAL")</calculatedColumnFormula>
    </tableColumn>
    <tableColumn id="14" xr3:uid="{D63F7A58-4B1F-4E77-AA68-6B9B210C23F1}" name="Filial" dataDxfId="648" totalsRowDxfId="647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E236CC-45E5-440C-A47C-1F0FDF1A3A22}" name="Tabela2579111315233133379172026283234373531113151719252729313941359111315172123272931333537353791113153571113353734537373937379113739733779111315171921232535" displayName="Tabela2579111315233133379172026283234373531113151719252729313941359111315172123272931333537353791113153571113353734537373937379113739733779111315171921232535" ref="R15:S19" totalsRowCount="1" totalsRowDxfId="646">
  <autoFilter ref="R15:S18" xr:uid="{00000000-0009-0000-0100-000004000000}"/>
  <sortState xmlns:xlrd2="http://schemas.microsoft.com/office/spreadsheetml/2017/richdata2" ref="R16:S18">
    <sortCondition descending="1" ref="S16:S18"/>
  </sortState>
  <tableColumns count="2">
    <tableColumn id="1" xr3:uid="{E707A14D-E280-43F9-9329-08E7253DCFA4}" name="STATUS" totalsRowLabel="TOTAL" dataDxfId="645" totalsRowDxfId="644"/>
    <tableColumn id="2" xr3:uid="{7C51C896-8784-45B6-8007-C6205D13733B}" name="Coluna1" totalsRowFunction="sum" dataDxfId="643" totalsRowDxfId="642">
      <calculatedColumnFormula>COUNTIF(Tabela17468101214223032268161925273133362421012141618242628303840248101214162022262830323436242681012142461012242624426262826268102628623668101214161820222424[Status],Tabela2579111315233133379172026283234373531113151719252729313941359111315172123272931333537353791113153571113353734537373937379113739733779111315171921232535[[#This Row],[STATUS]])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DC51F32-613C-4284-98BD-C72C56BA9A33}" name="Tabela1746810121422303226816192527313336242101214161824262830384024810121416202226283032343624268101214246101224262442626282626810262862366810121416182022242426" displayName="Tabela1746810121422303226816192527313336242101214161824262830384024810121416202226283032343624268101214246101224262442626282626810262862366810121416182022242426" ref="A3:T41" totalsRowCount="1" dataDxfId="641" totalsRowDxfId="640">
  <sortState xmlns:xlrd2="http://schemas.microsoft.com/office/spreadsheetml/2017/richdata2" ref="A4:T40">
    <sortCondition ref="D3:D40"/>
  </sortState>
  <tableColumns count="20">
    <tableColumn id="1" xr3:uid="{4ECEF1E8-48C4-40C3-94F3-F915FE6D80DA}" name="Matricula" totalsRowLabel="Total" dataDxfId="639" totalsRowDxfId="638"/>
    <tableColumn id="2" xr3:uid="{8694C2F8-48D9-413E-ABAF-1B36F1A9F179}" name="Nome" dataDxfId="637" totalsRowDxfId="636"/>
    <tableColumn id="22" xr3:uid="{ACBAF7BC-133C-4235-9063-22912875EB1B}" name="Seção" dataDxfId="635" totalsRowDxfId="634"/>
    <tableColumn id="19" xr3:uid="{DA1C20C9-550B-4B6E-9213-AF9ED00C0F36}" name="Função" dataDxfId="633" totalsRowDxfId="632"/>
    <tableColumn id="23" xr3:uid="{904145A7-165D-411E-B93B-2A81617352D9}" name="CPF" dataDxfId="631" totalsRowDxfId="630"/>
    <tableColumn id="3" xr3:uid="{26A34561-40ED-4FA7-B33E-FA1C20A1F414}" name="Nùmero do Cartão" dataDxfId="629" totalsRowDxfId="628"/>
    <tableColumn id="4" xr3:uid="{94CE53DD-CD55-48BD-A1B9-C6B93D786913}" name="Uso diário" dataDxfId="627" totalsRowDxfId="626"/>
    <tableColumn id="5" xr3:uid="{FD6003A0-61AE-455C-A2AB-2A7FB88CC5AF}" name="D" dataDxfId="625" totalsRowDxfId="624"/>
    <tableColumn id="24" xr3:uid="{CABB4534-58A9-4B68-B3A9-422603777907}" name="F" dataDxfId="623" totalsRowDxfId="622"/>
    <tableColumn id="8" xr3:uid="{CE506BC4-8876-4612-AB19-AEAFDB5D07CB}" name="Pedido Inicial" totalsRowFunction="sum" dataDxfId="621" totalsRowDxfId="620">
      <calculatedColumnFormula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calculatedColumnFormula>
    </tableColumn>
    <tableColumn id="9" xr3:uid="{5D5622C8-7BC1-4E4C-90AC-56CDB635C2BF}" name="Saldo no cartão" dataDxfId="619" totalsRowDxfId="618"/>
    <tableColumn id="15" xr3:uid="{73482FD1-35BC-4D4B-B9FB-72A13A20F4BE}" name="Recarga Pendente" dataDxfId="617" totalsRowDxfId="616"/>
    <tableColumn id="13" xr3:uid="{2F21B27A-25C3-48A4-9FFC-FCD5630CA863}" name="Total Acumulado" dataDxfId="615" totalsRowDxfId="614">
      <calculatedColumnFormula>SUM(Tabela1746810121422303226816192527313336242101214161824262830384024810121416202226283032343624268101214246101224262442626282626810262862366810121416182022242426[[#This Row],[Saldo no cartão]:[Recarga Pendente]])</calculatedColumnFormula>
    </tableColumn>
    <tableColumn id="21" xr3:uid="{0C5C8882-CDB5-4EE2-B267-60E2E27E01BE}" name="acumulo minimo" dataDxfId="613" totalsRowDxfId="612">
      <calculatedColumnFormula>Tabela1746810121422303226816192527313336242101214161824262830384024810121416202226283032343624268101214246101224262442626282626810262862366810121416182022242426[[#This Row],[Uso diário]]*2</calculatedColumnFormula>
    </tableColumn>
    <tableColumn id="20" xr3:uid="{9911987B-A7CA-47D0-B2E7-867D18223A61}" name="acumulo" dataDxfId="611" totalsRowDxfId="610">
      <calculatedColumnFormula>Tabela1746810121422303226816192527313336242101214161824262830384024810121416202226283032343624268101214246101224262442626282626810262862366810121416182022242426[[#This Row],[Total Acumulado]]-P4</calculatedColumnFormula>
    </tableColumn>
    <tableColumn id="10" xr3:uid="{43414426-5A4B-411A-8AD3-5E702D367C0B}" name="Saldo para terminar o mês" dataDxfId="609" totalsRowDxfId="608">
      <calculatedColumnFormula>Tabela1746810121422303226816192527313336242101214161824262830384024810121416202226283032343624268101214246101224262442626282626810262862366810121416182022242426[[#This Row],[Uso diário]]*5</calculatedColumnFormula>
    </tableColumn>
    <tableColumn id="11" xr3:uid="{40A2F7A0-5A34-46FC-BBE1-B3037B119B3D}" name="Valor economizado" dataDxfId="607" totalsRowDxfId="606">
      <calculatedColumnFormula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calculatedColumnFormula>
    </tableColumn>
    <tableColumn id="16" xr3:uid="{39B7DB85-F0A0-4FB6-AA74-E69FD182BA80}" name="Pedido Final" totalsRowFunction="sum" dataDxfId="605" totalsRowDxfId="604">
      <calculatedColumnFormula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calculatedColumnFormula>
    </tableColumn>
    <tableColumn id="17" xr3:uid="{272581B7-889D-459E-8F29-D4262ACDC0BB}" name="Status" totalsRowFunction="count" dataDxfId="603" totalsRowDxfId="602">
      <calculatedColumnFormula>IF(Tabela1746810121422303226816192527313336242101214161824262830384024810121416202226283032343624268101214246101224262442626282626810262862366810121416182022242426[[#This Row],[Pedido Final]]=0,"NÃO EFETUAR RECARGA","RECARGA NORMAL")</calculatedColumnFormula>
    </tableColumn>
    <tableColumn id="14" xr3:uid="{F79F84F6-D702-4E24-BDE8-38DE9F16BF8A}" name="Filial" dataDxfId="601" totalsRowDxfId="60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37E5870-76CB-49E8-9DBD-F3F66AEE0F0F}" name="Tabela257911131523313337917202628323437353111315171925272931394135911131517212327293133353735379111315357111335373453737393737911373973377911131517192123253527" displayName="Tabela257911131523313337917202628323437353111315171925272931394135911131517212327293133353735379111315357111335373453737393737911373973377911131517192123253527" ref="R44:S48" totalsRowCount="1" totalsRowDxfId="599">
  <autoFilter ref="R44:S47" xr:uid="{00000000-0009-0000-0100-000004000000}"/>
  <sortState xmlns:xlrd2="http://schemas.microsoft.com/office/spreadsheetml/2017/richdata2" ref="R45:S47">
    <sortCondition descending="1" ref="S45:S47"/>
  </sortState>
  <tableColumns count="2">
    <tableColumn id="1" xr3:uid="{0F454483-E3BF-479F-AB39-E66E1AC797C1}" name="STATUS" totalsRowLabel="TOTAL" dataDxfId="598" totalsRowDxfId="597"/>
    <tableColumn id="2" xr3:uid="{0E9BF562-5E75-4E74-9119-C07E2F5D8638}" name="Coluna1" totalsRowFunction="sum" dataDxfId="596" totalsRowDxfId="595">
      <calculatedColumnFormula>COUNTIF(Tabela1746810121422303226816192527313336242101214161824262830384024810121416202226283032343624268101214246101224262442626282626810262862366810121416182022242426[Status],Tabela257911131523313337917202628323437353111315171925272931394135911131517212327293133353735379111315357111335373453737393737911373973377911131517192123253527[[#This Row],[STATUS]])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ED58868-4F79-4197-8D15-FBBEF1CC5B92}" name="Tabela174681012142230322681619252731333624210121416182426283038402481012141620222628303234362426810121424610122426244262628262681026286236681012141618202224242628" displayName="Tabela174681012142230322681619252731333624210121416182426283038402481012141620222628303234362426810121424610122426244262628262681026286236681012141618202224242628" ref="A3:T11" totalsRowCount="1" dataDxfId="594" totalsRowDxfId="593">
  <sortState xmlns:xlrd2="http://schemas.microsoft.com/office/spreadsheetml/2017/richdata2" ref="A4:T10">
    <sortCondition ref="D3:D10"/>
  </sortState>
  <tableColumns count="20">
    <tableColumn id="1" xr3:uid="{1505E0E0-921A-437F-B912-FD5026CB3A1C}" name="Matricula" totalsRowLabel="Total" dataDxfId="592" totalsRowDxfId="591"/>
    <tableColumn id="2" xr3:uid="{5ADCBF04-318C-4196-97DD-7F6414179134}" name="Nome" dataDxfId="590" totalsRowDxfId="589"/>
    <tableColumn id="22" xr3:uid="{B1FFF93D-A228-4B58-A58E-EE339D315DEB}" name="Seção" dataDxfId="588" totalsRowDxfId="587"/>
    <tableColumn id="19" xr3:uid="{1225B4D3-BC10-47A7-BA84-BD72925CE448}" name="Função" dataDxfId="586" totalsRowDxfId="585"/>
    <tableColumn id="23" xr3:uid="{8E3A3357-DF3F-41A4-8E4D-8B53C620EA59}" name="CPF" dataDxfId="584" totalsRowDxfId="583"/>
    <tableColumn id="3" xr3:uid="{6C2D51AD-CCA2-4460-AE2E-1D99B8C4D5E2}" name="Nùmero do Cartão" dataDxfId="582" totalsRowDxfId="581"/>
    <tableColumn id="4" xr3:uid="{5BA2D767-A366-4DF5-B9C0-BB162FA5DB3F}" name="Uso diário" dataDxfId="580" totalsRowDxfId="579"/>
    <tableColumn id="5" xr3:uid="{CC8BB893-8FAA-4D76-84B3-4BFD063BA07D}" name="D" dataDxfId="578" totalsRowDxfId="577"/>
    <tableColumn id="24" xr3:uid="{292A9841-366F-4038-BFAE-3D4BEB54B22A}" name="F" dataDxfId="576" totalsRowDxfId="575"/>
    <tableColumn id="8" xr3:uid="{0FCCF6E0-F9E8-4352-9BE1-26AE310FCA6A}" name="Pedido Inicial" totalsRowFunction="sum" dataDxfId="574" totalsRowDxfId="573">
      <calculatedColumnFormula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calculatedColumnFormula>
    </tableColumn>
    <tableColumn id="9" xr3:uid="{FBB833A8-CD27-4A1F-87E2-29671989B2C1}" name="Saldo no cartão" dataDxfId="572" totalsRowDxfId="571"/>
    <tableColumn id="15" xr3:uid="{EDF7B15C-2F37-41CF-BDFE-C299C6420564}" name="Recarga Pendente" dataDxfId="570" totalsRowDxfId="569"/>
    <tableColumn id="13" xr3:uid="{E4734F05-FBD5-4E78-A39B-16D51CC4423E}" name="Total Acumulado" dataDxfId="568" totalsRowDxfId="567">
      <calculatedColumnFormula>SUM(Tabela174681012142230322681619252731333624210121416182426283038402481012141620222628303234362426810121424610122426244262628262681026286236681012141618202224242628[[#This Row],[Saldo no cartão]:[Recarga Pendente]])</calculatedColumnFormula>
    </tableColumn>
    <tableColumn id="21" xr3:uid="{D888485F-8861-493E-8946-CDDA6704BD53}" name="acumulo minimo" dataDxfId="566" totalsRowDxfId="565">
      <calculatedColumnFormula>Tabela174681012142230322681619252731333624210121416182426283038402481012141620222628303234362426810121424610122426244262628262681026286236681012141618202224242628[[#This Row],[Uso diário]]*2</calculatedColumnFormula>
    </tableColumn>
    <tableColumn id="20" xr3:uid="{C8F8727A-F54C-46B3-A705-A1A19351C228}" name="acumulo" dataDxfId="564" totalsRowDxfId="563">
      <calculatedColumnFormula>Tabela174681012142230322681619252731333624210121416182426283038402481012141620222628303234362426810121424610122426244262628262681026286236681012141618202224242628[[#This Row],[Total Acumulado]]-P4</calculatedColumnFormula>
    </tableColumn>
    <tableColumn id="10" xr3:uid="{915C008E-8ED6-4FBB-897F-466CA3AC2983}" name="Saldo para terminar o mês" dataDxfId="562" totalsRowDxfId="561">
      <calculatedColumnFormula>Tabela174681012142230322681619252731333624210121416182426283038402481012141620222628303234362426810121424610122426244262628262681026286236681012141618202224242628[[#This Row],[Uso diário]]*5</calculatedColumnFormula>
    </tableColumn>
    <tableColumn id="11" xr3:uid="{33BA8B01-0A38-4E0E-9D1D-97443A372E83}" name="Valor economizado" dataDxfId="560" totalsRowDxfId="559">
      <calculatedColumnFormula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calculatedColumnFormula>
    </tableColumn>
    <tableColumn id="16" xr3:uid="{DFB97320-B364-41BF-81AE-E222D0996A14}" name="Pedido Final" totalsRowFunction="sum" dataDxfId="558" totalsRowDxfId="557">
      <calculatedColumnFormula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calculatedColumnFormula>
    </tableColumn>
    <tableColumn id="17" xr3:uid="{7FCEE9EF-CFF6-49A4-B420-89A082FFC8C4}" name="Status" totalsRowFunction="count" dataDxfId="556" totalsRowDxfId="555">
      <calculatedColumnFormula>IF(Tabela174681012142230322681619252731333624210121416182426283038402481012141620222628303234362426810121424610122426244262628262681026286236681012141618202224242628[[#This Row],[Pedido Final]]=0,"NÃO EFETUAR RECARGA","RECARGA NORMAL")</calculatedColumnFormula>
    </tableColumn>
    <tableColumn id="14" xr3:uid="{460C7998-D233-402C-AA2D-10EEE197B2B8}" name="Filial" dataDxfId="554" totalsRowDxfId="553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B939547-E7AB-4967-BC42-66822BAFF4A8}" name="Tabela25791113152331333791720262832343735311131517192527293139413591113151721232729313335373537911131535711133537345373739373791137397337791113151719212325352729" displayName="Tabela25791113152331333791720262832343735311131517192527293139413591113151721232729313335373537911131535711133537345373739373791137397337791113151719212325352729" ref="R14:S18" totalsRowCount="1" totalsRowDxfId="552">
  <autoFilter ref="R14:S17" xr:uid="{00000000-0009-0000-0100-000004000000}"/>
  <sortState xmlns:xlrd2="http://schemas.microsoft.com/office/spreadsheetml/2017/richdata2" ref="R15:S17">
    <sortCondition descending="1" ref="S15:S17"/>
  </sortState>
  <tableColumns count="2">
    <tableColumn id="1" xr3:uid="{D286E7FA-FFF0-40C8-AADA-8F7BDE3AB7A1}" name="STATUS" totalsRowLabel="TOTAL" dataDxfId="551" totalsRowDxfId="550"/>
    <tableColumn id="2" xr3:uid="{0FF2ECC5-31D6-4BD8-BA06-CEBB5C08D3D1}" name="Coluna1" totalsRowFunction="sum" dataDxfId="549" totalsRowDxfId="548">
      <calculatedColumnFormula>COUNTIF(Tabela174681012142230322681619252731333624210121416182426283038402481012141620222628303234362426810121424610122426244262628262681026286236681012141618202224242628[Status],Tabela25791113152331333791720262832343735311131517192527293139413591113151721232729313335373537911131535711133537345373739373791137397337791113151719212325352729[[#This Row],[STATUS]])</calculatedColumnFormula>
    </tableColumn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C7A8061-352F-4D55-83D0-E2751FF5F8CF}" name="Tabela17468101214223032268161925273133362421012141618242628303840248101214162022262830323436242681012142461012242624426262826268102628623668101214161820222424262830" displayName="Tabela17468101214223032268161925273133362421012141618242628303840248101214162022262830323436242681012142461012242624426262826268102628623668101214161820222424262830" ref="A3:T13" totalsRowCount="1" dataDxfId="547" totalsRowDxfId="546">
  <sortState xmlns:xlrd2="http://schemas.microsoft.com/office/spreadsheetml/2017/richdata2" ref="A4:T12">
    <sortCondition ref="D3:D12"/>
  </sortState>
  <tableColumns count="20">
    <tableColumn id="1" xr3:uid="{099EC3C3-DC6F-4F05-AA93-088157276086}" name="Matricula" totalsRowLabel="Total" dataDxfId="545" totalsRowDxfId="544"/>
    <tableColumn id="2" xr3:uid="{E56D0D46-902C-4E7D-A226-D4BBD4BFFE29}" name="Nome" dataDxfId="543" totalsRowDxfId="542"/>
    <tableColumn id="22" xr3:uid="{B60ED69C-938A-4940-AB3F-7E2815DF334A}" name="Seção" dataDxfId="541" totalsRowDxfId="540"/>
    <tableColumn id="19" xr3:uid="{1C9626EF-C222-4B4D-8506-C65FA9D5195E}" name="Função" dataDxfId="539" totalsRowDxfId="538"/>
    <tableColumn id="23" xr3:uid="{FEE52D89-10C0-4C0B-8A28-D265D505F168}" name="CPF" dataDxfId="537" totalsRowDxfId="536"/>
    <tableColumn id="3" xr3:uid="{C8D60245-9C2D-4D76-86BB-02E5B42D6DA8}" name="Nùmero do Cartão" dataDxfId="535" totalsRowDxfId="534"/>
    <tableColumn id="4" xr3:uid="{5BCC7CFB-C814-4082-8105-6A3FF4776F49}" name="Uso diário" dataDxfId="533" totalsRowDxfId="532"/>
    <tableColumn id="5" xr3:uid="{51F6D2A6-2416-4839-8A30-FE789B9D56A4}" name="D" dataDxfId="531" totalsRowDxfId="530"/>
    <tableColumn id="24" xr3:uid="{FD36D6A2-A240-4A24-8472-78666D96A01C}" name="F" dataDxfId="529" totalsRowDxfId="528"/>
    <tableColumn id="8" xr3:uid="{91D7D8E7-69A8-4334-94C5-CB4108EA90E5}" name="Pedido Inicial" totalsRowFunction="sum" dataDxfId="527" totalsRowDxfId="526">
      <calculatedColumnFormula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calculatedColumnFormula>
    </tableColumn>
    <tableColumn id="9" xr3:uid="{6092A28E-AB03-42EA-BDE3-1F75D154456B}" name="Saldo no cartão" dataDxfId="525" totalsRowDxfId="524"/>
    <tableColumn id="15" xr3:uid="{DC116EA3-E43A-4DDF-A045-2B159181525C}" name="Recarga Pendente" dataDxfId="523" totalsRowDxfId="522"/>
    <tableColumn id="13" xr3:uid="{D53808EC-550F-4945-8880-0C1EDE1C6E57}" name="Total Acumulado" dataDxfId="521" totalsRowDxfId="520">
      <calculatedColumnFormula>SUM(Tabela17468101214223032268161925273133362421012141618242628303840248101214162022262830323436242681012142461012242624426262826268102628623668101214161820222424262830[[#This Row],[Saldo no cartão]:[Recarga Pendente]])</calculatedColumnFormula>
    </tableColumn>
    <tableColumn id="21" xr3:uid="{0769D559-1E53-4AB7-859D-A1AB5673BADC}" name="acumulo minimo" dataDxfId="519" totalsRowDxfId="518">
      <calculatedColumnFormula>Tabela17468101214223032268161925273133362421012141618242628303840248101214162022262830323436242681012142461012242624426262826268102628623668101214161820222424262830[[#This Row],[Uso diário]]*2</calculatedColumnFormula>
    </tableColumn>
    <tableColumn id="20" xr3:uid="{3339EC9D-8159-4A71-B5CF-094C487FE008}" name="acumulo" dataDxfId="517" totalsRowDxfId="516">
      <calculatedColumnFormula>Tabela17468101214223032268161925273133362421012141618242628303840248101214162022262830323436242681012142461012242624426262826268102628623668101214161820222424262830[[#This Row],[Total Acumulado]]-P4</calculatedColumnFormula>
    </tableColumn>
    <tableColumn id="10" xr3:uid="{93620848-CB41-41F8-88D6-365B98B45707}" name="Saldo para terminar o mês" dataDxfId="515" totalsRowDxfId="514">
      <calculatedColumnFormula>Tabela17468101214223032268161925273133362421012141618242628303840248101214162022262830323436242681012142461012242624426262826268102628623668101214161820222424262830[[#This Row],[Uso diário]]*5</calculatedColumnFormula>
    </tableColumn>
    <tableColumn id="11" xr3:uid="{6E6140C4-AD4F-4010-BE97-C17B80CA5AD2}" name="Valor economizado" dataDxfId="513" totalsRowDxfId="512">
      <calculatedColumnFormula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calculatedColumnFormula>
    </tableColumn>
    <tableColumn id="16" xr3:uid="{3994F2F2-8789-471B-A340-3FB2B3622538}" name="Pedido Final" totalsRowFunction="sum" dataDxfId="511" totalsRowDxfId="510">
      <calculatedColumnFormula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calculatedColumnFormula>
    </tableColumn>
    <tableColumn id="17" xr3:uid="{07C462E9-FA4D-465E-9C29-10662E69F931}" name="Status" totalsRowFunction="count" dataDxfId="509" totalsRowDxfId="508">
      <calculatedColumnFormula>IF(Tabela17468101214223032268161925273133362421012141618242628303840248101214162022262830323436242681012142461012242624426262826268102628623668101214161820222424262830[[#This Row],[Pedido Final]]=0,"NÃO EFETUAR RECARGA","RECARGA NORMAL")</calculatedColumnFormula>
    </tableColumn>
    <tableColumn id="14" xr3:uid="{0B512D6B-1170-4720-9737-D97F60182B42}" name="Filial" dataDxfId="507" totalsRowDxfId="506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B957276-F1F8-48FD-884D-2802F32EA80D}" name="Tabela2579111315233133379172026283234373531113151719252729313941359111315172123272931333537353791113153571113353734537373937379113739733779111315171921232535272931" displayName="Tabela2579111315233133379172026283234373531113151719252729313941359111315172123272931333537353791113153571113353734537373937379113739733779111315171921232535272931" ref="R16:S20" totalsRowCount="1" totalsRowDxfId="505">
  <autoFilter ref="R16:S19" xr:uid="{00000000-0009-0000-0100-000004000000}"/>
  <sortState xmlns:xlrd2="http://schemas.microsoft.com/office/spreadsheetml/2017/richdata2" ref="R17:S19">
    <sortCondition descending="1" ref="S17:S19"/>
  </sortState>
  <tableColumns count="2">
    <tableColumn id="1" xr3:uid="{99FBFB66-8FC4-4989-903C-EA39137C1754}" name="STATUS" totalsRowLabel="TOTAL" dataDxfId="504" totalsRowDxfId="503"/>
    <tableColumn id="2" xr3:uid="{FBFFA8B0-7D34-476C-936B-93AAEBA25C9D}" name="Coluna1" totalsRowFunction="sum" dataDxfId="502" totalsRowDxfId="501">
      <calculatedColumnFormula>COUNTIF(Tabela17468101214223032268161925273133362421012141618242628303840248101214162022262830323436242681012142461012242624426262826268102628623668101214161820222424262830[Status],Tabela2579111315233133379172026283234373531113151719252729313941359111315172123272931333537353791113153571113353734537373937379113739733779111315171921232535272931[[#This Row],[STATUS]])</calculatedColumnFormula>
    </tableColumn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D126C50-C6E4-46CE-AA8F-D81184A0F737}" name="Tabela1746810121422303226816192527313336242101214161824262830384024810121416202226283032343624268101214246101224262442626282626810262862366810121416182022242426283032" displayName="Tabela1746810121422303226816192527313336242101214161824262830384024810121416202226283032343624268101214246101224262442626282626810262862366810121416182022242426283032" ref="A3:T10" totalsRowCount="1" dataDxfId="500" totalsRowDxfId="499">
  <sortState xmlns:xlrd2="http://schemas.microsoft.com/office/spreadsheetml/2017/richdata2" ref="A4:T9">
    <sortCondition ref="D3:D9"/>
  </sortState>
  <tableColumns count="20">
    <tableColumn id="1" xr3:uid="{017FBE97-9F9D-4C36-BB5B-0C2927C4D499}" name="Matricula" totalsRowLabel="Total" dataDxfId="498" totalsRowDxfId="497"/>
    <tableColumn id="2" xr3:uid="{95967CC8-FA08-444C-AD88-247AC89573F9}" name="Nome" dataDxfId="496" totalsRowDxfId="495"/>
    <tableColumn id="22" xr3:uid="{00933037-D6B9-411F-800E-EBC7E13F7F4D}" name="Seção" dataDxfId="494" totalsRowDxfId="493"/>
    <tableColumn id="19" xr3:uid="{0A1C1299-C52F-41DD-927D-F8ED7E0EFB70}" name="Função" dataDxfId="492" totalsRowDxfId="491"/>
    <tableColumn id="23" xr3:uid="{0668CA60-86AC-4417-BAD2-770291CBE8E3}" name="CPF" dataDxfId="490" totalsRowDxfId="489"/>
    <tableColumn id="3" xr3:uid="{4365E33B-EFA6-438C-9B79-5FD29C67DE36}" name="Nùmero do Cartão" dataDxfId="488" totalsRowDxfId="487"/>
    <tableColumn id="4" xr3:uid="{BC498046-CD86-4AFB-829A-C19D2F4F9A75}" name="Uso diário" dataDxfId="486" totalsRowDxfId="485"/>
    <tableColumn id="5" xr3:uid="{8499FBBE-0875-4AC1-8730-C47882AFC3B3}" name="D" dataDxfId="484" totalsRowDxfId="483"/>
    <tableColumn id="24" xr3:uid="{21FA256E-F4A7-498A-9B5D-5EC48D0E8BE0}" name="F" dataDxfId="482" totalsRowDxfId="481"/>
    <tableColumn id="8" xr3:uid="{F105A7B2-D306-41C9-9968-E4F5C75813CB}" name="Pedido Inicial" totalsRowFunction="sum" dataDxfId="480" totalsRowDxfId="479">
      <calculatedColumnFormula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calculatedColumnFormula>
    </tableColumn>
    <tableColumn id="9" xr3:uid="{9379F47D-D4BE-43AA-A11B-C2EEF62960C7}" name="Saldo no cartão" dataDxfId="478" totalsRowDxfId="477"/>
    <tableColumn id="15" xr3:uid="{64951596-862A-45D0-BACD-EAC2CB1E8672}" name="Recarga Pendente" dataDxfId="476" totalsRowDxfId="475"/>
    <tableColumn id="13" xr3:uid="{1D184844-2474-4623-A1FA-F97E65E3DE61}" name="Total Acumulado" dataDxfId="474" totalsRowDxfId="473">
      <calculatedColumnFormula>SUM(Tabela1746810121422303226816192527313336242101214161824262830384024810121416202226283032343624268101214246101224262442626282626810262862366810121416182022242426283032[[#This Row],[Saldo no cartão]:[Recarga Pendente]])</calculatedColumnFormula>
    </tableColumn>
    <tableColumn id="21" xr3:uid="{0E10AE19-50A0-4E8D-86D6-C95D3D9A3F2C}" name="acumulo minimo" dataDxfId="472" totalsRowDxfId="471">
      <calculatedColumnFormula>Tabela1746810121422303226816192527313336242101214161824262830384024810121416202226283032343624268101214246101224262442626282626810262862366810121416182022242426283032[[#This Row],[Uso diário]]*2</calculatedColumnFormula>
    </tableColumn>
    <tableColumn id="20" xr3:uid="{5AAA8CBC-C993-4E3E-A5A7-2C644D705838}" name="acumulo" dataDxfId="470" totalsRowDxfId="469">
      <calculatedColumnFormula>Tabela1746810121422303226816192527313336242101214161824262830384024810121416202226283032343624268101214246101224262442626282626810262862366810121416182022242426283032[[#This Row],[Total Acumulado]]-P4</calculatedColumnFormula>
    </tableColumn>
    <tableColumn id="10" xr3:uid="{ABF6CBEA-0811-49F1-B07C-7DDF5B7C60E5}" name="Saldo para terminar o mês" dataDxfId="468" totalsRowDxfId="467">
      <calculatedColumnFormula>Tabela1746810121422303226816192527313336242101214161824262830384024810121416202226283032343624268101214246101224262442626282626810262862366810121416182022242426283032[[#This Row],[Uso diário]]*5</calculatedColumnFormula>
    </tableColumn>
    <tableColumn id="11" xr3:uid="{CA16868A-B240-4077-AC80-803B0D9A5750}" name="Valor economizado" dataDxfId="466" totalsRowDxfId="465">
      <calculatedColumnFormula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calculatedColumnFormula>
    </tableColumn>
    <tableColumn id="16" xr3:uid="{6CAE7F1D-66F8-43B5-9682-0F73AD12A4A5}" name="Pedido Final" totalsRowFunction="sum" dataDxfId="464" totalsRowDxfId="463">
      <calculatedColumnFormula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calculatedColumnFormula>
    </tableColumn>
    <tableColumn id="17" xr3:uid="{7A757B44-1AE5-417E-B625-6AA849BC4C15}" name="Status" totalsRowFunction="count" dataDxfId="462" totalsRowDxfId="461">
      <calculatedColumnFormula>IF(Tabela1746810121422303226816192527313336242101214161824262830384024810121416202226283032343624268101214246101224262442626282626810262862366810121416182022242426283032[[#This Row],[Pedido Final]]=0,"NÃO EFETUAR RECARGA","RECARGA NORMAL")</calculatedColumnFormula>
    </tableColumn>
    <tableColumn id="14" xr3:uid="{CB7B9334-45C8-408A-A2A9-C1B7F7496C75}" name="Filial" dataDxfId="460" totalsRowDxfId="459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A5A73B6-08CC-4F32-9094-4C9823A33D70}" name="Tabela257911131523313337917202628323437353111315171925272931394135911131517212327293133353735379111315357111335373453737393737911373973377911131517192123253527293133" displayName="Tabela257911131523313337917202628323437353111315171925272931394135911131517212327293133353735379111315357111335373453737393737911373973377911131517192123253527293133" ref="R13:S17" totalsRowCount="1" totalsRowDxfId="458">
  <autoFilter ref="R13:S16" xr:uid="{00000000-0009-0000-0100-000004000000}"/>
  <sortState xmlns:xlrd2="http://schemas.microsoft.com/office/spreadsheetml/2017/richdata2" ref="R14:S16">
    <sortCondition descending="1" ref="S14:S16"/>
  </sortState>
  <tableColumns count="2">
    <tableColumn id="1" xr3:uid="{A0797906-DEFE-4BAB-A768-EE841B8794EF}" name="STATUS" totalsRowLabel="TOTAL" dataDxfId="457" totalsRowDxfId="456"/>
    <tableColumn id="2" xr3:uid="{9341954D-CC7C-4E55-A430-5E9A1FB972D0}" name="Coluna1" totalsRowFunction="sum" dataDxfId="455" totalsRowDxfId="454">
      <calculatedColumnFormula>COUNTIF(Tabela1746810121422303226816192527313336242101214161824262830384024810121416202226283032343624268101214246101224262442626282626810262862366810121416182022242426283032[Status],Tabela257911131523313337917202628323437353111315171925272931394135911131517212327293133353735379111315357111335373453737393737911373973377911131517192123253527293133[[#This Row],[STATUS]])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0394205-5889-4F7F-8D78-E41ACDCE1CF0}" name="Tabela174681012142230322681619252731333624210121416182426283038402481012141620222628303234362426810121424610122426244262628262681026286236681012141618202224242628303234" displayName="Tabela174681012142230322681619252731333624210121416182426283038402481012141620222628303234362426810121424610122426244262628262681026286236681012141618202224242628303234" ref="A3:T11" totalsRowCount="1" dataDxfId="453" totalsRowDxfId="452">
  <sortState xmlns:xlrd2="http://schemas.microsoft.com/office/spreadsheetml/2017/richdata2" ref="A4:T10">
    <sortCondition ref="D3:D10"/>
  </sortState>
  <tableColumns count="20">
    <tableColumn id="1" xr3:uid="{B2FCF4B6-C42F-4FA1-B806-E3BC14FCCDF9}" name="Matricula" totalsRowLabel="Total" dataDxfId="451" totalsRowDxfId="450"/>
    <tableColumn id="2" xr3:uid="{7A9EC0FB-7583-4CA6-AB5B-0F7FB8F5C252}" name="Nome" dataDxfId="449" totalsRowDxfId="448"/>
    <tableColumn id="22" xr3:uid="{D8DDBA94-B1B2-4641-854C-A0182A55CE0F}" name="Seção" dataDxfId="447" totalsRowDxfId="446"/>
    <tableColumn id="19" xr3:uid="{66EE979F-7426-4B0C-9249-5114C2206285}" name="Função" dataDxfId="445" totalsRowDxfId="444"/>
    <tableColumn id="23" xr3:uid="{CC057532-7D4F-4E0F-BB5B-2A04564AD35A}" name="CPF" dataDxfId="443" totalsRowDxfId="442"/>
    <tableColumn id="3" xr3:uid="{9513DA2C-24C7-4674-9BDC-E05CC5C455DC}" name="Nùmero do Cartão" dataDxfId="441" totalsRowDxfId="440"/>
    <tableColumn id="4" xr3:uid="{C281F33E-CCC5-4744-9AA2-F023D5C24942}" name="Uso diário" dataDxfId="439" totalsRowDxfId="438"/>
    <tableColumn id="5" xr3:uid="{7B32A16E-6C5E-4220-A726-8762EB56070F}" name="D" dataDxfId="437" totalsRowDxfId="436"/>
    <tableColumn id="24" xr3:uid="{32E29347-4247-4FAD-9795-6F043F28684B}" name="F" dataDxfId="435" totalsRowDxfId="434"/>
    <tableColumn id="8" xr3:uid="{CD4466D7-FE0A-4BE8-AEB5-C5952C818044}" name="Pedido Inicial" totalsRowFunction="sum" dataDxfId="433" totalsRowDxfId="432">
      <calculatedColumnFormula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calculatedColumnFormula>
    </tableColumn>
    <tableColumn id="9" xr3:uid="{C779A69D-5984-41A6-8C56-7F8DB39FC971}" name="Saldo no cartão" dataDxfId="431" totalsRowDxfId="430"/>
    <tableColumn id="15" xr3:uid="{F7A9F7A3-1056-45BB-A174-815163530308}" name="Recarga Pendente" dataDxfId="429" totalsRowDxfId="428"/>
    <tableColumn id="13" xr3:uid="{907EA019-EF7D-4016-B291-7E90344A877A}" name="Total Acumulado" dataDxfId="427" totalsRowDxfId="426">
      <calculatedColumnFormula>SUM(Tabela174681012142230322681619252731333624210121416182426283038402481012141620222628303234362426810121424610122426244262628262681026286236681012141618202224242628303234[[#This Row],[Saldo no cartão]:[Recarga Pendente]])</calculatedColumnFormula>
    </tableColumn>
    <tableColumn id="21" xr3:uid="{C377EC19-1121-4B00-B1D3-190EAB486B27}" name="acumulo minimo" dataDxfId="425" totalsRowDxfId="424">
      <calculatedColumnFormula>Tabela174681012142230322681619252731333624210121416182426283038402481012141620222628303234362426810121424610122426244262628262681026286236681012141618202224242628303234[[#This Row],[Uso diário]]*2</calculatedColumnFormula>
    </tableColumn>
    <tableColumn id="20" xr3:uid="{108713FF-B19B-4421-966D-14D5359CCB08}" name="acumulo" dataDxfId="423" totalsRowDxfId="422">
      <calculatedColumnFormula>Tabela174681012142230322681619252731333624210121416182426283038402481012141620222628303234362426810121424610122426244262628262681026286236681012141618202224242628303234[[#This Row],[Total Acumulado]]-P4</calculatedColumnFormula>
    </tableColumn>
    <tableColumn id="10" xr3:uid="{1A97F348-A1AC-4315-9368-8FB0D2E722B1}" name="Saldo para terminar o mês" dataDxfId="421" totalsRowDxfId="420">
      <calculatedColumnFormula>Tabela174681012142230322681619252731333624210121416182426283038402481012141620222628303234362426810121424610122426244262628262681026286236681012141618202224242628303234[[#This Row],[Uso diário]]*5</calculatedColumnFormula>
    </tableColumn>
    <tableColumn id="11" xr3:uid="{6DC0BDE1-423A-41CB-882D-FCCA960742A8}" name="Valor economizado" dataDxfId="419" totalsRowDxfId="418">
      <calculatedColumnFormula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calculatedColumnFormula>
    </tableColumn>
    <tableColumn id="16" xr3:uid="{01E3914E-5122-4CCE-A92A-8C5134F810C0}" name="Pedido Final" totalsRowFunction="sum" dataDxfId="417" totalsRowDxfId="416">
      <calculatedColumnFormula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calculatedColumnFormula>
    </tableColumn>
    <tableColumn id="17" xr3:uid="{A2CAA128-BAB4-4692-8A2C-0B47CE7E20D3}" name="Status" totalsRowFunction="count" dataDxfId="415" totalsRowDxfId="414">
      <calculatedColumnFormula>IF(Tabela174681012142230322681619252731333624210121416182426283038402481012141620222628303234362426810121424610122426244262628262681026286236681012141618202224242628303234[[#This Row],[Pedido Final]]=0,"NÃO EFETUAR RECARGA","RECARGA NORMAL")</calculatedColumnFormula>
    </tableColumn>
    <tableColumn id="14" xr3:uid="{3CAD2083-8547-4C2B-B792-FEDEFF5E3A01}" name="Filial" dataDxfId="413" totalsRowDxfId="412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4B2D284-00FB-41AD-925D-CA986666C191}" name="Tabela25791113152331333791720262832343735311131517192527293139413591113151721232729313335373537911131535711133537345373739373791137397337791113151719212325352729313335" displayName="Tabela25791113152331333791720262832343735311131517192527293139413591113151721232729313335373537911131535711133537345373739373791137397337791113151719212325352729313335" ref="R14:S18" totalsRowCount="1" totalsRowDxfId="411">
  <autoFilter ref="R14:S17" xr:uid="{00000000-0009-0000-0100-000004000000}"/>
  <sortState xmlns:xlrd2="http://schemas.microsoft.com/office/spreadsheetml/2017/richdata2" ref="R15:S17">
    <sortCondition descending="1" ref="S15:S17"/>
  </sortState>
  <tableColumns count="2">
    <tableColumn id="1" xr3:uid="{70FD8B1C-71EB-4E56-AB19-02D93FC3477B}" name="STATUS" totalsRowLabel="TOTAL" dataDxfId="410" totalsRowDxfId="409"/>
    <tableColumn id="2" xr3:uid="{42162E6A-08AD-47A9-AE13-553CBD32496A}" name="Coluna1" totalsRowFunction="sum" dataDxfId="408" totalsRowDxfId="407">
      <calculatedColumnFormula>COUNTIF(Tabela174681012142230322681619252731333624210121416182426283038402481012141620222628303234362426810121424610122426244262628262681026286236681012141618202224242628303234[Status],Tabela25791113152331333791720262832343735311131517192527293139413591113151721232729313335373537911131535711133537345373739373791137397337791113151719212325352729313335[[#This Row],[STATUS]])</calculatedColumnFormula>
    </tableColumn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8ED6430-FCD4-4F10-93F6-963183C5FC8A}" name="Tabela17468101214223032268161925273133362421012141618242628303840248101214162022262830323436242681012142461012242624426262826268102628623668101214161820222424262830323438" displayName="Tabela17468101214223032268161925273133362421012141618242628303840248101214162022262830323436242681012142461012242624426262826268102628623668101214161820222424262830323438" ref="A3:T15" totalsRowCount="1" dataDxfId="406" totalsRowDxfId="405">
  <sortState xmlns:xlrd2="http://schemas.microsoft.com/office/spreadsheetml/2017/richdata2" ref="A4:T14">
    <sortCondition ref="D3:D14"/>
  </sortState>
  <tableColumns count="20">
    <tableColumn id="1" xr3:uid="{1663B940-EE71-4AE2-BFC3-794A3E87E58A}" name="Matricula" totalsRowLabel="Total" dataDxfId="404" totalsRowDxfId="403"/>
    <tableColumn id="2" xr3:uid="{8F76F810-88F4-4AC5-A739-FAD79E9CC080}" name="Nome" dataDxfId="402" totalsRowDxfId="401"/>
    <tableColumn id="22" xr3:uid="{58DC5C61-E4EF-47EF-AA8D-48C9E3F52C31}" name="Seção" dataDxfId="400" totalsRowDxfId="399"/>
    <tableColumn id="19" xr3:uid="{F4E5440D-855B-4F6D-A3AC-F8F96C604FED}" name="Função" dataDxfId="398" totalsRowDxfId="397"/>
    <tableColumn id="23" xr3:uid="{43BD7B84-907E-44B9-912A-5F085FB15121}" name="CPF" dataDxfId="396" totalsRowDxfId="395"/>
    <tableColumn id="3" xr3:uid="{813ECE82-F583-4427-B81A-25110CA7594C}" name="Nùmero do Cartão" dataDxfId="394" totalsRowDxfId="393"/>
    <tableColumn id="4" xr3:uid="{ECDB21C0-BBD0-497D-972E-E258D9719B23}" name="Uso diário" dataDxfId="392" totalsRowDxfId="391"/>
    <tableColumn id="5" xr3:uid="{DC278142-4FFF-4293-BE13-E45D8F9070E7}" name="D" dataDxfId="390" totalsRowDxfId="389"/>
    <tableColumn id="24" xr3:uid="{0A1CA8C7-01CA-4688-8F0A-D695C1C57731}" name="F" dataDxfId="388" totalsRowDxfId="387"/>
    <tableColumn id="8" xr3:uid="{A57E31CE-9B52-4CD9-8C0A-2DC7D2F49D85}" name="Pedido Inicial" totalsRowFunction="sum" dataDxfId="386" totalsRowDxfId="385">
      <calculatedColumnFormula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calculatedColumnFormula>
    </tableColumn>
    <tableColumn id="9" xr3:uid="{C4AE17F7-B51C-4864-B983-5BDB467D71F5}" name="Saldo no cartão" dataDxfId="384" totalsRowDxfId="383"/>
    <tableColumn id="15" xr3:uid="{610A41AE-A675-416B-A3C9-D21687614943}" name="Recarga Pendente" dataDxfId="382" totalsRowDxfId="381"/>
    <tableColumn id="13" xr3:uid="{70E5A2B8-337F-4458-ACDD-4F688CFBF1CC}" name="Total Acumulado" dataDxfId="380" totalsRowDxfId="379">
      <calculatedColumnFormula>SUM(Tabela17468101214223032268161925273133362421012141618242628303840248101214162022262830323436242681012142461012242624426262826268102628623668101214161820222424262830323438[[#This Row],[Saldo no cartão]:[Recarga Pendente]])</calculatedColumnFormula>
    </tableColumn>
    <tableColumn id="21" xr3:uid="{01D5BBA9-48D2-4D69-82A0-26D5E25811BA}" name="acumulo minimo" dataDxfId="378" totalsRowDxfId="377">
      <calculatedColumnFormula>Tabela17468101214223032268161925273133362421012141618242628303840248101214162022262830323436242681012142461012242624426262826268102628623668101214161820222424262830323438[[#This Row],[Uso diário]]*2</calculatedColumnFormula>
    </tableColumn>
    <tableColumn id="20" xr3:uid="{9E118832-3343-4C64-A2DD-1D7434EBA602}" name="acumulo" dataDxfId="376" totalsRowDxfId="375">
      <calculatedColumnFormula>Tabela17468101214223032268161925273133362421012141618242628303840248101214162022262830323436242681012142461012242624426262826268102628623668101214161820222424262830323438[[#This Row],[Total Acumulado]]-P4</calculatedColumnFormula>
    </tableColumn>
    <tableColumn id="10" xr3:uid="{C4F6E401-93AF-4B87-8CE9-BEEA81559C90}" name="Saldo para terminar o mês" dataDxfId="374" totalsRowDxfId="373">
      <calculatedColumnFormula>Tabela17468101214223032268161925273133362421012141618242628303840248101214162022262830323436242681012142461012242624426262826268102628623668101214161820222424262830323438[[#This Row],[Uso diário]]*5</calculatedColumnFormula>
    </tableColumn>
    <tableColumn id="11" xr3:uid="{BF99E65D-FA1B-45F5-A273-DFDF3392E877}" name="Valor economizado" dataDxfId="372" totalsRowDxfId="371">
      <calculatedColumnFormula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calculatedColumnFormula>
    </tableColumn>
    <tableColumn id="16" xr3:uid="{0D3CE756-DEA5-4D7D-AFB2-393ED5E52ACE}" name="Pedido Final" totalsRowFunction="sum" dataDxfId="370" totalsRowDxfId="369">
      <calculatedColumnFormula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calculatedColumnFormula>
    </tableColumn>
    <tableColumn id="17" xr3:uid="{DD999A60-231F-4BF7-BDA6-06DC46082EDD}" name="Status" totalsRowFunction="count" dataDxfId="368" totalsRowDxfId="367">
      <calculatedColumnFormula>IF(Tabela17468101214223032268161925273133362421012141618242628303840248101214162022262830323436242681012142461012242624426262826268102628623668101214161820222424262830323438[[#This Row],[Pedido Final]]=0,"NÃO EFETUAR RECARGA","RECARGA NORMAL")</calculatedColumnFormula>
    </tableColumn>
    <tableColumn id="14" xr3:uid="{896D3EAF-35D1-4BE8-81FB-2D5916444949}" name="Filial" dataDxfId="366" totalsRowDxfId="365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270A6C9-1632-44D0-A418-7396233B594A}" name="Tabela2579111315233133379172026283234373531113151719252729313941359111315172123272931333537353791113153571113353734537373937379113739733779111315171921232535272931333539" displayName="Tabela2579111315233133379172026283234373531113151719252729313941359111315172123272931333537353791113153571113353734537373937379113739733779111315171921232535272931333539" ref="R18:S22" totalsRowCount="1" totalsRowDxfId="364">
  <autoFilter ref="R18:S21" xr:uid="{00000000-0009-0000-0100-000004000000}"/>
  <sortState xmlns:xlrd2="http://schemas.microsoft.com/office/spreadsheetml/2017/richdata2" ref="R19:S21">
    <sortCondition descending="1" ref="S19:S21"/>
  </sortState>
  <tableColumns count="2">
    <tableColumn id="1" xr3:uid="{F9B7B01A-00E9-4CDA-810B-CE35DCE579A5}" name="STATUS" totalsRowLabel="TOTAL" dataDxfId="363" totalsRowDxfId="362"/>
    <tableColumn id="2" xr3:uid="{5CEE8DD8-6AEB-4BC6-B31F-950381082DCF}" name="Coluna1" totalsRowFunction="sum" dataDxfId="361" totalsRowDxfId="360">
      <calculatedColumnFormula>COUNTIF(Tabela17468101214223032268161925273133362421012141618242628303840248101214162022262830323436242681012142461012242624426262826268102628623668101214161820222424262830323438[Status],Tabela2579111315233133379172026283234373531113151719252729313941359111315172123272931333537353791113153571113353734537373937379113739733779111315171921232535272931333539[[#This Row],[STATUS]])</calculatedColumnFormula>
    </tableColumn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D6F07D-63A3-4436-B42B-8BB535613F64}" name="Tabela1746810121422303226816192527313336242101214161824262830384024810121416202226283032343624268101214246101224262442626282626810262862366810121416182022242426283032343840" displayName="Tabela1746810121422303226816192527313336242101214161824262830384024810121416202226283032343624268101214246101224262442626282626810262862366810121416182022242426283032343840" ref="A3:T24" totalsRowCount="1" dataDxfId="359" totalsRowDxfId="358">
  <sortState xmlns:xlrd2="http://schemas.microsoft.com/office/spreadsheetml/2017/richdata2" ref="A4:T18">
    <sortCondition ref="D3:D18"/>
  </sortState>
  <tableColumns count="20">
    <tableColumn id="1" xr3:uid="{6423D9D6-295D-44BA-A069-ADF3947CBD70}" name="Matricula" totalsRowLabel="Total" dataDxfId="357" totalsRowDxfId="356"/>
    <tableColumn id="2" xr3:uid="{A8FA1EF0-9057-43B8-8346-A3F62727D235}" name="Nome" dataDxfId="355" totalsRowDxfId="354"/>
    <tableColumn id="22" xr3:uid="{7F57D37B-A569-42E3-9A39-FF6AB34662E4}" name="Seção" dataDxfId="353" totalsRowDxfId="352"/>
    <tableColumn id="19" xr3:uid="{C1F8E205-4BBC-49CD-8D96-0BA315C60087}" name="Função" dataDxfId="351" totalsRowDxfId="350"/>
    <tableColumn id="23" xr3:uid="{1AB21485-23F8-46CF-90ED-58129FADC3B5}" name="CPF" dataDxfId="349" totalsRowDxfId="348"/>
    <tableColumn id="3" xr3:uid="{30582129-15C7-4161-B5E6-8C07D5369E3F}" name="Nùmero do Cartão" dataDxfId="347" totalsRowDxfId="346"/>
    <tableColumn id="4" xr3:uid="{C9343EB6-41B3-46C1-8BE5-C203FE75F8A7}" name="Uso diário" dataDxfId="345" totalsRowDxfId="344"/>
    <tableColumn id="5" xr3:uid="{5FAA763B-5FF2-4837-969B-4D7D118CA829}" name="D" dataDxfId="343" totalsRowDxfId="342"/>
    <tableColumn id="24" xr3:uid="{8A819DD2-21D4-43C0-BD07-A6AF350A737F}" name="F" dataDxfId="341" totalsRowDxfId="340"/>
    <tableColumn id="8" xr3:uid="{0300F570-5493-499E-BBF9-A9B8E24BF45A}" name="Pedido Inicial" totalsRowFunction="sum" dataDxfId="339" totalsRowDxfId="338">
      <calculatedColumnFormula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calculatedColumnFormula>
    </tableColumn>
    <tableColumn id="9" xr3:uid="{2DC9169F-3F2E-47BC-97F2-F3BF5F91A1E1}" name="Saldo no cartão" dataDxfId="337" totalsRowDxfId="336"/>
    <tableColumn id="15" xr3:uid="{8A7A20C8-9718-4B12-A813-A25D71753C14}" name="Recarga Pendente" dataDxfId="335" totalsRowDxfId="334"/>
    <tableColumn id="13" xr3:uid="{0B51802F-7667-4C12-BF20-E76589FE5827}" name="Total Acumulado" dataDxfId="333" totalsRowDxfId="332">
      <calculatedColumnFormula>SUM(Tabela1746810121422303226816192527313336242101214161824262830384024810121416202226283032343624268101214246101224262442626282626810262862366810121416182022242426283032343840[[#This Row],[Saldo no cartão]:[Recarga Pendente]])</calculatedColumnFormula>
    </tableColumn>
    <tableColumn id="21" xr3:uid="{8B0801F3-E4AC-4796-A7A1-572EB38DB3B0}" name="acumulo minimo" dataDxfId="331" totalsRowDxfId="330">
      <calculatedColumnFormula>Tabela1746810121422303226816192527313336242101214161824262830384024810121416202226283032343624268101214246101224262442626282626810262862366810121416182022242426283032343840[[#This Row],[Uso diário]]*2</calculatedColumnFormula>
    </tableColumn>
    <tableColumn id="20" xr3:uid="{08BFF4CF-33CA-41B6-A32E-740415B93B1F}" name="acumulo" dataDxfId="329" totalsRowDxfId="328">
      <calculatedColumnFormula>Tabela1746810121422303226816192527313336242101214161824262830384024810121416202226283032343624268101214246101224262442626282626810262862366810121416182022242426283032343840[[#This Row],[Total Acumulado]]-P4</calculatedColumnFormula>
    </tableColumn>
    <tableColumn id="10" xr3:uid="{4EA89362-D367-4DBC-A1F8-71A0ED9D77D5}" name="Saldo para terminar o mês" dataDxfId="327" totalsRowDxfId="326">
      <calculatedColumnFormula>Tabela1746810121422303226816192527313336242101214161824262830384024810121416202226283032343624268101214246101224262442626282626810262862366810121416182022242426283032343840[[#This Row],[Uso diário]]*5</calculatedColumnFormula>
    </tableColumn>
    <tableColumn id="11" xr3:uid="{2E777415-AF7C-441F-9167-73CF43B75C99}" name="Valor economizado" dataDxfId="325" totalsRowDxfId="324">
      <calculatedColumnFormula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calculatedColumnFormula>
    </tableColumn>
    <tableColumn id="16" xr3:uid="{29505616-8A7D-4D93-A44C-D73F3E015494}" name="Pedido Final" totalsRowFunction="sum" dataDxfId="323" totalsRowDxfId="322">
      <calculatedColumnFormula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calculatedColumnFormula>
    </tableColumn>
    <tableColumn id="17" xr3:uid="{C927E453-EC78-4A47-A1C0-A1D5626B2FD0}" name="Status" totalsRowFunction="count" dataDxfId="321" totalsRowDxfId="320">
      <calculatedColumnFormula>IF(Tabela1746810121422303226816192527313336242101214161824262830384024810121416202226283032343624268101214246101224262442626282626810262862366810121416182022242426283032343840[[#This Row],[Pedido Final]]=0,"NÃO EFETUAR RECARGA","RECARGA NORMAL")</calculatedColumnFormula>
    </tableColumn>
    <tableColumn id="14" xr3:uid="{F4B83A13-F540-4CFF-9FE5-9B3D7A4FB1DC}" name="Filial" dataDxfId="319" totalsRowDxfId="318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EBB06B3-F6AE-4373-8ED8-C9D47873CA26}" name="Tabela257911131523313337917202628323437353111315171925272931394135911131517212327293133353735379111315357111335373453737393737911373973377911131517192123253527293133353941" displayName="Tabela257911131523313337917202628323437353111315171925272931394135911131517212327293133353735379111315357111335373453737393737911373973377911131517192123253527293133353941" ref="R27:S31" totalsRowCount="1" totalsRowDxfId="317">
  <autoFilter ref="R27:S30" xr:uid="{00000000-0009-0000-0100-000004000000}"/>
  <sortState xmlns:xlrd2="http://schemas.microsoft.com/office/spreadsheetml/2017/richdata2" ref="R28:S30">
    <sortCondition descending="1" ref="S28:S30"/>
  </sortState>
  <tableColumns count="2">
    <tableColumn id="1" xr3:uid="{3C1C9935-C5A6-488F-AF4B-FB286BC4136B}" name="STATUS" totalsRowLabel="TOTAL" dataDxfId="316" totalsRowDxfId="315"/>
    <tableColumn id="2" xr3:uid="{518AFCF3-E1A9-4DE1-87B3-D530D54C228C}" name="Coluna1" totalsRowFunction="sum" dataDxfId="314" totalsRowDxfId="313">
      <calculatedColumnFormula>COUNTIF(Tabela1746810121422303226816192527313336242101214161824262830384024810121416202226283032343624268101214246101224262442626282626810262862366810121416182022242426283032343840[Status],Tabela257911131523313337917202628323437353111315171925272931394135911131517212327293133353735379111315357111335373453737393737911373973377911131517192123253527293133353941[[#This Row],[STATUS]])</calculatedColumnFormula>
    </tableColumn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412B658-7069-4C76-83E7-6D8DCCE0910E}" name="Tabela174681012142230322681619252731333624210121416182426283038402481012141620222628303234362426810121424610122426244262628262681026286236681012141618202224242628303234384042" displayName="Tabela174681012142230322681619252731333624210121416182426283038402481012141620222628303234362426810121424610122426244262628262681026286236681012141618202224242628303234384042" ref="A3:T21" totalsRowCount="1" dataDxfId="312" totalsRowDxfId="311">
  <sortState xmlns:xlrd2="http://schemas.microsoft.com/office/spreadsheetml/2017/richdata2" ref="A4:T20">
    <sortCondition ref="D3:D20"/>
  </sortState>
  <tableColumns count="20">
    <tableColumn id="1" xr3:uid="{86BA4FCD-C813-4836-9947-79E4E398E633}" name="Matricula" totalsRowLabel="Total" dataDxfId="310" totalsRowDxfId="309"/>
    <tableColumn id="2" xr3:uid="{75B51F66-32A7-481C-8BA9-74FEEE7C864B}" name="Nome" dataDxfId="308" totalsRowDxfId="307"/>
    <tableColumn id="22" xr3:uid="{BBCCBA05-3FF4-4711-AA26-760F7F13FF7C}" name="Seção" dataDxfId="306" totalsRowDxfId="305"/>
    <tableColumn id="19" xr3:uid="{8E6C631D-3CE5-483B-8FA1-2617DD8F737B}" name="Função" dataDxfId="304" totalsRowDxfId="303"/>
    <tableColumn id="23" xr3:uid="{D276D5DC-3B43-4165-A8F3-2F836EC6A9C5}" name="CPF" dataDxfId="302" totalsRowDxfId="301"/>
    <tableColumn id="3" xr3:uid="{D13C0B8E-78FE-492E-84D7-A9CFF92960F1}" name="Nùmero do Cartão" dataDxfId="300" totalsRowDxfId="299"/>
    <tableColumn id="4" xr3:uid="{225F6C88-DE4A-4D6E-9AF3-974732EA3A5E}" name="Uso diário" dataDxfId="298" totalsRowDxfId="297"/>
    <tableColumn id="5" xr3:uid="{AC804DE0-FEB4-4EDE-A644-8B7CF4714C13}" name="D" dataDxfId="296" totalsRowDxfId="295"/>
    <tableColumn id="24" xr3:uid="{E62DC03F-C1BE-4F80-A1D6-6FF9DDDC4897}" name="F" dataDxfId="294" totalsRowDxfId="293"/>
    <tableColumn id="8" xr3:uid="{400A78D0-B532-45B9-B5CC-2DAD071A6383}" name="Pedido Inicial" totalsRowFunction="sum" dataDxfId="292" totalsRowDxfId="291">
      <calculatedColumnFormula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calculatedColumnFormula>
    </tableColumn>
    <tableColumn id="9" xr3:uid="{E56B2BED-4E75-4CD5-B987-910D6EE62ED3}" name="Saldo no cartão" dataDxfId="290" totalsRowDxfId="289"/>
    <tableColumn id="15" xr3:uid="{6C18F884-E5FD-43C9-BE94-C25671AB2C0D}" name="Recarga Pendente" dataDxfId="288" totalsRowDxfId="287"/>
    <tableColumn id="13" xr3:uid="{0A1915FF-AC47-48DE-A5AF-7B613F70C5C9}" name="Total Acumulado" dataDxfId="286" totalsRowDxfId="285">
      <calculatedColumnFormula>SUM(Tabela174681012142230322681619252731333624210121416182426283038402481012141620222628303234362426810121424610122426244262628262681026286236681012141618202224242628303234384042[[#This Row],[Saldo no cartão]:[Recarga Pendente]])</calculatedColumnFormula>
    </tableColumn>
    <tableColumn id="21" xr3:uid="{68FB2325-7CA4-40C8-9ED2-B6108088138B}" name="acumulo minimo" dataDxfId="284" totalsRowDxfId="283">
      <calculatedColumnFormula>Tabela174681012142230322681619252731333624210121416182426283038402481012141620222628303234362426810121424610122426244262628262681026286236681012141618202224242628303234384042[[#This Row],[Uso diário]]*2</calculatedColumnFormula>
    </tableColumn>
    <tableColumn id="20" xr3:uid="{6DAE96E0-6491-48A9-8777-0AA9D8518684}" name="acumulo" dataDxfId="282" totalsRowDxfId="281">
      <calculatedColumnFormula>Tabela174681012142230322681619252731333624210121416182426283038402481012141620222628303234362426810121424610122426244262628262681026286236681012141618202224242628303234384042[[#This Row],[Total Acumulado]]-P4</calculatedColumnFormula>
    </tableColumn>
    <tableColumn id="10" xr3:uid="{DCB33E27-0256-4363-A557-5C0A6919A455}" name="Saldo para terminar o mês" dataDxfId="280" totalsRowDxfId="279">
      <calculatedColumnFormula>Tabela174681012142230322681619252731333624210121416182426283038402481012141620222628303234362426810121424610122426244262628262681026286236681012141618202224242628303234384042[[#This Row],[Uso diário]]*5</calculatedColumnFormula>
    </tableColumn>
    <tableColumn id="11" xr3:uid="{AAE8E69A-7B5E-4ECE-9F4F-687FF6DAE138}" name="Valor economizado" dataDxfId="278" totalsRowDxfId="277">
      <calculatedColumnFormula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calculatedColumnFormula>
    </tableColumn>
    <tableColumn id="16" xr3:uid="{F3838D03-9717-4A65-A75A-F279D610DA50}" name="Pedido Final" totalsRowFunction="sum" dataDxfId="276" totalsRowDxfId="275">
      <calculatedColumnFormula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calculatedColumnFormula>
    </tableColumn>
    <tableColumn id="17" xr3:uid="{331887E0-4E4B-4137-BCC4-89DA8547B224}" name="Status" totalsRowFunction="count" dataDxfId="274" totalsRowDxfId="273">
      <calculatedColumnFormula>IF(Tabela174681012142230322681619252731333624210121416182426283038402481012141620222628303234362426810121424610122426244262628262681026286236681012141618202224242628303234384042[[#This Row],[Pedido Final]]=0,"NÃO EFETUAR RECARGA","RECARGA NORMAL")</calculatedColumnFormula>
    </tableColumn>
    <tableColumn id="14" xr3:uid="{B5B8248F-3E52-4121-981E-358128241FD9}" name="Filial" dataDxfId="272" totalsRowDxfId="271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E6633F3-FC98-461A-AD91-463BE095ACEF}" name="Tabela25791113152331333791720262832343735311131517192527293139413591113151721232729313335373537911131535711133537345373739373791137397337791113151719212325352729313335394143" displayName="Tabela25791113152331333791720262832343735311131517192527293139413591113151721232729313335373537911131535711133537345373739373791137397337791113151719212325352729313335394143" ref="R24:S28" totalsRowCount="1" totalsRowDxfId="270">
  <autoFilter ref="R24:S27" xr:uid="{00000000-0009-0000-0100-000004000000}"/>
  <sortState xmlns:xlrd2="http://schemas.microsoft.com/office/spreadsheetml/2017/richdata2" ref="R25:S27">
    <sortCondition descending="1" ref="S25:S27"/>
  </sortState>
  <tableColumns count="2">
    <tableColumn id="1" xr3:uid="{E2717A0C-4A6A-42FC-A1D2-7FAE60BF1B05}" name="STATUS" totalsRowLabel="TOTAL" dataDxfId="269" totalsRowDxfId="268"/>
    <tableColumn id="2" xr3:uid="{99A6C269-B961-42F1-A2E9-9EE824276895}" name="Coluna1" totalsRowFunction="sum" dataDxfId="267" totalsRowDxfId="266">
      <calculatedColumnFormula>COUNTIF(Tabela174681012142230322681619252731333624210121416182426283038402481012141620222628303234362426810121424610122426244262628262681026286236681012141618202224242628303234384042[Status],Tabela25791113152331333791720262832343735311131517192527293139413591113151721232729313335373537911131535711133537345373739373791137397337791113151719212325352729313335394143[[#This Row],[STATUS]])</calculatedColumnFormula>
    </tableColumn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3A5DDB3-7A41-4462-9F01-FFC7C3036B5E}" name="Tabela17468101214223032268161925273133362421012141618242628303840248101214162022262830323436242681012142461012242624426262826268102628623668101214161820222424262830323438404244" displayName="Tabela17468101214223032268161925273133362421012141618242628303840248101214162022262830323436242681012142461012242624426262826268102628623668101214161820222424262830323438404244" ref="A3:T223" totalsRowCount="1" dataDxfId="265" totalsRowDxfId="264">
  <sortState xmlns:xlrd2="http://schemas.microsoft.com/office/spreadsheetml/2017/richdata2" ref="A4:T221">
    <sortCondition ref="D3:D221"/>
  </sortState>
  <tableColumns count="20">
    <tableColumn id="1" xr3:uid="{A7AC6409-A0AF-4129-AFC0-733A37FFFAA2}" name="Matricula" totalsRowLabel="Total" dataDxfId="263" totalsRowDxfId="262"/>
    <tableColumn id="2" xr3:uid="{E30247AB-A5A3-45D6-938D-9E98FD70F0FA}" name="Nome" dataDxfId="261" totalsRowDxfId="260"/>
    <tableColumn id="22" xr3:uid="{6180CB29-7211-4C15-B834-88C7E322F59D}" name="Seção" dataDxfId="259" totalsRowDxfId="258"/>
    <tableColumn id="19" xr3:uid="{FF15D0E6-1364-4975-A093-2CBD6970A014}" name="Função" dataDxfId="257" totalsRowDxfId="256"/>
    <tableColumn id="23" xr3:uid="{863DF2DF-F527-4AD1-ADD4-99BDC7C0D719}" name="CPF" dataDxfId="255" totalsRowDxfId="254"/>
    <tableColumn id="3" xr3:uid="{662C917E-2D1F-4CA3-AEB9-B88FA0CFCC07}" name="Nùmero do Cartão" dataDxfId="253" totalsRowDxfId="252"/>
    <tableColumn id="4" xr3:uid="{F1D6B338-194D-4491-A556-EA54FF33D49C}" name="Uso diário" dataDxfId="251" totalsRowDxfId="250"/>
    <tableColumn id="5" xr3:uid="{8DD61A6C-D890-4E78-AFCE-C03AE0A9119A}" name="D" dataDxfId="249" totalsRowDxfId="248"/>
    <tableColumn id="24" xr3:uid="{EFD8E350-CF79-4240-9D4A-8F910F19DAEB}" name="F" dataDxfId="247" totalsRowDxfId="246"/>
    <tableColumn id="8" xr3:uid="{56AE8792-2D04-404B-B9F4-84FC84157377}" name="Pedido Inicial" totalsRowFunction="sum" dataDxfId="245" totalsRowDxfId="244">
      <calculatedColumnFormula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calculatedColumnFormula>
    </tableColumn>
    <tableColumn id="9" xr3:uid="{206B0646-0EAF-4412-9CEE-07281B5E6AC1}" name="Saldo no cartão" dataDxfId="243" totalsRowDxfId="242"/>
    <tableColumn id="15" xr3:uid="{3AB52526-E203-4972-84AF-42261B2211D3}" name="Recarga Pendente" dataDxfId="241" totalsRowDxfId="240"/>
    <tableColumn id="13" xr3:uid="{EE265BD5-0B6A-4A9F-BFB2-A5950BED41FD}" name="Total Acumulado" dataDxfId="239" totalsRowDxfId="238">
      <calculatedColumnFormula>SUM(Tabela17468101214223032268161925273133362421012141618242628303840248101214162022262830323436242681012142461012242624426262826268102628623668101214161820222424262830323438404244[[#This Row],[Saldo no cartão]:[Recarga Pendente]])</calculatedColumnFormula>
    </tableColumn>
    <tableColumn id="21" xr3:uid="{B7D5BBE7-9958-41B5-9C7F-4CD57D37D508}" name="acumulo minimo" dataDxfId="237" totalsRowDxfId="236">
      <calculatedColumnFormula>Tabela17468101214223032268161925273133362421012141618242628303840248101214162022262830323436242681012142461012242624426262826268102628623668101214161820222424262830323438404244[[#This Row],[Uso diário]]*2</calculatedColumnFormula>
    </tableColumn>
    <tableColumn id="20" xr3:uid="{CCF3297A-61BA-4264-971D-C41C90B0522F}" name="acumulo" dataDxfId="235" totalsRowDxfId="234">
      <calculatedColumnFormula>Tabela17468101214223032268161925273133362421012141618242628303840248101214162022262830323436242681012142461012242624426262826268102628623668101214161820222424262830323438404244[[#This Row],[Total Acumulado]]-P4</calculatedColumnFormula>
    </tableColumn>
    <tableColumn id="10" xr3:uid="{63211119-1CE0-4E32-A88C-E38861066248}" name="Saldo para terminar o mês" dataDxfId="233" totalsRowDxfId="232">
      <calculatedColumnFormula>Tabela17468101214223032268161925273133362421012141618242628303840248101214162022262830323436242681012142461012242624426262826268102628623668101214161820222424262830323438404244[[#This Row],[Uso diário]]*5</calculatedColumnFormula>
    </tableColumn>
    <tableColumn id="11" xr3:uid="{31548F92-FE61-4898-8B0F-00FFD575D773}" name="Valor economizado" dataDxfId="231" totalsRowDxfId="230">
      <calculatedColumnFormula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calculatedColumnFormula>
    </tableColumn>
    <tableColumn id="16" xr3:uid="{110C2968-0E2D-481C-A55A-70AA7E6DEFA2}" name="Pedido Final" totalsRowFunction="sum" dataDxfId="229" totalsRowDxfId="228">
      <calculatedColumnFormula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calculatedColumnFormula>
    </tableColumn>
    <tableColumn id="17" xr3:uid="{110C18E5-7E6B-47C7-AA3D-7820D20336F9}" name="Status" totalsRowFunction="count" dataDxfId="227" totalsRowDxfId="226">
      <calculatedColumnFormula>IF(Tabela17468101214223032268161925273133362421012141618242628303840248101214162022262830323436242681012142461012242624426262826268102628623668101214161820222424262830323438404244[[#This Row],[Pedido Final]]=0,"NÃO EFETUAR RECARGA","RECARGA NORMAL")</calculatedColumnFormula>
    </tableColumn>
    <tableColumn id="14" xr3:uid="{4E9ACD4A-883A-454D-87AC-73E670E72558}" name="Filial" dataDxfId="225" totalsRowDxfId="224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4EA8ECB-4BE3-4C8F-A3F0-EC916E30A189}" name="Tabela2579111315233133379172026283234373531113151719252729313941359111315172123272931333537353791113153571113353734537373937379113739733779111315171921232535272931333539414345" displayName="Tabela2579111315233133379172026283234373531113151719252729313941359111315172123272931333537353791113153571113353734537373937379113739733779111315171921232535272931333539414345" ref="R226:S230" totalsRowCount="1" totalsRowDxfId="223">
  <autoFilter ref="R226:S229" xr:uid="{00000000-0009-0000-0100-000004000000}"/>
  <sortState xmlns:xlrd2="http://schemas.microsoft.com/office/spreadsheetml/2017/richdata2" ref="R227:S229">
    <sortCondition descending="1" ref="S227:S229"/>
  </sortState>
  <tableColumns count="2">
    <tableColumn id="1" xr3:uid="{8F1CEA44-F37F-488C-83B2-E351E39C6B88}" name="STATUS" totalsRowLabel="TOTAL" dataDxfId="222" totalsRowDxfId="221"/>
    <tableColumn id="2" xr3:uid="{2916470B-B129-4A7E-A7EF-80C88FEA045A}" name="Coluna1" totalsRowFunction="sum" dataDxfId="220" totalsRowDxfId="219">
      <calculatedColumnFormula>COUNTIF(Tabela17468101214223032268161925273133362421012141618242628303840248101214162022262830323436242681012142461012242624426262826268102628623668101214161820222424262830323438404244[Status],Tabela2579111315233133379172026283234373531113151719252729313941359111315172123272931333537353791113153571113353734537373937379113739733779111315171921232535272931333539414345[[#This Row],[STATUS]])</calculatedColumnFormula>
    </tableColumn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ED746EB-2F98-48D9-8BC6-9878E7DC221A}" name="Tabela1746810121422303226816192527313336242101214161824262830384024810121416202226283032343624268101214246101224262442626282626810262862366810121416182022242426283032343840424446" displayName="Tabela1746810121422303226816192527313336242101214161824262830384024810121416202226283032343624268101214246101224262442626282626810262862366810121416182022242426283032343840424446" ref="A3:T7" totalsRowCount="1" dataDxfId="218" totalsRowDxfId="217">
  <sortState xmlns:xlrd2="http://schemas.microsoft.com/office/spreadsheetml/2017/richdata2" ref="A4:T6">
    <sortCondition ref="D3:D6"/>
  </sortState>
  <tableColumns count="20">
    <tableColumn id="1" xr3:uid="{0BF4980A-0291-4818-BD98-3A1D9A600DBD}" name="Matricula" totalsRowLabel="Total" dataDxfId="216" totalsRowDxfId="215"/>
    <tableColumn id="2" xr3:uid="{7F5C6175-E30F-4507-B936-771BEBB00EC4}" name="Nome" dataDxfId="214" totalsRowDxfId="213"/>
    <tableColumn id="22" xr3:uid="{7508A117-2B85-4E0D-ACBD-7BDD3CFADCE9}" name="Seção" dataDxfId="212" totalsRowDxfId="211"/>
    <tableColumn id="19" xr3:uid="{4794C68B-EB5F-4FC1-9477-6A965857C0EB}" name="Função" dataDxfId="210" totalsRowDxfId="209"/>
    <tableColumn id="23" xr3:uid="{0292E607-4C76-4D4B-A6E8-0E69B483CC9B}" name="CPF" dataDxfId="208" totalsRowDxfId="207"/>
    <tableColumn id="3" xr3:uid="{3316385B-C15F-424D-88F3-E3A6A534A5D7}" name="Nùmero do Cartão" dataDxfId="206" totalsRowDxfId="205"/>
    <tableColumn id="4" xr3:uid="{B07C8AA7-DEB7-4B62-A1D7-C6D6A2801204}" name="Uso diário" dataDxfId="204" totalsRowDxfId="203"/>
    <tableColumn id="5" xr3:uid="{B347851E-7D73-4511-AF60-9C58D23022FD}" name="D" dataDxfId="202" totalsRowDxfId="201"/>
    <tableColumn id="24" xr3:uid="{FF420D00-04DF-4797-BE7D-FD58BCE7B7FC}" name="F" dataDxfId="200" totalsRowDxfId="199"/>
    <tableColumn id="8" xr3:uid="{D321A27B-2557-4071-963F-B338DF8D6033}" name="Pedido Inicial" totalsRowFunction="sum" dataDxfId="198" totalsRowDxfId="197">
      <calculatedColumnFormula>(Tabela1746810121422303226816192527313336242101214161824262830384024810121416202226283032343624268101214246101224262442626282626810262862366810121416182022242426283032343840424446[[#This Row],[D]]-Tabela1746810121422303226816192527313336242101214161824262830384024810121416202226283032343624268101214246101224262442626282626810262862366810121416182022242426283032343840424446[[#This Row],[F]])*Tabela1746810121422303226816192527313336242101214161824262830384024810121416202226283032343624268101214246101224262442626282626810262862366810121416182022242426283032343840424446[[#This Row],[Uso diário]]</calculatedColumnFormula>
    </tableColumn>
    <tableColumn id="9" xr3:uid="{2343EEFC-DE10-4C75-A6D0-8B0F9C0DD9F1}" name="Saldo no cartão" dataDxfId="196" totalsRowDxfId="195"/>
    <tableColumn id="15" xr3:uid="{50301BC2-5442-466B-8E2B-EEBE74170469}" name="Recarga Pendente" dataDxfId="194" totalsRowDxfId="193"/>
    <tableColumn id="13" xr3:uid="{8143E844-CEA5-4862-A488-4B365E42B96A}" name="Total Acumulado" dataDxfId="192" totalsRowDxfId="191">
      <calculatedColumnFormula>SUM(Tabela1746810121422303226816192527313336242101214161824262830384024810121416202226283032343624268101214246101224262442626282626810262862366810121416182022242426283032343840424446[[#This Row],[Saldo no cartão]:[Recarga Pendente]])</calculatedColumnFormula>
    </tableColumn>
    <tableColumn id="21" xr3:uid="{79634351-8892-4A78-B173-19CC9E927508}" name="acumulo minimo" dataDxfId="190" totalsRowDxfId="189">
      <calculatedColumnFormula>Tabela1746810121422303226816192527313336242101214161824262830384024810121416202226283032343624268101214246101224262442626282626810262862366810121416182022242426283032343840424446[[#This Row],[Uso diário]]*2</calculatedColumnFormula>
    </tableColumn>
    <tableColumn id="20" xr3:uid="{BD11E0DC-FAA5-4E9C-9906-C67D7DBC1941}" name="acumulo" dataDxfId="188" totalsRowDxfId="187">
      <calculatedColumnFormula>Tabela1746810121422303226816192527313336242101214161824262830384024810121416202226283032343624268101214246101224262442626282626810262862366810121416182022242426283032343840424446[[#This Row],[Total Acumulado]]-P4</calculatedColumnFormula>
    </tableColumn>
    <tableColumn id="10" xr3:uid="{65608BF2-1E7E-4C82-BCBD-CE47900E8398}" name="Saldo para terminar o mês" dataDxfId="186" totalsRowDxfId="185">
      <calculatedColumnFormula>Tabela1746810121422303226816192527313336242101214161824262830384024810121416202226283032343624268101214246101224262442626282626810262862366810121416182022242426283032343840424446[[#This Row],[Uso diário]]*5</calculatedColumnFormula>
    </tableColumn>
    <tableColumn id="11" xr3:uid="{AB224E95-835B-417C-8AB7-26E709038458}" name="Valor economizado" dataDxfId="184" totalsRowDxfId="183">
      <calculatedColumnFormula>IF(Tabela1746810121422303226816192527313336242101214161824262830384024810121416202226283032343624268101214246101224262442626282626810262862366810121416182022242426283032343840424446[[#This Row],[acumulo]]&lt;Tabela1746810121422303226816192527313336242101214161824262830384024810121416202226283032343624268101214246101224262442626282626810262862366810121416182022242426283032343840424446[[#This Row],[acumulo minimo]],0,Tabela1746810121422303226816192527313336242101214161824262830384024810121416202226283032343624268101214246101224262442626282626810262862366810121416182022242426283032343840424446[[#This Row],[acumulo]])</calculatedColumnFormula>
    </tableColumn>
    <tableColumn id="16" xr3:uid="{FD41B109-98A0-4E90-8D0C-61EF784AF457}" name="Pedido Final" totalsRowFunction="sum" dataDxfId="182" totalsRowDxfId="181">
      <calculatedColumnFormula>IF(Tabela1746810121422303226816192527313336242101214161824262830384024810121416202226283032343624268101214246101224262442626282626810262862366810121416182022242426283032343840424446[[#This Row],[Valor economizado]]&gt;Tabela1746810121422303226816192527313336242101214161824262830384024810121416202226283032343624268101214246101224262442626282626810262862366810121416182022242426283032343840424446[[#This Row],[Pedido Inicial]],0,Tabela1746810121422303226816192527313336242101214161824262830384024810121416202226283032343624268101214246101224262442626282626810262862366810121416182022242426283032343840424446[[#This Row],[Pedido Inicial]]-Tabela1746810121422303226816192527313336242101214161824262830384024810121416202226283032343624268101214246101224262442626282626810262862366810121416182022242426283032343840424446[[#This Row],[Valor economizado]])</calculatedColumnFormula>
    </tableColumn>
    <tableColumn id="17" xr3:uid="{9F6CF24A-DD5B-4EF5-B2E9-64AC3C858216}" name="Status" totalsRowFunction="count" dataDxfId="180" totalsRowDxfId="179">
      <calculatedColumnFormula>IF(Tabela1746810121422303226816192527313336242101214161824262830384024810121416202226283032343624268101214246101224262442626282626810262862366810121416182022242426283032343840424446[[#This Row],[Pedido Final]]=0,"NÃO EFETUAR RECARGA","RECARGA NORMAL")</calculatedColumnFormula>
    </tableColumn>
    <tableColumn id="14" xr3:uid="{856EF76F-440F-43D0-BF7E-7864E0F51B47}" name="Filial" dataDxfId="178" totalsRowDxfId="177"/>
  </tableColumns>
  <tableStyleInfo name="TableStyleLight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708E0F8-3620-4B24-939B-182B2571CEFC}" name="Tabela257911131523313337917202628323437353111315171925272931394135911131517212327293133353735379111315357111335373453737393737911373973377911131517192123253527293133353941434547" displayName="Tabela257911131523313337917202628323437353111315171925272931394135911131517212327293133353735379111315357111335373453737393737911373973377911131517192123253527293133353941434547" ref="R10:S14" totalsRowCount="1" totalsRowDxfId="176">
  <autoFilter ref="R10:S13" xr:uid="{00000000-0009-0000-0100-000004000000}"/>
  <sortState xmlns:xlrd2="http://schemas.microsoft.com/office/spreadsheetml/2017/richdata2" ref="R11:S13">
    <sortCondition descending="1" ref="S11:S13"/>
  </sortState>
  <tableColumns count="2">
    <tableColumn id="1" xr3:uid="{9DF9BC60-18A1-4A0F-ADFD-92B6431B5F6B}" name="STATUS" totalsRowLabel="TOTAL" dataDxfId="175" totalsRowDxfId="174"/>
    <tableColumn id="2" xr3:uid="{51AE5447-D474-4B17-99AB-1CD1B8630C07}" name="Coluna1" totalsRowFunction="sum" dataDxfId="173" totalsRowDxfId="172">
      <calculatedColumnFormula>COUNTIF(Tabela1746810121422303226816192527313336242101214161824262830384024810121416202226283032343624268101214246101224262442626282626810262862366810121416182022242426283032343840424446[Status],Tabela257911131523313337917202628323437353111315171925272931394135911131517212327293133353735379111315357111335373453737393737911373973377911131517192123253527293133353941434547[[#This Row],[STATUS]])</calculatedColumnFormula>
    </tableColumn>
  </tableColumns>
  <tableStyleInfo name="TableStyleLight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9FD78D4-AB64-4889-8178-5DCB68167EA7}" name="Tabela174681012142230322681619252731333624210121416182426283038402481012141620222628303234362426810121424610122426244262628262681026286236681012141618202224242628303234384042444648" displayName="Tabela174681012142230322681619252731333624210121416182426283038402481012141620222628303234362426810121424610122426244262628262681026286236681012141618202224242628303234384042444648" ref="A3:T29" totalsRowCount="1" dataDxfId="171" totalsRowDxfId="170">
  <sortState xmlns:xlrd2="http://schemas.microsoft.com/office/spreadsheetml/2017/richdata2" ref="A4:T28">
    <sortCondition ref="D3:D28"/>
  </sortState>
  <tableColumns count="20">
    <tableColumn id="1" xr3:uid="{D16BD1DB-B45B-435F-930E-EF5369BA07B3}" name="Matricula" totalsRowLabel="Total" dataDxfId="169" totalsRowDxfId="168"/>
    <tableColumn id="2" xr3:uid="{CA6020D1-681E-417B-BA32-36FF2243A53E}" name="Nome" dataDxfId="167" totalsRowDxfId="166"/>
    <tableColumn id="22" xr3:uid="{669BABD6-92A3-4A46-8A34-A0B661042505}" name="Seção" dataDxfId="165" totalsRowDxfId="164"/>
    <tableColumn id="19" xr3:uid="{09037DCA-5B52-489B-AFC8-0D9BA49FA8A5}" name="Função" dataDxfId="163" totalsRowDxfId="162"/>
    <tableColumn id="23" xr3:uid="{51E9DB25-A07D-4DC8-B21E-116E4436845F}" name="CPF" dataDxfId="161" totalsRowDxfId="160"/>
    <tableColumn id="3" xr3:uid="{DDC8DAD3-C93C-4890-8E91-1AE66AB0C7E1}" name="Nùmero do Cartão" dataDxfId="159" totalsRowDxfId="158"/>
    <tableColumn id="4" xr3:uid="{E7F5378E-CB94-4493-BA4B-30A5D68353DB}" name="Uso diário" dataDxfId="157" totalsRowDxfId="156"/>
    <tableColumn id="5" xr3:uid="{6A951643-8DC4-4355-AD5F-700B3D3A32B4}" name="D" dataDxfId="155" totalsRowDxfId="154"/>
    <tableColumn id="24" xr3:uid="{BFF463C2-8676-410F-BF7F-A1DC8A9B6B58}" name="F" dataDxfId="153" totalsRowDxfId="152"/>
    <tableColumn id="8" xr3:uid="{92A974D0-8301-49A8-BD26-385AEDFA11C1}" name="Pedido Inicial" totalsRowFunction="sum" dataDxfId="151" totalsRowDxfId="150">
      <calculatedColumnFormula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calculatedColumnFormula>
    </tableColumn>
    <tableColumn id="9" xr3:uid="{19159ADE-A760-4DF1-ABE4-C42DE79F1873}" name="Saldo no cartão" dataDxfId="149" totalsRowDxfId="148"/>
    <tableColumn id="15" xr3:uid="{BB99DA44-4946-4574-86FB-2FCC3C2BED2D}" name="Recarga Pendente" dataDxfId="147" totalsRowDxfId="146"/>
    <tableColumn id="13" xr3:uid="{5B4A8ADD-1F8C-4A22-8D96-00D37B50960F}" name="Total Acumulado" dataDxfId="145" totalsRowDxfId="144">
      <calculatedColumnFormula>SUM(Tabela174681012142230322681619252731333624210121416182426283038402481012141620222628303234362426810121424610122426244262628262681026286236681012141618202224242628303234384042444648[[#This Row],[Saldo no cartão]:[Recarga Pendente]])</calculatedColumnFormula>
    </tableColumn>
    <tableColumn id="21" xr3:uid="{BE1162EE-F700-4E7B-B823-9FDBEA491C5A}" name="acumulo minimo" dataDxfId="143" totalsRowDxfId="142">
      <calculatedColumnFormula>Tabela174681012142230322681619252731333624210121416182426283038402481012141620222628303234362426810121424610122426244262628262681026286236681012141618202224242628303234384042444648[[#This Row],[Uso diário]]*2</calculatedColumnFormula>
    </tableColumn>
    <tableColumn id="20" xr3:uid="{206C2DE5-239A-4CCE-9D0C-18E59B0B2E4A}" name="acumulo" dataDxfId="141" totalsRowDxfId="140">
      <calculatedColumnFormula>Tabela174681012142230322681619252731333624210121416182426283038402481012141620222628303234362426810121424610122426244262628262681026286236681012141618202224242628303234384042444648[[#This Row],[Total Acumulado]]-P4</calculatedColumnFormula>
    </tableColumn>
    <tableColumn id="10" xr3:uid="{0E35C9F8-8FF9-45B6-8447-AE6C9E5F6F19}" name="Saldo para terminar o mês" dataDxfId="139" totalsRowDxfId="138">
      <calculatedColumnFormula>Tabela174681012142230322681619252731333624210121416182426283038402481012141620222628303234362426810121424610122426244262628262681026286236681012141618202224242628303234384042444648[[#This Row],[Uso diário]]*5</calculatedColumnFormula>
    </tableColumn>
    <tableColumn id="11" xr3:uid="{846928C1-C1BA-4C39-83A8-36F8EC56559D}" name="Valor economizado" dataDxfId="137" totalsRowDxfId="136">
      <calculatedColumnFormula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calculatedColumnFormula>
    </tableColumn>
    <tableColumn id="16" xr3:uid="{080ED88E-BFA2-4AD2-A311-BA8B83BCF2F3}" name="Pedido Final" totalsRowFunction="sum" dataDxfId="135" totalsRowDxfId="134">
      <calculatedColumnFormula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calculatedColumnFormula>
    </tableColumn>
    <tableColumn id="17" xr3:uid="{F099E15C-22EC-4274-B503-A2B73EFDBB21}" name="Status" totalsRowFunction="count" dataDxfId="133" totalsRowDxfId="132">
      <calculatedColumnFormula>IF(Tabela174681012142230322681619252731333624210121416182426283038402481012141620222628303234362426810121424610122426244262628262681026286236681012141618202224242628303234384042444648[[#This Row],[Pedido Final]]=0,"NÃO EFETUAR RECARGA","RECARGA NORMAL")</calculatedColumnFormula>
    </tableColumn>
    <tableColumn id="14" xr3:uid="{BC67DA80-79B4-439E-AE6B-B77DCFF0854B}" name="Filial" dataDxfId="131" totalsRowDxfId="130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25F2A42-E0AB-4C7A-A7D8-842E680A8329}" name="Tabela25791113152331333791720262832343735311131517192527293139413591113151721232729313335373537911131535711133537345373739373791137397337791113151719212325352729313335394143454749" displayName="Tabela25791113152331333791720262832343735311131517192527293139413591113151721232729313335373537911131535711133537345373739373791137397337791113151719212325352729313335394143454749" ref="R32:S36" totalsRowCount="1" totalsRowDxfId="129">
  <autoFilter ref="R32:S35" xr:uid="{00000000-0009-0000-0100-000004000000}"/>
  <sortState xmlns:xlrd2="http://schemas.microsoft.com/office/spreadsheetml/2017/richdata2" ref="R33:S35">
    <sortCondition descending="1" ref="S33:S35"/>
  </sortState>
  <tableColumns count="2">
    <tableColumn id="1" xr3:uid="{87746DC2-F7B8-4DC1-AA41-566F5F02F554}" name="STATUS" totalsRowLabel="TOTAL" dataDxfId="128" totalsRowDxfId="127"/>
    <tableColumn id="2" xr3:uid="{89C48E51-8A72-4D74-A3CE-DF78D4E9E34A}" name="Coluna1" totalsRowFunction="sum" dataDxfId="126" totalsRowDxfId="125">
      <calculatedColumnFormula>COUNTIF(Tabela174681012142230322681619252731333624210121416182426283038402481012141620222628303234362426810121424610122426244262628262681026286236681012141618202224242628303234384042444648[Status],Tabela25791113152331333791720262832343735311131517192527293139413591113151721232729313335373537911131535711133537345373739373791137397337791113151719212325352729313335394143454749[[#This Row],[STATUS]])</calculatedColumnFormula>
    </tableColumn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C1BF26A-88BA-468C-B4F8-054E88168DA9}" name="Tabela17468101214223032268161925273133362421012141618242628303840248101214162022262830323436242681012142461012242624426262826268102628623668101214161820222424262830323438404244464850" displayName="Tabela17468101214223032268161925273133362421012141618242628303840248101214162022262830323436242681012142461012242624426262826268102628623668101214161820222424262830323438404244464850" ref="A3:T221" totalsRowCount="1" dataDxfId="124" totalsRowDxfId="123">
  <sortState xmlns:xlrd2="http://schemas.microsoft.com/office/spreadsheetml/2017/richdata2" ref="A4:T220">
    <sortCondition ref="D3:D220"/>
  </sortState>
  <tableColumns count="20">
    <tableColumn id="1" xr3:uid="{33A2388E-756D-4A98-A0F9-1B2C084673AF}" name="Matricula" totalsRowLabel="Total" dataDxfId="122" totalsRowDxfId="121"/>
    <tableColumn id="2" xr3:uid="{A3C2B234-424C-4E95-A575-219F48DF124F}" name="Nome" dataDxfId="120" totalsRowDxfId="119"/>
    <tableColumn id="22" xr3:uid="{19D30C1B-42F1-4C2D-9103-91C70814C2FF}" name="Seção" dataDxfId="118" totalsRowDxfId="117"/>
    <tableColumn id="19" xr3:uid="{34AE6934-9670-451C-8DAC-F6227D1FA480}" name="Função" dataDxfId="116" totalsRowDxfId="115"/>
    <tableColumn id="23" xr3:uid="{29520BB9-C358-414B-AA87-F9BE92BCFC44}" name="CPF" dataDxfId="114" totalsRowDxfId="113"/>
    <tableColumn id="3" xr3:uid="{26F2D66F-073F-4723-BCD4-EAB023E86EE3}" name="Nùmero do Cartão" dataDxfId="112" totalsRowDxfId="111"/>
    <tableColumn id="4" xr3:uid="{3216CA27-175E-4838-938B-4EEF35D682ED}" name="Uso diário" dataDxfId="110" totalsRowDxfId="109"/>
    <tableColumn id="5" xr3:uid="{FF68FF1D-3B83-4258-8130-00DC88CC6827}" name="D" dataDxfId="108" totalsRowDxfId="107"/>
    <tableColumn id="24" xr3:uid="{1A4662ED-A794-4B67-A8A5-59AD94D85B93}" name="F" dataDxfId="106" totalsRowDxfId="105"/>
    <tableColumn id="8" xr3:uid="{DE433F5D-D594-4A4F-A714-68E39CF03D72}" name="Pedido Inicial" totalsRowFunction="sum" dataDxfId="104" totalsRowDxfId="103">
      <calculatedColumnFormula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calculatedColumnFormula>
    </tableColumn>
    <tableColumn id="9" xr3:uid="{7D2A0699-41AB-4912-B830-98A4F396356E}" name="Saldo no cartão" dataDxfId="102" totalsRowDxfId="101"/>
    <tableColumn id="15" xr3:uid="{B126F421-D8B8-4D7E-966F-2A245E163BE5}" name="Recarga Pendente" dataDxfId="100" totalsRowDxfId="99"/>
    <tableColumn id="13" xr3:uid="{6A709812-47D6-47EF-B059-025963AF2031}" name="Total Acumulado" dataDxfId="98" totalsRowDxfId="97">
      <calculatedColumnFormula>SUM(Tabela17468101214223032268161925273133362421012141618242628303840248101214162022262830323436242681012142461012242624426262826268102628623668101214161820222424262830323438404244464850[[#This Row],[Saldo no cartão]:[Recarga Pendente]])</calculatedColumnFormula>
    </tableColumn>
    <tableColumn id="21" xr3:uid="{ABECE822-9604-40F4-ADB3-72C4EBF152B9}" name="acumulo minimo" dataDxfId="96" totalsRowDxfId="95">
      <calculatedColumnFormula>Tabela17468101214223032268161925273133362421012141618242628303840248101214162022262830323436242681012142461012242624426262826268102628623668101214161820222424262830323438404244464850[[#This Row],[Uso diário]]*2</calculatedColumnFormula>
    </tableColumn>
    <tableColumn id="20" xr3:uid="{923C9ADF-6E1C-468F-BA3C-5FEE0324A1AF}" name="acumulo" dataDxfId="94" totalsRowDxfId="93">
      <calculatedColumnFormula>Tabela17468101214223032268161925273133362421012141618242628303840248101214162022262830323436242681012142461012242624426262826268102628623668101214161820222424262830323438404244464850[[#This Row],[Total Acumulado]]-P4</calculatedColumnFormula>
    </tableColumn>
    <tableColumn id="10" xr3:uid="{137E5DC1-4C1C-4B6B-8BC7-C1D86BA5F393}" name="Saldo para terminar o mês" dataDxfId="92" totalsRowDxfId="91">
      <calculatedColumnFormula>Tabela17468101214223032268161925273133362421012141618242628303840248101214162022262830323436242681012142461012242624426262826268102628623668101214161820222424262830323438404244464850[[#This Row],[Uso diário]]*5</calculatedColumnFormula>
    </tableColumn>
    <tableColumn id="11" xr3:uid="{3BB7834E-DB43-45E0-AAD2-36BF8C5A0AEF}" name="Valor economizado" dataDxfId="90" totalsRowDxfId="89">
      <calculatedColumnFormula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calculatedColumnFormula>
    </tableColumn>
    <tableColumn id="16" xr3:uid="{F0CEFD8C-F934-469A-ABE2-2605F93FC42F}" name="Pedido Final" totalsRowFunction="sum" dataDxfId="88" totalsRowDxfId="87">
      <calculatedColumnFormula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calculatedColumnFormula>
    </tableColumn>
    <tableColumn id="17" xr3:uid="{3E35EFF4-75A6-4BA8-AFEA-8E3FDF8AB441}" name="Status" totalsRowFunction="count" dataDxfId="86" totalsRowDxfId="85">
      <calculatedColumnFormula>IF(Tabela17468101214223032268161925273133362421012141618242628303840248101214162022262830323436242681012142461012242624426262826268102628623668101214161820222424262830323438404244464850[[#This Row],[Pedido Final]]=0,"NÃO EFETUAR RECARGA","RECARGA NORMAL")</calculatedColumnFormula>
    </tableColumn>
    <tableColumn id="14" xr3:uid="{4F1DB13E-D0FA-4A16-87AB-D78328D88BE7}" name="Filial" dataDxfId="84" totalsRowDxfId="83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8B4833E-33A7-4DF1-B0BA-B2A9EF7909F6}" name="Tabela2579111315233133379172026283234373531113151719252729313941359111315172123272931333537353791113153571113353734537373937379113739733779111315171921232535272931333539414345474951" displayName="Tabela2579111315233133379172026283234373531113151719252729313941359111315172123272931333537353791113153571113353734537373937379113739733779111315171921232535272931333539414345474951" ref="R224:S228" totalsRowCount="1" totalsRowDxfId="82">
  <autoFilter ref="R224:S227" xr:uid="{00000000-0009-0000-0100-000004000000}"/>
  <sortState xmlns:xlrd2="http://schemas.microsoft.com/office/spreadsheetml/2017/richdata2" ref="R225:S227">
    <sortCondition descending="1" ref="S225:S227"/>
  </sortState>
  <tableColumns count="2">
    <tableColumn id="1" xr3:uid="{8155C756-1A4F-4218-B322-1CACE7E19333}" name="STATUS" totalsRowLabel="TOTAL" dataDxfId="81" totalsRowDxfId="80"/>
    <tableColumn id="2" xr3:uid="{778A700F-4002-45B8-8145-D052E792A638}" name="Coluna1" totalsRowFunction="sum" dataDxfId="79" totalsRowDxfId="78">
      <calculatedColumnFormula>COUNTIF(Tabela17468101214223032268161925273133362421012141618242628303840248101214162022262830323436242681012142461012242624426262826268102628623668101214161820222424262830323438404244464850[Status],Tabela2579111315233133379172026283234373531113151719252729313941359111315172123272931333537353791113153571113353734537373937379113739733779111315171921232535272931333539414345474951[[#This Row],[STATUS]])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368B-00C1-44ED-B1F2-88937B262E19}">
  <sheetPr>
    <pageSetUpPr fitToPage="1"/>
  </sheetPr>
  <dimension ref="A1:BG1364"/>
  <sheetViews>
    <sheetView zoomScaleNormal="100" workbookViewId="0">
      <selection activeCell="G10" sqref="G10"/>
    </sheetView>
  </sheetViews>
  <sheetFormatPr defaultColWidth="9.140625" defaultRowHeight="15" x14ac:dyDescent="0.25"/>
  <cols>
    <col min="1" max="1" width="7.28515625" style="1" bestFit="1" customWidth="1"/>
    <col min="2" max="2" width="33.140625" style="3" bestFit="1" customWidth="1"/>
    <col min="3" max="3" width="22.7109375" style="3" customWidth="1"/>
    <col min="4" max="4" width="37.7109375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1338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223380</v>
      </c>
      <c r="B4" s="43" t="s">
        <v>1129</v>
      </c>
      <c r="C4" s="20" t="s">
        <v>1257</v>
      </c>
      <c r="D4" s="20" t="s">
        <v>1260</v>
      </c>
      <c r="E4" s="17" t="s">
        <v>1547</v>
      </c>
      <c r="F4" s="17" t="s">
        <v>1548</v>
      </c>
      <c r="G4" s="21">
        <v>18.8</v>
      </c>
      <c r="H4" s="16">
        <v>22</v>
      </c>
      <c r="I4" s="16">
        <v>5</v>
      </c>
      <c r="J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319.60000000000002</v>
      </c>
      <c r="K4" s="57"/>
      <c r="L4" s="57"/>
      <c r="M4" s="23">
        <f>SUM(Tabela174681012142230322681619252731333624210121416182426283038402481012141620222628303234362426810121424610122426244262628262681026286236[[#This Row],[Saldo no cartão]:[Recarga Pendente]])</f>
        <v>0</v>
      </c>
      <c r="N4" s="19">
        <f>Tabela174681012142230322681619252731333624210121416182426283038402481012141620222628303234362426810121424610122426244262628262681026286236[[#This Row],[Uso diário]]*2</f>
        <v>37.6</v>
      </c>
      <c r="O4" s="19">
        <f>Tabela174681012142230322681619252731333624210121416182426283038402481012141620222628303234362426810121424610122426244262628262681026286236[[#This Row],[Total Acumulado]]-P4</f>
        <v>-94</v>
      </c>
      <c r="P4" s="48">
        <f>Tabela174681012142230322681619252731333624210121416182426283038402481012141620222628303234362426810121424610122426244262628262681026286236[[#This Row],[Uso diário]]*5</f>
        <v>94</v>
      </c>
      <c r="Q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319.60000000000002</v>
      </c>
      <c r="S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" s="25">
        <v>1</v>
      </c>
    </row>
    <row r="5" spans="1:59" s="26" customFormat="1" x14ac:dyDescent="0.25">
      <c r="A5" s="16">
        <v>226767</v>
      </c>
      <c r="B5" s="30" t="s">
        <v>31</v>
      </c>
      <c r="C5" s="20" t="s">
        <v>618</v>
      </c>
      <c r="D5" s="20" t="s">
        <v>666</v>
      </c>
      <c r="E5" s="56" t="s">
        <v>1549</v>
      </c>
      <c r="F5" s="56" t="s">
        <v>1550</v>
      </c>
      <c r="G5" s="21">
        <v>18.8</v>
      </c>
      <c r="H5" s="16">
        <v>22</v>
      </c>
      <c r="I5" s="16"/>
      <c r="J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" s="22"/>
      <c r="L5" s="23"/>
      <c r="M5" s="23">
        <f>SUM(Tabela174681012142230322681619252731333624210121416182426283038402481012141620222628303234362426810121424610122426244262628262681026286236[[#This Row],[Saldo no cartão]:[Recarga Pendente]])</f>
        <v>0</v>
      </c>
      <c r="N5" s="19">
        <f>Tabela174681012142230322681619252731333624210121416182426283038402481012141620222628303234362426810121424610122426244262628262681026286236[[#This Row],[Uso diário]]*2</f>
        <v>37.6</v>
      </c>
      <c r="O5" s="19">
        <f>Tabela174681012142230322681619252731333624210121416182426283038402481012141620222628303234362426810121424610122426244262628262681026286236[[#This Row],[Total Acumulado]]-P5</f>
        <v>-94</v>
      </c>
      <c r="P5" s="48">
        <f>Tabela174681012142230322681619252731333624210121416182426283038402481012141620222628303234362426810121424610122426244262628262681026286236[[#This Row],[Uso diário]]*5</f>
        <v>94</v>
      </c>
      <c r="Q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" s="25">
        <v>1</v>
      </c>
    </row>
    <row r="6" spans="1:59" s="26" customFormat="1" x14ac:dyDescent="0.25">
      <c r="A6" s="16">
        <v>234666</v>
      </c>
      <c r="B6" s="30" t="s">
        <v>1339</v>
      </c>
      <c r="C6" s="20" t="s">
        <v>618</v>
      </c>
      <c r="D6" s="20" t="s">
        <v>666</v>
      </c>
      <c r="E6" s="56" t="s">
        <v>1551</v>
      </c>
      <c r="F6" s="17">
        <v>0</v>
      </c>
      <c r="G6" s="21">
        <v>18.8</v>
      </c>
      <c r="H6" s="16">
        <v>22</v>
      </c>
      <c r="I6" s="16"/>
      <c r="J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" s="22"/>
      <c r="L6" s="23"/>
      <c r="M6" s="23">
        <f>SUM(Tabela174681012142230322681619252731333624210121416182426283038402481012141620222628303234362426810121424610122426244262628262681026286236[[#This Row],[Saldo no cartão]:[Recarga Pendente]])</f>
        <v>0</v>
      </c>
      <c r="N6" s="19">
        <f>Tabela174681012142230322681619252731333624210121416182426283038402481012141620222628303234362426810121424610122426244262628262681026286236[[#This Row],[Uso diário]]*2</f>
        <v>37.6</v>
      </c>
      <c r="O6" s="19">
        <f>Tabela174681012142230322681619252731333624210121416182426283038402481012141620222628303234362426810121424610122426244262628262681026286236[[#This Row],[Total Acumulado]]-P6</f>
        <v>-94</v>
      </c>
      <c r="P6" s="48">
        <f>Tabela174681012142230322681619252731333624210121416182426283038402481012141620222628303234362426810121424610122426244262628262681026286236[[#This Row],[Uso diário]]*5</f>
        <v>94</v>
      </c>
      <c r="Q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" s="25">
        <v>1</v>
      </c>
    </row>
    <row r="7" spans="1:59" s="26" customFormat="1" x14ac:dyDescent="0.25">
      <c r="A7" s="16">
        <v>219159</v>
      </c>
      <c r="B7" s="30" t="s">
        <v>1130</v>
      </c>
      <c r="C7" s="20" t="s">
        <v>619</v>
      </c>
      <c r="D7" s="20" t="s">
        <v>667</v>
      </c>
      <c r="E7" s="56" t="s">
        <v>1552</v>
      </c>
      <c r="F7" s="17" t="s">
        <v>1553</v>
      </c>
      <c r="G7" s="21">
        <v>18.8</v>
      </c>
      <c r="H7" s="16">
        <v>15</v>
      </c>
      <c r="I7" s="16"/>
      <c r="J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7" s="22"/>
      <c r="L7" s="23"/>
      <c r="M7" s="23">
        <f>SUM(Tabela174681012142230322681619252731333624210121416182426283038402481012141620222628303234362426810121424610122426244262628262681026286236[[#This Row],[Saldo no cartão]:[Recarga Pendente]])</f>
        <v>0</v>
      </c>
      <c r="N7" s="19">
        <f>Tabela174681012142230322681619252731333624210121416182426283038402481012141620222628303234362426810121424610122426244262628262681026286236[[#This Row],[Uso diário]]*2</f>
        <v>37.6</v>
      </c>
      <c r="O7" s="19">
        <f>Tabela174681012142230322681619252731333624210121416182426283038402481012141620222628303234362426810121424610122426244262628262681026286236[[#This Row],[Total Acumulado]]-P7</f>
        <v>-94</v>
      </c>
      <c r="P7" s="48">
        <f>Tabela174681012142230322681619252731333624210121416182426283038402481012141620222628303234362426810121424610122426244262628262681026286236[[#This Row],[Uso diário]]*5</f>
        <v>94</v>
      </c>
      <c r="Q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" s="25">
        <v>1</v>
      </c>
    </row>
    <row r="8" spans="1:59" s="26" customFormat="1" x14ac:dyDescent="0.25">
      <c r="A8" s="16">
        <v>222999</v>
      </c>
      <c r="B8" s="30" t="s">
        <v>32</v>
      </c>
      <c r="C8" s="20" t="s">
        <v>619</v>
      </c>
      <c r="D8" s="20" t="s">
        <v>667</v>
      </c>
      <c r="E8" s="56" t="s">
        <v>1554</v>
      </c>
      <c r="F8" s="17" t="s">
        <v>1555</v>
      </c>
      <c r="G8" s="21">
        <v>13.4</v>
      </c>
      <c r="H8" s="16">
        <v>15</v>
      </c>
      <c r="I8" s="16"/>
      <c r="J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8" s="22"/>
      <c r="L8" s="23"/>
      <c r="M8" s="23">
        <f>SUM(Tabela174681012142230322681619252731333624210121416182426283038402481012141620222628303234362426810121424610122426244262628262681026286236[[#This Row],[Saldo no cartão]:[Recarga Pendente]])</f>
        <v>0</v>
      </c>
      <c r="N8" s="19">
        <f>Tabela174681012142230322681619252731333624210121416182426283038402481012141620222628303234362426810121424610122426244262628262681026286236[[#This Row],[Uso diário]]*2</f>
        <v>26.8</v>
      </c>
      <c r="O8" s="19">
        <f>Tabela174681012142230322681619252731333624210121416182426283038402481012141620222628303234362426810121424610122426244262628262681026286236[[#This Row],[Total Acumulado]]-P8</f>
        <v>-67</v>
      </c>
      <c r="P8" s="48">
        <f>Tabela174681012142230322681619252731333624210121416182426283038402481012141620222628303234362426810121424610122426244262628262681026286236[[#This Row],[Uso diário]]*5</f>
        <v>67</v>
      </c>
      <c r="Q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" s="25">
        <v>1</v>
      </c>
    </row>
    <row r="9" spans="1:59" s="26" customFormat="1" x14ac:dyDescent="0.25">
      <c r="A9" s="16">
        <v>209079</v>
      </c>
      <c r="B9" s="30" t="s">
        <v>362</v>
      </c>
      <c r="C9" s="20" t="s">
        <v>620</v>
      </c>
      <c r="D9" s="20" t="s">
        <v>668</v>
      </c>
      <c r="E9" s="56" t="s">
        <v>1556</v>
      </c>
      <c r="F9" s="17" t="s">
        <v>1557</v>
      </c>
      <c r="G9" s="21">
        <v>13.4</v>
      </c>
      <c r="H9" s="16">
        <v>26</v>
      </c>
      <c r="I9" s="16"/>
      <c r="J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" s="22"/>
      <c r="L9" s="23"/>
      <c r="M9" s="23">
        <f>SUM(Tabela174681012142230322681619252731333624210121416182426283038402481012141620222628303234362426810121424610122426244262628262681026286236[[#This Row],[Saldo no cartão]:[Recarga Pendente]])</f>
        <v>0</v>
      </c>
      <c r="N9" s="19">
        <f>Tabela174681012142230322681619252731333624210121416182426283038402481012141620222628303234362426810121424610122426244262628262681026286236[[#This Row],[Uso diário]]*2</f>
        <v>26.8</v>
      </c>
      <c r="O9" s="19">
        <f>Tabela174681012142230322681619252731333624210121416182426283038402481012141620222628303234362426810121424610122426244262628262681026286236[[#This Row],[Total Acumulado]]-P9</f>
        <v>-67</v>
      </c>
      <c r="P9" s="48">
        <f>Tabela174681012142230322681619252731333624210121416182426283038402481012141620222628303234362426810121424610122426244262628262681026286236[[#This Row],[Uso diário]]*5</f>
        <v>67</v>
      </c>
      <c r="Q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" s="25">
        <v>1</v>
      </c>
    </row>
    <row r="10" spans="1:59" s="26" customFormat="1" x14ac:dyDescent="0.25">
      <c r="A10" s="16">
        <v>210066</v>
      </c>
      <c r="B10" s="30" t="s">
        <v>34</v>
      </c>
      <c r="C10" s="20" t="s">
        <v>620</v>
      </c>
      <c r="D10" s="20" t="s">
        <v>668</v>
      </c>
      <c r="E10" s="56" t="s">
        <v>1558</v>
      </c>
      <c r="F10" s="17" t="s">
        <v>1559</v>
      </c>
      <c r="G10" s="21">
        <v>13.4</v>
      </c>
      <c r="H10" s="16">
        <v>26</v>
      </c>
      <c r="I10" s="16"/>
      <c r="J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" s="22"/>
      <c r="L10" s="23"/>
      <c r="M10" s="23">
        <f>SUM(Tabela174681012142230322681619252731333624210121416182426283038402481012141620222628303234362426810121424610122426244262628262681026286236[[#This Row],[Saldo no cartão]:[Recarga Pendente]])</f>
        <v>0</v>
      </c>
      <c r="N10" s="19">
        <f>Tabela174681012142230322681619252731333624210121416182426283038402481012141620222628303234362426810121424610122426244262628262681026286236[[#This Row],[Uso diário]]*2</f>
        <v>26.8</v>
      </c>
      <c r="O10" s="19">
        <f>Tabela174681012142230322681619252731333624210121416182426283038402481012141620222628303234362426810121424610122426244262628262681026286236[[#This Row],[Total Acumulado]]-P10</f>
        <v>-67</v>
      </c>
      <c r="P10" s="48">
        <f>Tabela174681012142230322681619252731333624210121416182426283038402481012141620222628303234362426810121424610122426244262628262681026286236[[#This Row],[Uso diário]]*5</f>
        <v>67</v>
      </c>
      <c r="Q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" s="25">
        <v>1</v>
      </c>
    </row>
    <row r="11" spans="1:59" s="26" customFormat="1" x14ac:dyDescent="0.25">
      <c r="A11" s="16">
        <v>204017</v>
      </c>
      <c r="B11" s="30" t="s">
        <v>35</v>
      </c>
      <c r="C11" s="20" t="s">
        <v>621</v>
      </c>
      <c r="D11" s="20" t="s">
        <v>669</v>
      </c>
      <c r="E11" s="56" t="s">
        <v>1560</v>
      </c>
      <c r="F11" s="17" t="s">
        <v>1561</v>
      </c>
      <c r="G11" s="21">
        <v>13.4</v>
      </c>
      <c r="H11" s="16">
        <v>26</v>
      </c>
      <c r="I11" s="16"/>
      <c r="J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" s="22"/>
      <c r="L11" s="23"/>
      <c r="M11" s="23">
        <f>SUM(Tabela174681012142230322681619252731333624210121416182426283038402481012141620222628303234362426810121424610122426244262628262681026286236[[#This Row],[Saldo no cartão]:[Recarga Pendente]])</f>
        <v>0</v>
      </c>
      <c r="N11" s="19">
        <f>Tabela174681012142230322681619252731333624210121416182426283038402481012141620222628303234362426810121424610122426244262628262681026286236[[#This Row],[Uso diário]]*2</f>
        <v>26.8</v>
      </c>
      <c r="O11" s="19">
        <f>Tabela174681012142230322681619252731333624210121416182426283038402481012141620222628303234362426810121424610122426244262628262681026286236[[#This Row],[Total Acumulado]]-P11</f>
        <v>-67</v>
      </c>
      <c r="P11" s="48">
        <f>Tabela174681012142230322681619252731333624210121416182426283038402481012141620222628303234362426810121424610122426244262628262681026286236[[#This Row],[Uso diário]]*5</f>
        <v>67</v>
      </c>
      <c r="Q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" s="25">
        <v>1</v>
      </c>
    </row>
    <row r="12" spans="1:59" s="26" customFormat="1" x14ac:dyDescent="0.25">
      <c r="A12" s="16">
        <v>208586</v>
      </c>
      <c r="B12" s="30" t="s">
        <v>36</v>
      </c>
      <c r="C12" s="20" t="s">
        <v>621</v>
      </c>
      <c r="D12" s="20" t="s">
        <v>669</v>
      </c>
      <c r="E12" s="56" t="s">
        <v>1562</v>
      </c>
      <c r="F12" s="17" t="s">
        <v>1563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SUM(Tabela174681012142230322681619252731333624210121416182426283038402481012141620222628303234362426810121424610122426244262628262681026286236[[#This Row],[Saldo no cartão]:[Recarga Pendente]])</f>
        <v>0</v>
      </c>
      <c r="N12" s="19">
        <f>Tabela174681012142230322681619252731333624210121416182426283038402481012141620222628303234362426810121424610122426244262628262681026286236[[#This Row],[Uso diário]]*2</f>
        <v>26.8</v>
      </c>
      <c r="O12" s="19">
        <f>Tabela174681012142230322681619252731333624210121416182426283038402481012141620222628303234362426810121424610122426244262628262681026286236[[#This Row],[Total Acumulado]]-P12</f>
        <v>-67</v>
      </c>
      <c r="P12" s="48">
        <f>Tabela174681012142230322681619252731333624210121416182426283038402481012141620222628303234362426810121424610122426244262628262681026286236[[#This Row],[Uso diário]]*5</f>
        <v>67</v>
      </c>
      <c r="Q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" s="25">
        <v>1</v>
      </c>
    </row>
    <row r="13" spans="1:59" s="26" customFormat="1" x14ac:dyDescent="0.25">
      <c r="A13" s="16">
        <v>215074</v>
      </c>
      <c r="B13" s="30" t="s">
        <v>37</v>
      </c>
      <c r="C13" s="20" t="s">
        <v>621</v>
      </c>
      <c r="D13" s="20" t="s">
        <v>670</v>
      </c>
      <c r="E13" s="56" t="s">
        <v>1564</v>
      </c>
      <c r="F13" s="17" t="s">
        <v>1565</v>
      </c>
      <c r="G13" s="21">
        <v>13.4</v>
      </c>
      <c r="H13" s="16">
        <v>22</v>
      </c>
      <c r="I13" s="16"/>
      <c r="J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3" s="22"/>
      <c r="L13" s="23"/>
      <c r="M13" s="23">
        <f>SUM(Tabela174681012142230322681619252731333624210121416182426283038402481012141620222628303234362426810121424610122426244262628262681026286236[[#This Row],[Saldo no cartão]:[Recarga Pendente]])</f>
        <v>0</v>
      </c>
      <c r="N13" s="19">
        <f>Tabela174681012142230322681619252731333624210121416182426283038402481012141620222628303234362426810121424610122426244262628262681026286236[[#This Row],[Uso diário]]*2</f>
        <v>26.8</v>
      </c>
      <c r="O13" s="19">
        <f>Tabela174681012142230322681619252731333624210121416182426283038402481012141620222628303234362426810121424610122426244262628262681026286236[[#This Row],[Total Acumulado]]-P13</f>
        <v>-67</v>
      </c>
      <c r="P13" s="48">
        <f>Tabela174681012142230322681619252731333624210121416182426283038402481012141620222628303234362426810121424610122426244262628262681026286236[[#This Row],[Uso diário]]*5</f>
        <v>67</v>
      </c>
      <c r="Q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" s="25">
        <v>1</v>
      </c>
    </row>
    <row r="14" spans="1:59" s="26" customFormat="1" x14ac:dyDescent="0.25">
      <c r="A14" s="16">
        <v>217049</v>
      </c>
      <c r="B14" s="30" t="s">
        <v>1131</v>
      </c>
      <c r="C14" s="20" t="s">
        <v>621</v>
      </c>
      <c r="D14" s="20" t="s">
        <v>669</v>
      </c>
      <c r="E14" s="56" t="s">
        <v>1566</v>
      </c>
      <c r="F14" s="17" t="s">
        <v>1567</v>
      </c>
      <c r="G14" s="21">
        <v>13.4</v>
      </c>
      <c r="H14" s="16">
        <v>26</v>
      </c>
      <c r="I14" s="16"/>
      <c r="J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4" s="22"/>
      <c r="L14" s="23">
        <v>217.85</v>
      </c>
      <c r="M14" s="23">
        <f>SUM(Tabela174681012142230322681619252731333624210121416182426283038402481012141620222628303234362426810121424610122426244262628262681026286236[[#This Row],[Saldo no cartão]:[Recarga Pendente]])</f>
        <v>217.85</v>
      </c>
      <c r="N14" s="19">
        <f>Tabela174681012142230322681619252731333624210121416182426283038402481012141620222628303234362426810121424610122426244262628262681026286236[[#This Row],[Uso diário]]*2</f>
        <v>26.8</v>
      </c>
      <c r="O14" s="19">
        <f>Tabela174681012142230322681619252731333624210121416182426283038402481012141620222628303234362426810121424610122426244262628262681026286236[[#This Row],[Total Acumulado]]-P14</f>
        <v>150.85</v>
      </c>
      <c r="P14" s="48">
        <f>Tabela174681012142230322681619252731333624210121416182426283038402481012141620222628303234362426810121424610122426244262628262681026286236[[#This Row],[Uso diário]]*5</f>
        <v>67</v>
      </c>
      <c r="Q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150.85</v>
      </c>
      <c r="R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197.55000000000004</v>
      </c>
      <c r="S14" s="18" t="s">
        <v>11</v>
      </c>
      <c r="T14" s="25">
        <v>1</v>
      </c>
    </row>
    <row r="15" spans="1:59" s="26" customFormat="1" x14ac:dyDescent="0.25">
      <c r="A15" s="16">
        <v>218058</v>
      </c>
      <c r="B15" s="30" t="s">
        <v>1021</v>
      </c>
      <c r="C15" s="20" t="s">
        <v>621</v>
      </c>
      <c r="D15" s="20" t="s">
        <v>669</v>
      </c>
      <c r="E15" s="56" t="s">
        <v>1568</v>
      </c>
      <c r="F15" s="17" t="s">
        <v>1569</v>
      </c>
      <c r="G15" s="21">
        <v>13.4</v>
      </c>
      <c r="H15" s="16">
        <v>26</v>
      </c>
      <c r="I15" s="16"/>
      <c r="J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5" s="22"/>
      <c r="L15" s="23"/>
      <c r="M15" s="23">
        <f>SUM(Tabela174681012142230322681619252731333624210121416182426283038402481012141620222628303234362426810121424610122426244262628262681026286236[[#This Row],[Saldo no cartão]:[Recarga Pendente]])</f>
        <v>0</v>
      </c>
      <c r="N15" s="19">
        <f>Tabela174681012142230322681619252731333624210121416182426283038402481012141620222628303234362426810121424610122426244262628262681026286236[[#This Row],[Uso diário]]*2</f>
        <v>26.8</v>
      </c>
      <c r="O15" s="19">
        <f>Tabela174681012142230322681619252731333624210121416182426283038402481012141620222628303234362426810121424610122426244262628262681026286236[[#This Row],[Total Acumulado]]-P15</f>
        <v>-67</v>
      </c>
      <c r="P15" s="48">
        <f>Tabela174681012142230322681619252731333624210121416182426283038402481012141620222628303234362426810121424610122426244262628262681026286236[[#This Row],[Uso diário]]*5</f>
        <v>67</v>
      </c>
      <c r="Q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" s="25">
        <v>1</v>
      </c>
    </row>
    <row r="16" spans="1:59" s="26" customFormat="1" x14ac:dyDescent="0.25">
      <c r="A16" s="16">
        <v>100154</v>
      </c>
      <c r="B16" s="30" t="s">
        <v>38</v>
      </c>
      <c r="C16" s="20" t="s">
        <v>622</v>
      </c>
      <c r="D16" s="20" t="s">
        <v>671</v>
      </c>
      <c r="E16" s="56" t="s">
        <v>1570</v>
      </c>
      <c r="F16" s="17" t="s">
        <v>1571</v>
      </c>
      <c r="G16" s="21">
        <v>18.8</v>
      </c>
      <c r="H16" s="16">
        <v>26</v>
      </c>
      <c r="I16" s="16"/>
      <c r="J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6" s="22"/>
      <c r="L16" s="23">
        <v>18.8</v>
      </c>
      <c r="M16" s="23">
        <f>SUM(Tabela174681012142230322681619252731333624210121416182426283038402481012141620222628303234362426810121424610122426244262628262681026286236[[#This Row],[Saldo no cartão]:[Recarga Pendente]])</f>
        <v>18.8</v>
      </c>
      <c r="N16" s="19">
        <f>Tabela174681012142230322681619252731333624210121416182426283038402481012141620222628303234362426810121424610122426244262628262681026286236[[#This Row],[Uso diário]]*2</f>
        <v>37.6</v>
      </c>
      <c r="O16" s="19">
        <f>Tabela174681012142230322681619252731333624210121416182426283038402481012141620222628303234362426810121424610122426244262628262681026286236[[#This Row],[Total Acumulado]]-P16</f>
        <v>-75.2</v>
      </c>
      <c r="P16" s="48">
        <f>Tabela174681012142230322681619252731333624210121416182426283038402481012141620222628303234362426810121424610122426244262628262681026286236[[#This Row],[Uso diário]]*5</f>
        <v>94</v>
      </c>
      <c r="Q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" s="25">
        <v>1</v>
      </c>
    </row>
    <row r="17" spans="1:20" s="26" customFormat="1" x14ac:dyDescent="0.25">
      <c r="A17" s="16">
        <v>100182</v>
      </c>
      <c r="B17" s="30" t="s">
        <v>39</v>
      </c>
      <c r="C17" s="20" t="s">
        <v>622</v>
      </c>
      <c r="D17" s="20" t="s">
        <v>671</v>
      </c>
      <c r="E17" s="56" t="s">
        <v>1572</v>
      </c>
      <c r="F17" s="17" t="s">
        <v>1573</v>
      </c>
      <c r="G17" s="21">
        <v>13.4</v>
      </c>
      <c r="H17" s="16">
        <v>26</v>
      </c>
      <c r="I17" s="16"/>
      <c r="J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7" s="22"/>
      <c r="L17" s="23"/>
      <c r="M17" s="23">
        <f>SUM(Tabela174681012142230322681619252731333624210121416182426283038402481012141620222628303234362426810121424610122426244262628262681026286236[[#This Row],[Saldo no cartão]:[Recarga Pendente]])</f>
        <v>0</v>
      </c>
      <c r="N17" s="19">
        <f>Tabela174681012142230322681619252731333624210121416182426283038402481012141620222628303234362426810121424610122426244262628262681026286236[[#This Row],[Uso diário]]*2</f>
        <v>26.8</v>
      </c>
      <c r="O17" s="19">
        <f>Tabela174681012142230322681619252731333624210121416182426283038402481012141620222628303234362426810121424610122426244262628262681026286236[[#This Row],[Total Acumulado]]-P17</f>
        <v>-67</v>
      </c>
      <c r="P17" s="48">
        <f>Tabela174681012142230322681619252731333624210121416182426283038402481012141620222628303234362426810121424610122426244262628262681026286236[[#This Row],[Uso diário]]*5</f>
        <v>67</v>
      </c>
      <c r="Q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" s="25">
        <v>1</v>
      </c>
    </row>
    <row r="18" spans="1:20" s="26" customFormat="1" x14ac:dyDescent="0.25">
      <c r="A18" s="16">
        <v>207946</v>
      </c>
      <c r="B18" s="30" t="s">
        <v>288</v>
      </c>
      <c r="C18" s="20" t="s">
        <v>622</v>
      </c>
      <c r="D18" s="20" t="s">
        <v>671</v>
      </c>
      <c r="E18" s="56" t="s">
        <v>1574</v>
      </c>
      <c r="F18" s="17" t="s">
        <v>1575</v>
      </c>
      <c r="G18" s="21">
        <v>13.4</v>
      </c>
      <c r="H18" s="16">
        <v>26</v>
      </c>
      <c r="I18" s="16"/>
      <c r="J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8" s="22"/>
      <c r="L18" s="23"/>
      <c r="M18" s="23">
        <f>SUM(Tabela174681012142230322681619252731333624210121416182426283038402481012141620222628303234362426810121424610122426244262628262681026286236[[#This Row],[Saldo no cartão]:[Recarga Pendente]])</f>
        <v>0</v>
      </c>
      <c r="N18" s="19">
        <f>Tabela174681012142230322681619252731333624210121416182426283038402481012141620222628303234362426810121424610122426244262628262681026286236[[#This Row],[Uso diário]]*2</f>
        <v>26.8</v>
      </c>
      <c r="O18" s="19">
        <f>Tabela174681012142230322681619252731333624210121416182426283038402481012141620222628303234362426810121424610122426244262628262681026286236[[#This Row],[Total Acumulado]]-P18</f>
        <v>-67</v>
      </c>
      <c r="P18" s="48">
        <f>Tabela174681012142230322681619252731333624210121416182426283038402481012141620222628303234362426810121424610122426244262628262681026286236[[#This Row],[Uso diário]]*5</f>
        <v>67</v>
      </c>
      <c r="Q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" s="25">
        <v>1</v>
      </c>
    </row>
    <row r="19" spans="1:20" s="26" customFormat="1" ht="22.5" x14ac:dyDescent="0.25">
      <c r="A19" s="16">
        <v>5260</v>
      </c>
      <c r="B19" s="30" t="s">
        <v>40</v>
      </c>
      <c r="C19" s="20" t="s">
        <v>623</v>
      </c>
      <c r="D19" s="20" t="s">
        <v>672</v>
      </c>
      <c r="E19" s="56" t="s">
        <v>1576</v>
      </c>
      <c r="F19" s="17" t="s">
        <v>1577</v>
      </c>
      <c r="G19" s="21">
        <v>13.4</v>
      </c>
      <c r="H19" s="16">
        <v>26</v>
      </c>
      <c r="I19" s="16"/>
      <c r="J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9" s="22"/>
      <c r="L19" s="23">
        <v>600</v>
      </c>
      <c r="M19" s="23">
        <f>SUM(Tabela174681012142230322681619252731333624210121416182426283038402481012141620222628303234362426810121424610122426244262628262681026286236[[#This Row],[Saldo no cartão]:[Recarga Pendente]])</f>
        <v>600</v>
      </c>
      <c r="N19" s="19">
        <f>Tabela174681012142230322681619252731333624210121416182426283038402481012141620222628303234362426810121424610122426244262628262681026286236[[#This Row],[Uso diário]]*2</f>
        <v>26.8</v>
      </c>
      <c r="O19" s="19">
        <f>Tabela174681012142230322681619252731333624210121416182426283038402481012141620222628303234362426810121424610122426244262628262681026286236[[#This Row],[Total Acumulado]]-P19</f>
        <v>533</v>
      </c>
      <c r="P19" s="48">
        <f>Tabela174681012142230322681619252731333624210121416182426283038402481012141620222628303234362426810121424610122426244262628262681026286236[[#This Row],[Uso diário]]*5</f>
        <v>67</v>
      </c>
      <c r="Q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533</v>
      </c>
      <c r="R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19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19" s="25">
        <v>1</v>
      </c>
    </row>
    <row r="20" spans="1:20" s="26" customFormat="1" x14ac:dyDescent="0.25">
      <c r="A20" s="16">
        <v>210151</v>
      </c>
      <c r="B20" s="30" t="s">
        <v>1391</v>
      </c>
      <c r="C20" s="20" t="s">
        <v>623</v>
      </c>
      <c r="D20" s="20" t="s">
        <v>672</v>
      </c>
      <c r="E20" s="20" t="s">
        <v>1578</v>
      </c>
      <c r="F20" s="20" t="s">
        <v>1579</v>
      </c>
      <c r="G20" s="21">
        <v>13.4</v>
      </c>
      <c r="H20" s="16">
        <v>26</v>
      </c>
      <c r="I20" s="16"/>
      <c r="J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0" s="22"/>
      <c r="L20" s="23"/>
      <c r="M20" s="23">
        <f>SUM(Tabela174681012142230322681619252731333624210121416182426283038402481012141620222628303234362426810121424610122426244262628262681026286236[[#This Row],[Saldo no cartão]:[Recarga Pendente]])</f>
        <v>0</v>
      </c>
      <c r="N20" s="19">
        <f>Tabela174681012142230322681619252731333624210121416182426283038402481012141620222628303234362426810121424610122426244262628262681026286236[[#This Row],[Uso diário]]*2</f>
        <v>26.8</v>
      </c>
      <c r="O20" s="19">
        <f>Tabela174681012142230322681619252731333624210121416182426283038402481012141620222628303234362426810121424610122426244262628262681026286236[[#This Row],[Total Acumulado]]-P20</f>
        <v>-67</v>
      </c>
      <c r="P20" s="48">
        <f>Tabela174681012142230322681619252731333624210121416182426283038402481012141620222628303234362426810121424610122426244262628262681026286236[[#This Row],[Uso diário]]*5</f>
        <v>67</v>
      </c>
      <c r="Q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" s="25">
        <v>1</v>
      </c>
    </row>
    <row r="21" spans="1:20" s="26" customFormat="1" x14ac:dyDescent="0.25">
      <c r="A21" s="16">
        <v>209118</v>
      </c>
      <c r="B21" s="30" t="s">
        <v>41</v>
      </c>
      <c r="C21" s="20" t="s">
        <v>624</v>
      </c>
      <c r="D21" s="20" t="s">
        <v>673</v>
      </c>
      <c r="E21" s="20" t="s">
        <v>1580</v>
      </c>
      <c r="F21" s="20" t="s">
        <v>1581</v>
      </c>
      <c r="G21" s="21">
        <v>13.4</v>
      </c>
      <c r="H21" s="16">
        <v>26</v>
      </c>
      <c r="I21" s="16">
        <v>1</v>
      </c>
      <c r="J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21" s="22"/>
      <c r="L21" s="23"/>
      <c r="M21" s="23">
        <f>SUM(Tabela174681012142230322681619252731333624210121416182426283038402481012141620222628303234362426810121424610122426244262628262681026286236[[#This Row],[Saldo no cartão]:[Recarga Pendente]])</f>
        <v>0</v>
      </c>
      <c r="N21" s="19">
        <f>Tabela174681012142230322681619252731333624210121416182426283038402481012141620222628303234362426810121424610122426244262628262681026286236[[#This Row],[Uso diário]]*2</f>
        <v>26.8</v>
      </c>
      <c r="O21" s="19">
        <f>Tabela174681012142230322681619252731333624210121416182426283038402481012141620222628303234362426810121424610122426244262628262681026286236[[#This Row],[Total Acumulado]]-P21</f>
        <v>-67</v>
      </c>
      <c r="P21" s="48">
        <f>Tabela174681012142230322681619252731333624210121416182426283038402481012141620222628303234362426810121424610122426244262628262681026286236[[#This Row],[Uso diário]]*5</f>
        <v>67</v>
      </c>
      <c r="Q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" s="25">
        <v>1</v>
      </c>
    </row>
    <row r="22" spans="1:20" s="26" customFormat="1" x14ac:dyDescent="0.25">
      <c r="A22" s="16">
        <v>208951</v>
      </c>
      <c r="B22" s="30" t="s">
        <v>42</v>
      </c>
      <c r="C22" s="20" t="s">
        <v>625</v>
      </c>
      <c r="D22" s="20" t="s">
        <v>674</v>
      </c>
      <c r="E22" s="20" t="e">
        <v>#N/A</v>
      </c>
      <c r="F22" s="20" t="e">
        <v>#N/A</v>
      </c>
      <c r="G22" s="21">
        <v>18.8</v>
      </c>
      <c r="H22" s="16">
        <v>24</v>
      </c>
      <c r="I22" s="16"/>
      <c r="J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2" s="22"/>
      <c r="L22" s="23"/>
      <c r="M22" s="23">
        <f>SUM(Tabela174681012142230322681619252731333624210121416182426283038402481012141620222628303234362426810121424610122426244262628262681026286236[[#This Row],[Saldo no cartão]:[Recarga Pendente]])</f>
        <v>0</v>
      </c>
      <c r="N22" s="19">
        <f>Tabela174681012142230322681619252731333624210121416182426283038402481012141620222628303234362426810121424610122426244262628262681026286236[[#This Row],[Uso diário]]*2</f>
        <v>37.6</v>
      </c>
      <c r="O22" s="19">
        <f>Tabela174681012142230322681619252731333624210121416182426283038402481012141620222628303234362426810121424610122426244262628262681026286236[[#This Row],[Total Acumulado]]-P22</f>
        <v>-94</v>
      </c>
      <c r="P22" s="48">
        <f>Tabela174681012142230322681619252731333624210121416182426283038402481012141620222628303234362426810121424610122426244262628262681026286236[[#This Row],[Uso diário]]*5</f>
        <v>94</v>
      </c>
      <c r="Q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" s="25">
        <v>1</v>
      </c>
    </row>
    <row r="23" spans="1:20" s="26" customFormat="1" x14ac:dyDescent="0.25">
      <c r="A23" s="16">
        <v>209761</v>
      </c>
      <c r="B23" s="30" t="s">
        <v>1022</v>
      </c>
      <c r="C23" s="20" t="s">
        <v>625</v>
      </c>
      <c r="D23" s="20" t="s">
        <v>676</v>
      </c>
      <c r="E23" s="20" t="s">
        <v>1582</v>
      </c>
      <c r="F23" s="20" t="s">
        <v>1583</v>
      </c>
      <c r="G23" s="21">
        <v>18.8</v>
      </c>
      <c r="H23" s="16">
        <v>24</v>
      </c>
      <c r="I23" s="16">
        <v>2</v>
      </c>
      <c r="J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3" s="22"/>
      <c r="L23" s="23"/>
      <c r="M23" s="23">
        <f>SUM(Tabela174681012142230322681619252731333624210121416182426283038402481012141620222628303234362426810121424610122426244262628262681026286236[[#This Row],[Saldo no cartão]:[Recarga Pendente]])</f>
        <v>0</v>
      </c>
      <c r="N23" s="19">
        <f>Tabela174681012142230322681619252731333624210121416182426283038402481012141620222628303234362426810121424610122426244262628262681026286236[[#This Row],[Uso diário]]*2</f>
        <v>37.6</v>
      </c>
      <c r="O23" s="19">
        <f>Tabela174681012142230322681619252731333624210121416182426283038402481012141620222628303234362426810121424610122426244262628262681026286236[[#This Row],[Total Acumulado]]-P23</f>
        <v>-94</v>
      </c>
      <c r="P23" s="48">
        <f>Tabela174681012142230322681619252731333624210121416182426283038402481012141620222628303234362426810121424610122426244262628262681026286236[[#This Row],[Uso diário]]*5</f>
        <v>94</v>
      </c>
      <c r="Q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" s="25">
        <v>1</v>
      </c>
    </row>
    <row r="24" spans="1:20" s="26" customFormat="1" x14ac:dyDescent="0.25">
      <c r="A24" s="16">
        <v>212221</v>
      </c>
      <c r="B24" s="30" t="s">
        <v>43</v>
      </c>
      <c r="C24" s="20" t="s">
        <v>625</v>
      </c>
      <c r="D24" s="20" t="s">
        <v>677</v>
      </c>
      <c r="E24" s="20" t="s">
        <v>1584</v>
      </c>
      <c r="F24" s="20" t="s">
        <v>1585</v>
      </c>
      <c r="G24" s="21">
        <v>18.8</v>
      </c>
      <c r="H24" s="16">
        <v>24</v>
      </c>
      <c r="I24" s="16">
        <v>3</v>
      </c>
      <c r="J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24" s="22"/>
      <c r="L24" s="23"/>
      <c r="M24" s="23">
        <f>SUM(Tabela174681012142230322681619252731333624210121416182426283038402481012141620222628303234362426810121424610122426244262628262681026286236[[#This Row],[Saldo no cartão]:[Recarga Pendente]])</f>
        <v>0</v>
      </c>
      <c r="N24" s="19">
        <f>Tabela174681012142230322681619252731333624210121416182426283038402481012141620222628303234362426810121424610122426244262628262681026286236[[#This Row],[Uso diário]]*2</f>
        <v>37.6</v>
      </c>
      <c r="O24" s="19">
        <f>Tabela174681012142230322681619252731333624210121416182426283038402481012141620222628303234362426810121424610122426244262628262681026286236[[#This Row],[Total Acumulado]]-P24</f>
        <v>-94</v>
      </c>
      <c r="P24" s="48">
        <f>Tabela174681012142230322681619252731333624210121416182426283038402481012141620222628303234362426810121424610122426244262628262681026286236[[#This Row],[Uso diário]]*5</f>
        <v>94</v>
      </c>
      <c r="Q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" s="25">
        <v>1</v>
      </c>
    </row>
    <row r="25" spans="1:20" s="26" customFormat="1" x14ac:dyDescent="0.25">
      <c r="A25" s="16">
        <v>215364</v>
      </c>
      <c r="B25" s="30" t="s">
        <v>44</v>
      </c>
      <c r="C25" s="20" t="s">
        <v>625</v>
      </c>
      <c r="D25" s="20" t="s">
        <v>675</v>
      </c>
      <c r="E25" s="20" t="s">
        <v>1586</v>
      </c>
      <c r="F25" s="20" t="s">
        <v>1587</v>
      </c>
      <c r="G25" s="21">
        <v>18.8</v>
      </c>
      <c r="H25" s="16">
        <v>24</v>
      </c>
      <c r="I25" s="16">
        <v>1</v>
      </c>
      <c r="J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25" s="22"/>
      <c r="L25" s="23"/>
      <c r="M25" s="23">
        <f>SUM(Tabela174681012142230322681619252731333624210121416182426283038402481012141620222628303234362426810121424610122426244262628262681026286236[[#This Row],[Saldo no cartão]:[Recarga Pendente]])</f>
        <v>0</v>
      </c>
      <c r="N25" s="19">
        <f>Tabela174681012142230322681619252731333624210121416182426283038402481012141620222628303234362426810121424610122426244262628262681026286236[[#This Row],[Uso diário]]*2</f>
        <v>37.6</v>
      </c>
      <c r="O25" s="19">
        <f>Tabela174681012142230322681619252731333624210121416182426283038402481012141620222628303234362426810121424610122426244262628262681026286236[[#This Row],[Total Acumulado]]-P25</f>
        <v>-94</v>
      </c>
      <c r="P25" s="48">
        <f>Tabela174681012142230322681619252731333624210121416182426283038402481012141620222628303234362426810121424610122426244262628262681026286236[[#This Row],[Uso diário]]*5</f>
        <v>94</v>
      </c>
      <c r="Q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" s="25">
        <v>1</v>
      </c>
    </row>
    <row r="26" spans="1:20" s="26" customFormat="1" x14ac:dyDescent="0.25">
      <c r="A26" s="16">
        <v>215805</v>
      </c>
      <c r="B26" s="30" t="s">
        <v>1132</v>
      </c>
      <c r="C26" s="20" t="s">
        <v>625</v>
      </c>
      <c r="D26" s="20" t="s">
        <v>675</v>
      </c>
      <c r="E26" s="20" t="s">
        <v>1588</v>
      </c>
      <c r="F26" s="20" t="s">
        <v>1589</v>
      </c>
      <c r="G26" s="21">
        <v>18.8</v>
      </c>
      <c r="H26" s="16">
        <v>24</v>
      </c>
      <c r="I26" s="16">
        <v>2</v>
      </c>
      <c r="J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6" s="22"/>
      <c r="L26" s="23"/>
      <c r="M26" s="23">
        <f>SUM(Tabela174681012142230322681619252731333624210121416182426283038402481012141620222628303234362426810121424610122426244262628262681026286236[[#This Row],[Saldo no cartão]:[Recarga Pendente]])</f>
        <v>0</v>
      </c>
      <c r="N26" s="19">
        <f>Tabela174681012142230322681619252731333624210121416182426283038402481012141620222628303234362426810121424610122426244262628262681026286236[[#This Row],[Uso diário]]*2</f>
        <v>37.6</v>
      </c>
      <c r="O26" s="19">
        <f>Tabela174681012142230322681619252731333624210121416182426283038402481012141620222628303234362426810121424610122426244262628262681026286236[[#This Row],[Total Acumulado]]-P26</f>
        <v>-94</v>
      </c>
      <c r="P26" s="48">
        <f>Tabela174681012142230322681619252731333624210121416182426283038402481012141620222628303234362426810121424610122426244262628262681026286236[[#This Row],[Uso diário]]*5</f>
        <v>94</v>
      </c>
      <c r="Q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" s="25">
        <v>1</v>
      </c>
    </row>
    <row r="27" spans="1:20" s="26" customFormat="1" x14ac:dyDescent="0.25">
      <c r="A27" s="16">
        <v>218138</v>
      </c>
      <c r="B27" s="30" t="s">
        <v>1023</v>
      </c>
      <c r="C27" s="20" t="s">
        <v>625</v>
      </c>
      <c r="D27" s="20" t="s">
        <v>677</v>
      </c>
      <c r="E27" s="20" t="s">
        <v>1590</v>
      </c>
      <c r="F27" s="20" t="s">
        <v>1591</v>
      </c>
      <c r="G27" s="21">
        <v>18.8</v>
      </c>
      <c r="H27" s="16">
        <v>24</v>
      </c>
      <c r="I27" s="16">
        <v>1</v>
      </c>
      <c r="J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27" s="22"/>
      <c r="L27" s="23">
        <v>18.8</v>
      </c>
      <c r="M27" s="23">
        <f>SUM(Tabela174681012142230322681619252731333624210121416182426283038402481012141620222628303234362426810121424610122426244262628262681026286236[[#This Row],[Saldo no cartão]:[Recarga Pendente]])</f>
        <v>18.8</v>
      </c>
      <c r="N27" s="19">
        <f>Tabela174681012142230322681619252731333624210121416182426283038402481012141620222628303234362426810121424610122426244262628262681026286236[[#This Row],[Uso diário]]*2</f>
        <v>37.6</v>
      </c>
      <c r="O27" s="19">
        <f>Tabela174681012142230322681619252731333624210121416182426283038402481012141620222628303234362426810121424610122426244262628262681026286236[[#This Row],[Total Acumulado]]-P27</f>
        <v>-75.2</v>
      </c>
      <c r="P27" s="48">
        <f>Tabela174681012142230322681619252731333624210121416182426283038402481012141620222628303234362426810121424610122426244262628262681026286236[[#This Row],[Uso diário]]*5</f>
        <v>94</v>
      </c>
      <c r="Q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" s="25">
        <v>1</v>
      </c>
    </row>
    <row r="28" spans="1:20" s="26" customFormat="1" x14ac:dyDescent="0.25">
      <c r="A28" s="16">
        <v>218175</v>
      </c>
      <c r="B28" s="30" t="s">
        <v>45</v>
      </c>
      <c r="C28" s="20" t="s">
        <v>625</v>
      </c>
      <c r="D28" s="20" t="s">
        <v>677</v>
      </c>
      <c r="E28" s="20" t="s">
        <v>1592</v>
      </c>
      <c r="F28" s="20" t="s">
        <v>1593</v>
      </c>
      <c r="G28" s="21">
        <v>18.8</v>
      </c>
      <c r="H28" s="16">
        <v>22</v>
      </c>
      <c r="I28" s="16">
        <v>1</v>
      </c>
      <c r="J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28" s="22"/>
      <c r="L28" s="23"/>
      <c r="M28" s="23">
        <f>SUM(Tabela174681012142230322681619252731333624210121416182426283038402481012141620222628303234362426810121424610122426244262628262681026286236[[#This Row],[Saldo no cartão]:[Recarga Pendente]])</f>
        <v>0</v>
      </c>
      <c r="N28" s="19">
        <f>Tabela174681012142230322681619252731333624210121416182426283038402481012141620222628303234362426810121424610122426244262628262681026286236[[#This Row],[Uso diário]]*2</f>
        <v>37.6</v>
      </c>
      <c r="O28" s="19">
        <f>Tabela174681012142230322681619252731333624210121416182426283038402481012141620222628303234362426810121424610122426244262628262681026286236[[#This Row],[Total Acumulado]]-P28</f>
        <v>-94</v>
      </c>
      <c r="P28" s="48">
        <f>Tabela174681012142230322681619252731333624210121416182426283038402481012141620222628303234362426810121424610122426244262628262681026286236[[#This Row],[Uso diário]]*5</f>
        <v>94</v>
      </c>
      <c r="Q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" s="25">
        <v>1</v>
      </c>
    </row>
    <row r="29" spans="1:20" s="26" customFormat="1" x14ac:dyDescent="0.25">
      <c r="A29" s="16">
        <v>219135</v>
      </c>
      <c r="B29" s="30" t="s">
        <v>46</v>
      </c>
      <c r="C29" s="20" t="s">
        <v>625</v>
      </c>
      <c r="D29" s="20" t="s">
        <v>808</v>
      </c>
      <c r="E29" s="20" t="s">
        <v>1594</v>
      </c>
      <c r="F29" s="20" t="s">
        <v>1595</v>
      </c>
      <c r="G29" s="21">
        <v>18.8</v>
      </c>
      <c r="H29" s="16">
        <v>22</v>
      </c>
      <c r="I29" s="16"/>
      <c r="J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9" s="22"/>
      <c r="L29" s="23">
        <v>18.8</v>
      </c>
      <c r="M29" s="23">
        <f>SUM(Tabela174681012142230322681619252731333624210121416182426283038402481012141620222628303234362426810121424610122426244262628262681026286236[[#This Row],[Saldo no cartão]:[Recarga Pendente]])</f>
        <v>18.8</v>
      </c>
      <c r="N29" s="19">
        <f>Tabela174681012142230322681619252731333624210121416182426283038402481012141620222628303234362426810121424610122426244262628262681026286236[[#This Row],[Uso diário]]*2</f>
        <v>37.6</v>
      </c>
      <c r="O29" s="19">
        <f>Tabela174681012142230322681619252731333624210121416182426283038402481012141620222628303234362426810121424610122426244262628262681026286236[[#This Row],[Total Acumulado]]-P29</f>
        <v>-75.2</v>
      </c>
      <c r="P29" s="48">
        <f>Tabela174681012142230322681619252731333624210121416182426283038402481012141620222628303234362426810121424610122426244262628262681026286236[[#This Row],[Uso diário]]*5</f>
        <v>94</v>
      </c>
      <c r="Q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" s="25">
        <v>1</v>
      </c>
    </row>
    <row r="30" spans="1:20" s="26" customFormat="1" x14ac:dyDescent="0.25">
      <c r="A30" s="16">
        <v>220932</v>
      </c>
      <c r="B30" s="30" t="s">
        <v>47</v>
      </c>
      <c r="C30" s="20" t="s">
        <v>625</v>
      </c>
      <c r="D30" s="20" t="s">
        <v>675</v>
      </c>
      <c r="E30" s="20" t="s">
        <v>1596</v>
      </c>
      <c r="F30" s="20" t="s">
        <v>1597</v>
      </c>
      <c r="G30" s="21">
        <v>18.8</v>
      </c>
      <c r="H30" s="16">
        <v>22</v>
      </c>
      <c r="I30" s="16"/>
      <c r="J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30" s="22"/>
      <c r="L30" s="23">
        <v>18.8</v>
      </c>
      <c r="M30" s="23">
        <f>SUM(Tabela174681012142230322681619252731333624210121416182426283038402481012141620222628303234362426810121424610122426244262628262681026286236[[#This Row],[Saldo no cartão]:[Recarga Pendente]])</f>
        <v>18.8</v>
      </c>
      <c r="N30" s="19">
        <f>Tabela174681012142230322681619252731333624210121416182426283038402481012141620222628303234362426810121424610122426244262628262681026286236[[#This Row],[Uso diário]]*2</f>
        <v>37.6</v>
      </c>
      <c r="O30" s="19">
        <f>Tabela174681012142230322681619252731333624210121416182426283038402481012141620222628303234362426810121424610122426244262628262681026286236[[#This Row],[Total Acumulado]]-P30</f>
        <v>-75.2</v>
      </c>
      <c r="P30" s="48">
        <f>Tabela174681012142230322681619252731333624210121416182426283038402481012141620222628303234362426810121424610122426244262628262681026286236[[#This Row],[Uso diário]]*5</f>
        <v>94</v>
      </c>
      <c r="Q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" s="25">
        <v>1</v>
      </c>
    </row>
    <row r="31" spans="1:20" s="26" customFormat="1" x14ac:dyDescent="0.25">
      <c r="A31" s="16">
        <v>221493</v>
      </c>
      <c r="B31" s="30" t="s">
        <v>48</v>
      </c>
      <c r="C31" s="20" t="s">
        <v>625</v>
      </c>
      <c r="D31" s="20" t="s">
        <v>676</v>
      </c>
      <c r="E31" s="20" t="s">
        <v>1598</v>
      </c>
      <c r="F31" s="20" t="s">
        <v>1599</v>
      </c>
      <c r="G31" s="21">
        <v>18.8</v>
      </c>
      <c r="H31" s="16">
        <v>24</v>
      </c>
      <c r="I31" s="16"/>
      <c r="J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31" s="22"/>
      <c r="L31" s="23"/>
      <c r="M31" s="23">
        <f>SUM(Tabela174681012142230322681619252731333624210121416182426283038402481012141620222628303234362426810121424610122426244262628262681026286236[[#This Row],[Saldo no cartão]:[Recarga Pendente]])</f>
        <v>0</v>
      </c>
      <c r="N31" s="19">
        <f>Tabela174681012142230322681619252731333624210121416182426283038402481012141620222628303234362426810121424610122426244262628262681026286236[[#This Row],[Uso diário]]*2</f>
        <v>37.6</v>
      </c>
      <c r="O31" s="19">
        <f>Tabela174681012142230322681619252731333624210121416182426283038402481012141620222628303234362426810121424610122426244262628262681026286236[[#This Row],[Total Acumulado]]-P31</f>
        <v>-94</v>
      </c>
      <c r="P31" s="48">
        <f>Tabela174681012142230322681619252731333624210121416182426283038402481012141620222628303234362426810121424610122426244262628262681026286236[[#This Row],[Uso diário]]*5</f>
        <v>94</v>
      </c>
      <c r="Q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" s="25">
        <v>1</v>
      </c>
    </row>
    <row r="32" spans="1:20" s="26" customFormat="1" x14ac:dyDescent="0.25">
      <c r="A32" s="16">
        <v>222506</v>
      </c>
      <c r="B32" s="30" t="s">
        <v>49</v>
      </c>
      <c r="C32" s="20" t="s">
        <v>625</v>
      </c>
      <c r="D32" s="20" t="s">
        <v>677</v>
      </c>
      <c r="E32" s="20" t="s">
        <v>1600</v>
      </c>
      <c r="F32" s="20" t="s">
        <v>1601</v>
      </c>
      <c r="G32" s="21">
        <v>18.8</v>
      </c>
      <c r="H32" s="16">
        <v>22</v>
      </c>
      <c r="I32" s="16"/>
      <c r="J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32" s="22"/>
      <c r="L32" s="23"/>
      <c r="M32" s="23">
        <f>SUM(Tabela174681012142230322681619252731333624210121416182426283038402481012141620222628303234362426810121424610122426244262628262681026286236[[#This Row],[Saldo no cartão]:[Recarga Pendente]])</f>
        <v>0</v>
      </c>
      <c r="N32" s="19">
        <f>Tabela174681012142230322681619252731333624210121416182426283038402481012141620222628303234362426810121424610122426244262628262681026286236[[#This Row],[Uso diário]]*2</f>
        <v>37.6</v>
      </c>
      <c r="O32" s="19">
        <f>Tabela174681012142230322681619252731333624210121416182426283038402481012141620222628303234362426810121424610122426244262628262681026286236[[#This Row],[Total Acumulado]]-P32</f>
        <v>-94</v>
      </c>
      <c r="P32" s="48">
        <f>Tabela174681012142230322681619252731333624210121416182426283038402481012141620222628303234362426810121424610122426244262628262681026286236[[#This Row],[Uso diário]]*5</f>
        <v>94</v>
      </c>
      <c r="Q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" s="25">
        <v>1</v>
      </c>
    </row>
    <row r="33" spans="1:20" s="26" customFormat="1" x14ac:dyDescent="0.25">
      <c r="A33" s="16">
        <v>222853</v>
      </c>
      <c r="B33" s="30" t="s">
        <v>50</v>
      </c>
      <c r="C33" s="20" t="s">
        <v>625</v>
      </c>
      <c r="D33" s="20" t="s">
        <v>675</v>
      </c>
      <c r="E33" s="20" t="s">
        <v>1602</v>
      </c>
      <c r="F33" s="20" t="s">
        <v>1603</v>
      </c>
      <c r="G33" s="21">
        <v>13.7</v>
      </c>
      <c r="H33" s="16">
        <v>24</v>
      </c>
      <c r="I33" s="16"/>
      <c r="J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328.79999999999995</v>
      </c>
      <c r="K33" s="22"/>
      <c r="L33" s="23">
        <v>13.7</v>
      </c>
      <c r="M33" s="23">
        <f>SUM(Tabela174681012142230322681619252731333624210121416182426283038402481012141620222628303234362426810121424610122426244262628262681026286236[[#This Row],[Saldo no cartão]:[Recarga Pendente]])</f>
        <v>13.7</v>
      </c>
      <c r="N33" s="19">
        <f>Tabela174681012142230322681619252731333624210121416182426283038402481012141620222628303234362426810121424610122426244262628262681026286236[[#This Row],[Uso diário]]*2</f>
        <v>27.4</v>
      </c>
      <c r="O33" s="19">
        <f>Tabela174681012142230322681619252731333624210121416182426283038402481012141620222628303234362426810121424610122426244262628262681026286236[[#This Row],[Total Acumulado]]-P33</f>
        <v>-54.8</v>
      </c>
      <c r="P33" s="48">
        <f>Tabela174681012142230322681619252731333624210121416182426283038402481012141620222628303234362426810121424610122426244262628262681026286236[[#This Row],[Uso diário]]*5</f>
        <v>68.5</v>
      </c>
      <c r="Q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328.79999999999995</v>
      </c>
      <c r="S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" s="25">
        <v>1</v>
      </c>
    </row>
    <row r="34" spans="1:20" s="26" customFormat="1" x14ac:dyDescent="0.25">
      <c r="A34" s="16">
        <v>222855</v>
      </c>
      <c r="B34" s="30" t="s">
        <v>51</v>
      </c>
      <c r="C34" s="20" t="s">
        <v>625</v>
      </c>
      <c r="D34" s="20" t="s">
        <v>677</v>
      </c>
      <c r="E34" s="20" t="s">
        <v>1604</v>
      </c>
      <c r="F34" s="20" t="s">
        <v>1605</v>
      </c>
      <c r="G34" s="21">
        <v>13.4</v>
      </c>
      <c r="H34" s="16">
        <v>22</v>
      </c>
      <c r="I34" s="16">
        <v>1</v>
      </c>
      <c r="J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34" s="22"/>
      <c r="L34" s="23"/>
      <c r="M34" s="23">
        <f>SUM(Tabela174681012142230322681619252731333624210121416182426283038402481012141620222628303234362426810121424610122426244262628262681026286236[[#This Row],[Saldo no cartão]:[Recarga Pendente]])</f>
        <v>0</v>
      </c>
      <c r="N34" s="19">
        <f>Tabela174681012142230322681619252731333624210121416182426283038402481012141620222628303234362426810121424610122426244262628262681026286236[[#This Row],[Uso diário]]*2</f>
        <v>26.8</v>
      </c>
      <c r="O34" s="19">
        <f>Tabela174681012142230322681619252731333624210121416182426283038402481012141620222628303234362426810121424610122426244262628262681026286236[[#This Row],[Total Acumulado]]-P34</f>
        <v>-67</v>
      </c>
      <c r="P34" s="48">
        <f>Tabela174681012142230322681619252731333624210121416182426283038402481012141620222628303234362426810121424610122426244262628262681026286236[[#This Row],[Uso diário]]*5</f>
        <v>67</v>
      </c>
      <c r="Q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" s="25">
        <v>1</v>
      </c>
    </row>
    <row r="35" spans="1:20" s="26" customFormat="1" x14ac:dyDescent="0.25">
      <c r="A35" s="16">
        <v>222857</v>
      </c>
      <c r="B35" s="30" t="s">
        <v>1392</v>
      </c>
      <c r="C35" s="20" t="s">
        <v>625</v>
      </c>
      <c r="D35" s="20" t="s">
        <v>675</v>
      </c>
      <c r="E35" s="20" t="s">
        <v>1606</v>
      </c>
      <c r="F35" s="20" t="s">
        <v>1607</v>
      </c>
      <c r="G35" s="21">
        <v>18.8</v>
      </c>
      <c r="H35" s="16">
        <v>24</v>
      </c>
      <c r="I35" s="16"/>
      <c r="J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35" s="22"/>
      <c r="L35" s="23">
        <v>18.8</v>
      </c>
      <c r="M35" s="23">
        <f>SUM(Tabela174681012142230322681619252731333624210121416182426283038402481012141620222628303234362426810121424610122426244262628262681026286236[[#This Row],[Saldo no cartão]:[Recarga Pendente]])</f>
        <v>18.8</v>
      </c>
      <c r="N35" s="19">
        <f>Tabela174681012142230322681619252731333624210121416182426283038402481012141620222628303234362426810121424610122426244262628262681026286236[[#This Row],[Uso diário]]*2</f>
        <v>37.6</v>
      </c>
      <c r="O35" s="19">
        <f>Tabela174681012142230322681619252731333624210121416182426283038402481012141620222628303234362426810121424610122426244262628262681026286236[[#This Row],[Total Acumulado]]-P35</f>
        <v>-75.2</v>
      </c>
      <c r="P35" s="48">
        <f>Tabela174681012142230322681619252731333624210121416182426283038402481012141620222628303234362426810121424610122426244262628262681026286236[[#This Row],[Uso diário]]*5</f>
        <v>94</v>
      </c>
      <c r="Q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" s="25">
        <v>1</v>
      </c>
    </row>
    <row r="36" spans="1:20" s="26" customFormat="1" x14ac:dyDescent="0.25">
      <c r="A36" s="16">
        <v>222858</v>
      </c>
      <c r="B36" s="30" t="s">
        <v>1024</v>
      </c>
      <c r="C36" s="20" t="s">
        <v>625</v>
      </c>
      <c r="D36" s="20" t="s">
        <v>677</v>
      </c>
      <c r="E36" s="20" t="s">
        <v>1608</v>
      </c>
      <c r="F36" s="20" t="s">
        <v>1609</v>
      </c>
      <c r="G36" s="21">
        <v>18.8</v>
      </c>
      <c r="H36" s="16">
        <v>22</v>
      </c>
      <c r="I36" s="16">
        <v>1</v>
      </c>
      <c r="J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36" s="22"/>
      <c r="L36" s="23"/>
      <c r="M36" s="23">
        <f>SUM(Tabela174681012142230322681619252731333624210121416182426283038402481012141620222628303234362426810121424610122426244262628262681026286236[[#This Row],[Saldo no cartão]:[Recarga Pendente]])</f>
        <v>0</v>
      </c>
      <c r="N36" s="19">
        <f>Tabela174681012142230322681619252731333624210121416182426283038402481012141620222628303234362426810121424610122426244262628262681026286236[[#This Row],[Uso diário]]*2</f>
        <v>37.6</v>
      </c>
      <c r="O36" s="19">
        <f>Tabela174681012142230322681619252731333624210121416182426283038402481012141620222628303234362426810121424610122426244262628262681026286236[[#This Row],[Total Acumulado]]-P36</f>
        <v>-94</v>
      </c>
      <c r="P36" s="48">
        <f>Tabela174681012142230322681619252731333624210121416182426283038402481012141620222628303234362426810121424610122426244262628262681026286236[[#This Row],[Uso diário]]*5</f>
        <v>94</v>
      </c>
      <c r="Q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" s="25">
        <v>1</v>
      </c>
    </row>
    <row r="37" spans="1:20" s="26" customFormat="1" x14ac:dyDescent="0.25">
      <c r="A37" s="16">
        <v>223106</v>
      </c>
      <c r="B37" s="30" t="s">
        <v>52</v>
      </c>
      <c r="C37" s="20" t="s">
        <v>625</v>
      </c>
      <c r="D37" s="20" t="s">
        <v>808</v>
      </c>
      <c r="E37" s="20" t="s">
        <v>1610</v>
      </c>
      <c r="F37" s="20" t="s">
        <v>1611</v>
      </c>
      <c r="G37" s="21">
        <v>18.8</v>
      </c>
      <c r="H37" s="16">
        <v>24</v>
      </c>
      <c r="I37" s="16">
        <v>1</v>
      </c>
      <c r="J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37" s="22"/>
      <c r="L37" s="23"/>
      <c r="M37" s="23">
        <f>SUM(Tabela174681012142230322681619252731333624210121416182426283038402481012141620222628303234362426810121424610122426244262628262681026286236[[#This Row],[Saldo no cartão]:[Recarga Pendente]])</f>
        <v>0</v>
      </c>
      <c r="N37" s="19">
        <f>Tabela174681012142230322681619252731333624210121416182426283038402481012141620222628303234362426810121424610122426244262628262681026286236[[#This Row],[Uso diário]]*2</f>
        <v>37.6</v>
      </c>
      <c r="O37" s="19">
        <f>Tabela174681012142230322681619252731333624210121416182426283038402481012141620222628303234362426810121424610122426244262628262681026286236[[#This Row],[Total Acumulado]]-P37</f>
        <v>-94</v>
      </c>
      <c r="P37" s="48">
        <f>Tabela174681012142230322681619252731333624210121416182426283038402481012141620222628303234362426810121424610122426244262628262681026286236[[#This Row],[Uso diário]]*5</f>
        <v>94</v>
      </c>
      <c r="Q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" s="25">
        <v>1</v>
      </c>
    </row>
    <row r="38" spans="1:20" s="26" customFormat="1" x14ac:dyDescent="0.25">
      <c r="A38" s="16">
        <v>223699</v>
      </c>
      <c r="B38" s="30" t="s">
        <v>53</v>
      </c>
      <c r="C38" s="20" t="s">
        <v>625</v>
      </c>
      <c r="D38" s="20" t="s">
        <v>676</v>
      </c>
      <c r="E38" s="20" t="s">
        <v>1612</v>
      </c>
      <c r="F38" s="20" t="s">
        <v>1613</v>
      </c>
      <c r="G38" s="21">
        <v>18.8</v>
      </c>
      <c r="H38" s="16">
        <v>24</v>
      </c>
      <c r="I38" s="16"/>
      <c r="J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38" s="22"/>
      <c r="L38" s="23"/>
      <c r="M38" s="23">
        <f>SUM(Tabela174681012142230322681619252731333624210121416182426283038402481012141620222628303234362426810121424610122426244262628262681026286236[[#This Row],[Saldo no cartão]:[Recarga Pendente]])</f>
        <v>0</v>
      </c>
      <c r="N38" s="19">
        <f>Tabela174681012142230322681619252731333624210121416182426283038402481012141620222628303234362426810121424610122426244262628262681026286236[[#This Row],[Uso diário]]*2</f>
        <v>37.6</v>
      </c>
      <c r="O38" s="19">
        <f>Tabela174681012142230322681619252731333624210121416182426283038402481012141620222628303234362426810121424610122426244262628262681026286236[[#This Row],[Total Acumulado]]-P38</f>
        <v>-94</v>
      </c>
      <c r="P38" s="48">
        <f>Tabela174681012142230322681619252731333624210121416182426283038402481012141620222628303234362426810121424610122426244262628262681026286236[[#This Row],[Uso diário]]*5</f>
        <v>94</v>
      </c>
      <c r="Q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" s="25">
        <v>1</v>
      </c>
    </row>
    <row r="39" spans="1:20" s="26" customFormat="1" x14ac:dyDescent="0.25">
      <c r="A39" s="16">
        <v>224577</v>
      </c>
      <c r="B39" s="30" t="s">
        <v>55</v>
      </c>
      <c r="C39" s="20" t="s">
        <v>625</v>
      </c>
      <c r="D39" s="20" t="s">
        <v>676</v>
      </c>
      <c r="E39" s="20" t="s">
        <v>1614</v>
      </c>
      <c r="F39" s="20" t="s">
        <v>1615</v>
      </c>
      <c r="G39" s="21">
        <v>18.8</v>
      </c>
      <c r="H39" s="16">
        <v>24</v>
      </c>
      <c r="I39" s="16">
        <v>2</v>
      </c>
      <c r="J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39" s="22"/>
      <c r="L39" s="23">
        <v>18.8</v>
      </c>
      <c r="M39" s="23">
        <f>SUM(Tabela174681012142230322681619252731333624210121416182426283038402481012141620222628303234362426810121424610122426244262628262681026286236[[#This Row],[Saldo no cartão]:[Recarga Pendente]])</f>
        <v>18.8</v>
      </c>
      <c r="N39" s="19">
        <f>Tabela174681012142230322681619252731333624210121416182426283038402481012141620222628303234362426810121424610122426244262628262681026286236[[#This Row],[Uso diário]]*2</f>
        <v>37.6</v>
      </c>
      <c r="O39" s="19">
        <f>Tabela174681012142230322681619252731333624210121416182426283038402481012141620222628303234362426810121424610122426244262628262681026286236[[#This Row],[Total Acumulado]]-P39</f>
        <v>-75.2</v>
      </c>
      <c r="P39" s="48">
        <f>Tabela174681012142230322681619252731333624210121416182426283038402481012141620222628303234362426810121424610122426244262628262681026286236[[#This Row],[Uso diário]]*5</f>
        <v>94</v>
      </c>
      <c r="Q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" s="25">
        <v>1</v>
      </c>
    </row>
    <row r="40" spans="1:20" s="26" customFormat="1" x14ac:dyDescent="0.25">
      <c r="A40" s="16">
        <v>224889</v>
      </c>
      <c r="B40" s="30" t="s">
        <v>56</v>
      </c>
      <c r="C40" s="20" t="s">
        <v>625</v>
      </c>
      <c r="D40" s="20" t="s">
        <v>677</v>
      </c>
      <c r="E40" s="20" t="s">
        <v>1616</v>
      </c>
      <c r="F40" s="20" t="s">
        <v>1617</v>
      </c>
      <c r="G40" s="21">
        <v>18.8</v>
      </c>
      <c r="H40" s="16">
        <v>22</v>
      </c>
      <c r="I40" s="16"/>
      <c r="J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0" s="22"/>
      <c r="L40" s="23"/>
      <c r="M40" s="23">
        <f>SUM(Tabela174681012142230322681619252731333624210121416182426283038402481012141620222628303234362426810121424610122426244262628262681026286236[[#This Row],[Saldo no cartão]:[Recarga Pendente]])</f>
        <v>0</v>
      </c>
      <c r="N40" s="19">
        <f>Tabela174681012142230322681619252731333624210121416182426283038402481012141620222628303234362426810121424610122426244262628262681026286236[[#This Row],[Uso diário]]*2</f>
        <v>37.6</v>
      </c>
      <c r="O40" s="19">
        <f>Tabela174681012142230322681619252731333624210121416182426283038402481012141620222628303234362426810121424610122426244262628262681026286236[[#This Row],[Total Acumulado]]-P40</f>
        <v>-94</v>
      </c>
      <c r="P40" s="48">
        <f>Tabela174681012142230322681619252731333624210121416182426283038402481012141620222628303234362426810121424610122426244262628262681026286236[[#This Row],[Uso diário]]*5</f>
        <v>94</v>
      </c>
      <c r="Q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" s="25">
        <v>1</v>
      </c>
    </row>
    <row r="41" spans="1:20" s="26" customFormat="1" x14ac:dyDescent="0.25">
      <c r="A41" s="16">
        <v>224980</v>
      </c>
      <c r="B41" s="30" t="s">
        <v>57</v>
      </c>
      <c r="C41" s="20" t="s">
        <v>625</v>
      </c>
      <c r="D41" s="20" t="s">
        <v>677</v>
      </c>
      <c r="E41" s="20" t="s">
        <v>1618</v>
      </c>
      <c r="F41" s="20" t="s">
        <v>1619</v>
      </c>
      <c r="G41" s="21">
        <v>18.8</v>
      </c>
      <c r="H41" s="16">
        <v>24</v>
      </c>
      <c r="I41" s="16"/>
      <c r="J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41" s="22"/>
      <c r="L41" s="23">
        <v>18.8</v>
      </c>
      <c r="M41" s="23">
        <f>SUM(Tabela174681012142230322681619252731333624210121416182426283038402481012141620222628303234362426810121424610122426244262628262681026286236[[#This Row],[Saldo no cartão]:[Recarga Pendente]])</f>
        <v>18.8</v>
      </c>
      <c r="N41" s="19">
        <f>Tabela174681012142230322681619252731333624210121416182426283038402481012141620222628303234362426810121424610122426244262628262681026286236[[#This Row],[Uso diário]]*2</f>
        <v>37.6</v>
      </c>
      <c r="O41" s="19">
        <f>Tabela174681012142230322681619252731333624210121416182426283038402481012141620222628303234362426810121424610122426244262628262681026286236[[#This Row],[Total Acumulado]]-P41</f>
        <v>-75.2</v>
      </c>
      <c r="P41" s="48">
        <f>Tabela174681012142230322681619252731333624210121416182426283038402481012141620222628303234362426810121424610122426244262628262681026286236[[#This Row],[Uso diário]]*5</f>
        <v>94</v>
      </c>
      <c r="Q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" s="25">
        <v>1</v>
      </c>
    </row>
    <row r="42" spans="1:20" s="26" customFormat="1" x14ac:dyDescent="0.25">
      <c r="A42" s="16">
        <v>225864</v>
      </c>
      <c r="B42" s="30" t="s">
        <v>1133</v>
      </c>
      <c r="C42" s="20" t="s">
        <v>625</v>
      </c>
      <c r="D42" s="20" t="s">
        <v>677</v>
      </c>
      <c r="E42" s="20" t="s">
        <v>1620</v>
      </c>
      <c r="F42" s="20" t="s">
        <v>1621</v>
      </c>
      <c r="G42" s="21">
        <v>18.8</v>
      </c>
      <c r="H42" s="16">
        <v>24</v>
      </c>
      <c r="I42" s="16">
        <v>1</v>
      </c>
      <c r="J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42" s="22"/>
      <c r="L42" s="23">
        <v>18.8</v>
      </c>
      <c r="M42" s="23">
        <f>SUM(Tabela174681012142230322681619252731333624210121416182426283038402481012141620222628303234362426810121424610122426244262628262681026286236[[#This Row],[Saldo no cartão]:[Recarga Pendente]])</f>
        <v>18.8</v>
      </c>
      <c r="N42" s="19">
        <f>Tabela174681012142230322681619252731333624210121416182426283038402481012141620222628303234362426810121424610122426244262628262681026286236[[#This Row],[Uso diário]]*2</f>
        <v>37.6</v>
      </c>
      <c r="O42" s="19">
        <f>Tabela174681012142230322681619252731333624210121416182426283038402481012141620222628303234362426810121424610122426244262628262681026286236[[#This Row],[Total Acumulado]]-P42</f>
        <v>-75.2</v>
      </c>
      <c r="P42" s="48">
        <f>Tabela174681012142230322681619252731333624210121416182426283038402481012141620222628303234362426810121424610122426244262628262681026286236[[#This Row],[Uso diário]]*5</f>
        <v>94</v>
      </c>
      <c r="Q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" s="25">
        <v>1</v>
      </c>
    </row>
    <row r="43" spans="1:20" s="26" customFormat="1" x14ac:dyDescent="0.25">
      <c r="A43" s="16">
        <v>226871</v>
      </c>
      <c r="B43" s="30" t="s">
        <v>58</v>
      </c>
      <c r="C43" s="20" t="s">
        <v>625</v>
      </c>
      <c r="D43" s="20" t="s">
        <v>677</v>
      </c>
      <c r="E43" s="20" t="s">
        <v>1622</v>
      </c>
      <c r="F43" s="20" t="s">
        <v>1623</v>
      </c>
      <c r="G43" s="21">
        <v>18.8</v>
      </c>
      <c r="H43" s="16">
        <v>22</v>
      </c>
      <c r="I43" s="16">
        <v>1</v>
      </c>
      <c r="J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43" s="22"/>
      <c r="L43" s="23">
        <v>110.6</v>
      </c>
      <c r="M43" s="23">
        <f>SUM(Tabela174681012142230322681619252731333624210121416182426283038402481012141620222628303234362426810121424610122426244262628262681026286236[[#This Row],[Saldo no cartão]:[Recarga Pendente]])</f>
        <v>110.6</v>
      </c>
      <c r="N43" s="19">
        <f>Tabela174681012142230322681619252731333624210121416182426283038402481012141620222628303234362426810121424610122426244262628262681026286236[[#This Row],[Uso diário]]*2</f>
        <v>37.6</v>
      </c>
      <c r="O43" s="19">
        <f>Tabela174681012142230322681619252731333624210121416182426283038402481012141620222628303234362426810121424610122426244262628262681026286236[[#This Row],[Total Acumulado]]-P43</f>
        <v>16.599999999999994</v>
      </c>
      <c r="P43" s="48">
        <f>Tabela174681012142230322681619252731333624210121416182426283038402481012141620222628303234362426810121424610122426244262628262681026286236[[#This Row],[Uso diário]]*5</f>
        <v>94</v>
      </c>
      <c r="Q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" s="25">
        <v>1</v>
      </c>
    </row>
    <row r="44" spans="1:20" s="26" customFormat="1" x14ac:dyDescent="0.25">
      <c r="A44" s="16">
        <v>228926</v>
      </c>
      <c r="B44" s="30" t="s">
        <v>59</v>
      </c>
      <c r="C44" s="20" t="s">
        <v>625</v>
      </c>
      <c r="D44" s="20" t="s">
        <v>676</v>
      </c>
      <c r="E44" s="20" t="s">
        <v>1624</v>
      </c>
      <c r="F44" s="20" t="s">
        <v>1625</v>
      </c>
      <c r="G44" s="21">
        <v>18.8</v>
      </c>
      <c r="H44" s="16">
        <v>24</v>
      </c>
      <c r="I44" s="16">
        <v>2</v>
      </c>
      <c r="J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4" s="22"/>
      <c r="L44" s="23"/>
      <c r="M44" s="23">
        <f>SUM(Tabela174681012142230322681619252731333624210121416182426283038402481012141620222628303234362426810121424610122426244262628262681026286236[[#This Row],[Saldo no cartão]:[Recarga Pendente]])</f>
        <v>0</v>
      </c>
      <c r="N44" s="19">
        <f>Tabela174681012142230322681619252731333624210121416182426283038402481012141620222628303234362426810121424610122426244262628262681026286236[[#This Row],[Uso diário]]*2</f>
        <v>37.6</v>
      </c>
      <c r="O44" s="19">
        <f>Tabela174681012142230322681619252731333624210121416182426283038402481012141620222628303234362426810121424610122426244262628262681026286236[[#This Row],[Total Acumulado]]-P44</f>
        <v>-94</v>
      </c>
      <c r="P44" s="48">
        <f>Tabela174681012142230322681619252731333624210121416182426283038402481012141620222628303234362426810121424610122426244262628262681026286236[[#This Row],[Uso diário]]*5</f>
        <v>94</v>
      </c>
      <c r="Q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" s="25">
        <v>1</v>
      </c>
    </row>
    <row r="45" spans="1:20" s="26" customFormat="1" x14ac:dyDescent="0.25">
      <c r="A45" s="16">
        <v>229458</v>
      </c>
      <c r="B45" s="30" t="s">
        <v>129</v>
      </c>
      <c r="C45" s="20" t="s">
        <v>625</v>
      </c>
      <c r="D45" s="20" t="s">
        <v>677</v>
      </c>
      <c r="E45" s="20" t="s">
        <v>1626</v>
      </c>
      <c r="F45" s="20" t="s">
        <v>1627</v>
      </c>
      <c r="G45" s="21">
        <v>18.8</v>
      </c>
      <c r="H45" s="16">
        <v>22</v>
      </c>
      <c r="I45" s="16">
        <v>3</v>
      </c>
      <c r="J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45" s="22"/>
      <c r="L45" s="23"/>
      <c r="M45" s="23">
        <f>SUM(Tabela174681012142230322681619252731333624210121416182426283038402481012141620222628303234362426810121424610122426244262628262681026286236[[#This Row],[Saldo no cartão]:[Recarga Pendente]])</f>
        <v>0</v>
      </c>
      <c r="N45" s="19">
        <f>Tabela174681012142230322681619252731333624210121416182426283038402481012141620222628303234362426810121424610122426244262628262681026286236[[#This Row],[Uso diário]]*2</f>
        <v>37.6</v>
      </c>
      <c r="O45" s="19">
        <f>Tabela174681012142230322681619252731333624210121416182426283038402481012141620222628303234362426810121424610122426244262628262681026286236[[#This Row],[Total Acumulado]]-P45</f>
        <v>-94</v>
      </c>
      <c r="P45" s="48">
        <f>Tabela174681012142230322681619252731333624210121416182426283038402481012141620222628303234362426810121424610122426244262628262681026286236[[#This Row],[Uso diário]]*5</f>
        <v>94</v>
      </c>
      <c r="Q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" s="25">
        <v>1</v>
      </c>
    </row>
    <row r="46" spans="1:20" s="26" customFormat="1" x14ac:dyDescent="0.25">
      <c r="A46" s="16">
        <v>231204</v>
      </c>
      <c r="B46" s="30" t="s">
        <v>764</v>
      </c>
      <c r="C46" s="20" t="s">
        <v>625</v>
      </c>
      <c r="D46" s="20" t="s">
        <v>677</v>
      </c>
      <c r="E46" s="20" t="s">
        <v>1628</v>
      </c>
      <c r="F46" s="20" t="s">
        <v>1629</v>
      </c>
      <c r="G46" s="21">
        <v>18.8</v>
      </c>
      <c r="H46" s="16">
        <v>24</v>
      </c>
      <c r="I46" s="16"/>
      <c r="J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46" s="22"/>
      <c r="L46" s="23"/>
      <c r="M46" s="23">
        <f>SUM(Tabela174681012142230322681619252731333624210121416182426283038402481012141620222628303234362426810121424610122426244262628262681026286236[[#This Row],[Saldo no cartão]:[Recarga Pendente]])</f>
        <v>0</v>
      </c>
      <c r="N46" s="19">
        <f>Tabela174681012142230322681619252731333624210121416182426283038402481012141620222628303234362426810121424610122426244262628262681026286236[[#This Row],[Uso diário]]*2</f>
        <v>37.6</v>
      </c>
      <c r="O46" s="19">
        <f>Tabela174681012142230322681619252731333624210121416182426283038402481012141620222628303234362426810121424610122426244262628262681026286236[[#This Row],[Total Acumulado]]-P46</f>
        <v>-94</v>
      </c>
      <c r="P46" s="48">
        <f>Tabela174681012142230322681619252731333624210121416182426283038402481012141620222628303234362426810121424610122426244262628262681026286236[[#This Row],[Uso diário]]*5</f>
        <v>94</v>
      </c>
      <c r="Q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" s="25">
        <v>1</v>
      </c>
    </row>
    <row r="47" spans="1:20" s="26" customFormat="1" x14ac:dyDescent="0.25">
      <c r="A47" s="16">
        <v>231317</v>
      </c>
      <c r="B47" s="30" t="s">
        <v>783</v>
      </c>
      <c r="C47" s="20" t="s">
        <v>625</v>
      </c>
      <c r="D47" s="20" t="s">
        <v>677</v>
      </c>
      <c r="E47" s="20" t="s">
        <v>1630</v>
      </c>
      <c r="F47" s="20" t="s">
        <v>1631</v>
      </c>
      <c r="G47" s="21">
        <v>18.8</v>
      </c>
      <c r="H47" s="16">
        <v>16</v>
      </c>
      <c r="I47" s="16">
        <v>8</v>
      </c>
      <c r="J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150.4</v>
      </c>
      <c r="K47" s="22"/>
      <c r="L47" s="23"/>
      <c r="M47" s="23">
        <f>SUM(Tabela174681012142230322681619252731333624210121416182426283038402481012141620222628303234362426810121424610122426244262628262681026286236[[#This Row],[Saldo no cartão]:[Recarga Pendente]])</f>
        <v>0</v>
      </c>
      <c r="N47" s="19">
        <f>Tabela174681012142230322681619252731333624210121416182426283038402481012141620222628303234362426810121424610122426244262628262681026286236[[#This Row],[Uso diário]]*2</f>
        <v>37.6</v>
      </c>
      <c r="O47" s="19">
        <f>Tabela174681012142230322681619252731333624210121416182426283038402481012141620222628303234362426810121424610122426244262628262681026286236[[#This Row],[Total Acumulado]]-P47</f>
        <v>-94</v>
      </c>
      <c r="P47" s="48">
        <f>Tabela174681012142230322681619252731333624210121416182426283038402481012141620222628303234362426810121424610122426244262628262681026286236[[#This Row],[Uso diário]]*5</f>
        <v>94</v>
      </c>
      <c r="Q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150.4</v>
      </c>
      <c r="S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" s="25">
        <v>1</v>
      </c>
    </row>
    <row r="48" spans="1:20" s="26" customFormat="1" x14ac:dyDescent="0.25">
      <c r="A48" s="16">
        <v>232037</v>
      </c>
      <c r="B48" s="30" t="s">
        <v>815</v>
      </c>
      <c r="C48" s="20" t="s">
        <v>625</v>
      </c>
      <c r="D48" s="20" t="s">
        <v>677</v>
      </c>
      <c r="E48" s="20" t="s">
        <v>1632</v>
      </c>
      <c r="F48" s="20" t="s">
        <v>1633</v>
      </c>
      <c r="G48" s="21">
        <v>18.8</v>
      </c>
      <c r="H48" s="16">
        <v>24</v>
      </c>
      <c r="I48" s="16">
        <v>2</v>
      </c>
      <c r="J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8" s="22"/>
      <c r="L48" s="23"/>
      <c r="M48" s="23">
        <f>SUM(Tabela174681012142230322681619252731333624210121416182426283038402481012141620222628303234362426810121424610122426244262628262681026286236[[#This Row],[Saldo no cartão]:[Recarga Pendente]])</f>
        <v>0</v>
      </c>
      <c r="N48" s="19">
        <f>Tabela174681012142230322681619252731333624210121416182426283038402481012141620222628303234362426810121424610122426244262628262681026286236[[#This Row],[Uso diário]]*2</f>
        <v>37.6</v>
      </c>
      <c r="O48" s="19">
        <f>Tabela174681012142230322681619252731333624210121416182426283038402481012141620222628303234362426810121424610122426244262628262681026286236[[#This Row],[Total Acumulado]]-P48</f>
        <v>-94</v>
      </c>
      <c r="P48" s="48">
        <f>Tabela174681012142230322681619252731333624210121416182426283038402481012141620222628303234362426810121424610122426244262628262681026286236[[#This Row],[Uso diário]]*5</f>
        <v>94</v>
      </c>
      <c r="Q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" s="25">
        <v>1</v>
      </c>
    </row>
    <row r="49" spans="1:20" s="26" customFormat="1" x14ac:dyDescent="0.25">
      <c r="A49" s="16">
        <v>232315</v>
      </c>
      <c r="B49" s="30" t="s">
        <v>883</v>
      </c>
      <c r="C49" s="20" t="s">
        <v>625</v>
      </c>
      <c r="D49" s="20" t="s">
        <v>677</v>
      </c>
      <c r="E49" s="20" t="s">
        <v>1634</v>
      </c>
      <c r="F49" s="20" t="s">
        <v>1635</v>
      </c>
      <c r="G49" s="21">
        <v>10</v>
      </c>
      <c r="H49" s="16">
        <v>24</v>
      </c>
      <c r="I49" s="16"/>
      <c r="J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240</v>
      </c>
      <c r="K49" s="22"/>
      <c r="L49" s="23"/>
      <c r="M49" s="23">
        <f>SUM(Tabela174681012142230322681619252731333624210121416182426283038402481012141620222628303234362426810121424610122426244262628262681026286236[[#This Row],[Saldo no cartão]:[Recarga Pendente]])</f>
        <v>0</v>
      </c>
      <c r="N49" s="19">
        <f>Tabela174681012142230322681619252731333624210121416182426283038402481012141620222628303234362426810121424610122426244262628262681026286236[[#This Row],[Uso diário]]*2</f>
        <v>20</v>
      </c>
      <c r="O49" s="19">
        <f>Tabela174681012142230322681619252731333624210121416182426283038402481012141620222628303234362426810121424610122426244262628262681026286236[[#This Row],[Total Acumulado]]-P49</f>
        <v>-50</v>
      </c>
      <c r="P49" s="48">
        <f>Tabela174681012142230322681619252731333624210121416182426283038402481012141620222628303234362426810121424610122426244262628262681026286236[[#This Row],[Uso diário]]*5</f>
        <v>50</v>
      </c>
      <c r="Q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240</v>
      </c>
      <c r="S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" s="25">
        <v>1</v>
      </c>
    </row>
    <row r="50" spans="1:20" s="26" customFormat="1" x14ac:dyDescent="0.25">
      <c r="A50" s="16">
        <v>234366</v>
      </c>
      <c r="B50" s="30" t="s">
        <v>1273</v>
      </c>
      <c r="C50" s="20" t="s">
        <v>625</v>
      </c>
      <c r="D50" s="20" t="s">
        <v>677</v>
      </c>
      <c r="E50" s="20" t="s">
        <v>1636</v>
      </c>
      <c r="F50" s="20" t="s">
        <v>1637</v>
      </c>
      <c r="G50" s="21">
        <v>18.8</v>
      </c>
      <c r="H50" s="16">
        <v>24</v>
      </c>
      <c r="I50" s="16">
        <v>2</v>
      </c>
      <c r="J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0" s="22"/>
      <c r="L50" s="23"/>
      <c r="M50" s="23">
        <f>SUM(Tabela174681012142230322681619252731333624210121416182426283038402481012141620222628303234362426810121424610122426244262628262681026286236[[#This Row],[Saldo no cartão]:[Recarga Pendente]])</f>
        <v>0</v>
      </c>
      <c r="N50" s="19">
        <f>Tabela174681012142230322681619252731333624210121416182426283038402481012141620222628303234362426810121424610122426244262628262681026286236[[#This Row],[Uso diário]]*2</f>
        <v>37.6</v>
      </c>
      <c r="O50" s="19">
        <f>Tabela174681012142230322681619252731333624210121416182426283038402481012141620222628303234362426810121424610122426244262628262681026286236[[#This Row],[Total Acumulado]]-P50</f>
        <v>-94</v>
      </c>
      <c r="P50" s="48">
        <f>Tabela174681012142230322681619252731333624210121416182426283038402481012141620222628303234362426810121424610122426244262628262681026286236[[#This Row],[Uso diário]]*5</f>
        <v>94</v>
      </c>
      <c r="Q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" s="25">
        <v>1</v>
      </c>
    </row>
    <row r="51" spans="1:20" s="26" customFormat="1" x14ac:dyDescent="0.25">
      <c r="A51" s="16">
        <v>225352</v>
      </c>
      <c r="B51" s="30" t="s">
        <v>80</v>
      </c>
      <c r="C51" s="20" t="s">
        <v>626</v>
      </c>
      <c r="D51" s="20" t="s">
        <v>678</v>
      </c>
      <c r="E51" s="20" t="s">
        <v>1638</v>
      </c>
      <c r="F51" s="20" t="s">
        <v>1639</v>
      </c>
      <c r="G51" s="21">
        <v>10</v>
      </c>
      <c r="H51" s="16">
        <v>22</v>
      </c>
      <c r="I51" s="16"/>
      <c r="J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51" s="22"/>
      <c r="L51" s="23"/>
      <c r="M51" s="23">
        <f>SUM(Tabela174681012142230322681619252731333624210121416182426283038402481012141620222628303234362426810121424610122426244262628262681026286236[[#This Row],[Saldo no cartão]:[Recarga Pendente]])</f>
        <v>0</v>
      </c>
      <c r="N51" s="19">
        <f>Tabela174681012142230322681619252731333624210121416182426283038402481012141620222628303234362426810121424610122426244262628262681026286236[[#This Row],[Uso diário]]*2</f>
        <v>20</v>
      </c>
      <c r="O51" s="19">
        <f>Tabela174681012142230322681619252731333624210121416182426283038402481012141620222628303234362426810121424610122426244262628262681026286236[[#This Row],[Total Acumulado]]-P51</f>
        <v>-50</v>
      </c>
      <c r="P51" s="48">
        <f>Tabela174681012142230322681619252731333624210121416182426283038402481012141620222628303234362426810121424610122426244262628262681026286236[[#This Row],[Uso diário]]*5</f>
        <v>50</v>
      </c>
      <c r="Q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" s="25">
        <v>1</v>
      </c>
    </row>
    <row r="52" spans="1:20" s="26" customFormat="1" x14ac:dyDescent="0.25">
      <c r="A52" s="16">
        <v>211071</v>
      </c>
      <c r="B52" s="30" t="s">
        <v>1026</v>
      </c>
      <c r="C52" s="20" t="s">
        <v>627</v>
      </c>
      <c r="D52" s="20" t="s">
        <v>679</v>
      </c>
      <c r="E52" s="20" t="s">
        <v>1640</v>
      </c>
      <c r="F52" s="20" t="s">
        <v>1641</v>
      </c>
      <c r="G52" s="21">
        <v>18.8</v>
      </c>
      <c r="H52" s="16">
        <v>26</v>
      </c>
      <c r="I52" s="16">
        <v>1</v>
      </c>
      <c r="J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52" s="22"/>
      <c r="L52" s="23"/>
      <c r="M52" s="23">
        <f>SUM(Tabela174681012142230322681619252731333624210121416182426283038402481012141620222628303234362426810121424610122426244262628262681026286236[[#This Row],[Saldo no cartão]:[Recarga Pendente]])</f>
        <v>0</v>
      </c>
      <c r="N52" s="19">
        <f>Tabela174681012142230322681619252731333624210121416182426283038402481012141620222628303234362426810121424610122426244262628262681026286236[[#This Row],[Uso diário]]*2</f>
        <v>37.6</v>
      </c>
      <c r="O52" s="19">
        <f>Tabela174681012142230322681619252731333624210121416182426283038402481012141620222628303234362426810121424610122426244262628262681026286236[[#This Row],[Total Acumulado]]-P52</f>
        <v>-94</v>
      </c>
      <c r="P52" s="48">
        <f>Tabela174681012142230322681619252731333624210121416182426283038402481012141620222628303234362426810121424610122426244262628262681026286236[[#This Row],[Uso diário]]*5</f>
        <v>94</v>
      </c>
      <c r="Q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" s="25">
        <v>1</v>
      </c>
    </row>
    <row r="53" spans="1:20" s="26" customFormat="1" x14ac:dyDescent="0.25">
      <c r="A53" s="16">
        <v>224863</v>
      </c>
      <c r="B53" s="30" t="s">
        <v>62</v>
      </c>
      <c r="C53" s="20" t="s">
        <v>627</v>
      </c>
      <c r="D53" s="20" t="s">
        <v>679</v>
      </c>
      <c r="E53" s="20" t="s">
        <v>1642</v>
      </c>
      <c r="F53" s="20" t="s">
        <v>1643</v>
      </c>
      <c r="G53" s="21">
        <v>18.8</v>
      </c>
      <c r="H53" s="16">
        <v>26</v>
      </c>
      <c r="I53" s="16"/>
      <c r="J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" s="22"/>
      <c r="L53" s="23"/>
      <c r="M53" s="23">
        <f>SUM(Tabela174681012142230322681619252731333624210121416182426283038402481012141620222628303234362426810121424610122426244262628262681026286236[[#This Row],[Saldo no cartão]:[Recarga Pendente]])</f>
        <v>0</v>
      </c>
      <c r="N53" s="19">
        <f>Tabela174681012142230322681619252731333624210121416182426283038402481012141620222628303234362426810121424610122426244262628262681026286236[[#This Row],[Uso diário]]*2</f>
        <v>37.6</v>
      </c>
      <c r="O53" s="19">
        <f>Tabela174681012142230322681619252731333624210121416182426283038402481012141620222628303234362426810121424610122426244262628262681026286236[[#This Row],[Total Acumulado]]-P53</f>
        <v>-94</v>
      </c>
      <c r="P53" s="48">
        <f>Tabela174681012142230322681619252731333624210121416182426283038402481012141620222628303234362426810121424610122426244262628262681026286236[[#This Row],[Uso diário]]*5</f>
        <v>94</v>
      </c>
      <c r="Q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" s="25">
        <v>1</v>
      </c>
    </row>
    <row r="54" spans="1:20" s="26" customFormat="1" x14ac:dyDescent="0.25">
      <c r="A54" s="16">
        <v>233451</v>
      </c>
      <c r="B54" s="30" t="s">
        <v>1042</v>
      </c>
      <c r="C54" s="20" t="s">
        <v>627</v>
      </c>
      <c r="D54" s="20" t="s">
        <v>679</v>
      </c>
      <c r="E54" s="20" t="s">
        <v>1644</v>
      </c>
      <c r="F54" s="20" t="s">
        <v>1645</v>
      </c>
      <c r="G54" s="21">
        <v>13.4</v>
      </c>
      <c r="H54" s="16">
        <v>26</v>
      </c>
      <c r="I54" s="16">
        <v>1</v>
      </c>
      <c r="J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54" s="22"/>
      <c r="L54" s="23"/>
      <c r="M54" s="23">
        <f>SUM(Tabela174681012142230322681619252731333624210121416182426283038402481012141620222628303234362426810121424610122426244262628262681026286236[[#This Row],[Saldo no cartão]:[Recarga Pendente]])</f>
        <v>0</v>
      </c>
      <c r="N54" s="19">
        <f>Tabela174681012142230322681619252731333624210121416182426283038402481012141620222628303234362426810121424610122426244262628262681026286236[[#This Row],[Uso diário]]*2</f>
        <v>26.8</v>
      </c>
      <c r="O54" s="19">
        <f>Tabela174681012142230322681619252731333624210121416182426283038402481012141620222628303234362426810121424610122426244262628262681026286236[[#This Row],[Total Acumulado]]-P54</f>
        <v>-67</v>
      </c>
      <c r="P54" s="48">
        <f>Tabela174681012142230322681619252731333624210121416182426283038402481012141620222628303234362426810121424610122426244262628262681026286236[[#This Row],[Uso diário]]*5</f>
        <v>67</v>
      </c>
      <c r="Q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" s="25">
        <v>1</v>
      </c>
    </row>
    <row r="55" spans="1:20" s="26" customFormat="1" x14ac:dyDescent="0.25">
      <c r="A55" s="16">
        <v>5286</v>
      </c>
      <c r="B55" s="30" t="s">
        <v>64</v>
      </c>
      <c r="C55" s="20" t="s">
        <v>628</v>
      </c>
      <c r="D55" s="20" t="s">
        <v>681</v>
      </c>
      <c r="E55" s="20" t="s">
        <v>1646</v>
      </c>
      <c r="F55" s="20" t="s">
        <v>1647</v>
      </c>
      <c r="G55" s="21">
        <v>18.8</v>
      </c>
      <c r="H55" s="16">
        <v>22</v>
      </c>
      <c r="I55" s="16">
        <v>2</v>
      </c>
      <c r="J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55" s="22"/>
      <c r="L55" s="23"/>
      <c r="M55" s="23">
        <f>SUM(Tabela174681012142230322681619252731333624210121416182426283038402481012141620222628303234362426810121424610122426244262628262681026286236[[#This Row],[Saldo no cartão]:[Recarga Pendente]])</f>
        <v>0</v>
      </c>
      <c r="N55" s="19">
        <f>Tabela174681012142230322681619252731333624210121416182426283038402481012141620222628303234362426810121424610122426244262628262681026286236[[#This Row],[Uso diário]]*2</f>
        <v>37.6</v>
      </c>
      <c r="O55" s="19">
        <f>Tabela174681012142230322681619252731333624210121416182426283038402481012141620222628303234362426810121424610122426244262628262681026286236[[#This Row],[Total Acumulado]]-P55</f>
        <v>-94</v>
      </c>
      <c r="P55" s="48">
        <f>Tabela174681012142230322681619252731333624210121416182426283038402481012141620222628303234362426810121424610122426244262628262681026286236[[#This Row],[Uso diário]]*5</f>
        <v>94</v>
      </c>
      <c r="Q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" s="25">
        <v>1</v>
      </c>
    </row>
    <row r="56" spans="1:20" s="26" customFormat="1" x14ac:dyDescent="0.25">
      <c r="A56" s="16">
        <v>213535</v>
      </c>
      <c r="B56" s="30" t="s">
        <v>1393</v>
      </c>
      <c r="C56" s="20" t="s">
        <v>628</v>
      </c>
      <c r="D56" s="20" t="s">
        <v>681</v>
      </c>
      <c r="E56" s="20" t="s">
        <v>1648</v>
      </c>
      <c r="F56" s="20" t="s">
        <v>1649</v>
      </c>
      <c r="G56" s="21">
        <v>18.8</v>
      </c>
      <c r="H56" s="16">
        <v>22</v>
      </c>
      <c r="I56" s="16"/>
      <c r="J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6" s="22"/>
      <c r="L56" s="23"/>
      <c r="M56" s="23">
        <f>SUM(Tabela174681012142230322681619252731333624210121416182426283038402481012141620222628303234362426810121424610122426244262628262681026286236[[#This Row],[Saldo no cartão]:[Recarga Pendente]])</f>
        <v>0</v>
      </c>
      <c r="N56" s="19">
        <f>Tabela174681012142230322681619252731333624210121416182426283038402481012141620222628303234362426810121424610122426244262628262681026286236[[#This Row],[Uso diário]]*2</f>
        <v>37.6</v>
      </c>
      <c r="O56" s="19">
        <f>Tabela174681012142230322681619252731333624210121416182426283038402481012141620222628303234362426810121424610122426244262628262681026286236[[#This Row],[Total Acumulado]]-P56</f>
        <v>-94</v>
      </c>
      <c r="P56" s="48">
        <f>Tabela174681012142230322681619252731333624210121416182426283038402481012141620222628303234362426810121424610122426244262628262681026286236[[#This Row],[Uso diário]]*5</f>
        <v>94</v>
      </c>
      <c r="Q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" s="25">
        <v>1</v>
      </c>
    </row>
    <row r="57" spans="1:20" s="26" customFormat="1" x14ac:dyDescent="0.25">
      <c r="A57" s="16">
        <v>213858</v>
      </c>
      <c r="B57" s="30" t="s">
        <v>65</v>
      </c>
      <c r="C57" s="20" t="s">
        <v>628</v>
      </c>
      <c r="D57" s="20" t="s">
        <v>680</v>
      </c>
      <c r="E57" s="20" t="s">
        <v>1650</v>
      </c>
      <c r="F57" s="20" t="s">
        <v>1651</v>
      </c>
      <c r="G57" s="21">
        <v>18.8</v>
      </c>
      <c r="H57" s="16">
        <v>22</v>
      </c>
      <c r="I57" s="16"/>
      <c r="J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7" s="22"/>
      <c r="L57" s="23"/>
      <c r="M57" s="23">
        <f>SUM(Tabela174681012142230322681619252731333624210121416182426283038402481012141620222628303234362426810121424610122426244262628262681026286236[[#This Row],[Saldo no cartão]:[Recarga Pendente]])</f>
        <v>0</v>
      </c>
      <c r="N57" s="19">
        <f>Tabela174681012142230322681619252731333624210121416182426283038402481012141620222628303234362426810121424610122426244262628262681026286236[[#This Row],[Uso diário]]*2</f>
        <v>37.6</v>
      </c>
      <c r="O57" s="19">
        <f>Tabela174681012142230322681619252731333624210121416182426283038402481012141620222628303234362426810121424610122426244262628262681026286236[[#This Row],[Total Acumulado]]-P57</f>
        <v>-94</v>
      </c>
      <c r="P57" s="48">
        <f>Tabela174681012142230322681619252731333624210121416182426283038402481012141620222628303234362426810121424610122426244262628262681026286236[[#This Row],[Uso diário]]*5</f>
        <v>94</v>
      </c>
      <c r="Q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" s="25">
        <v>1</v>
      </c>
    </row>
    <row r="58" spans="1:20" s="26" customFormat="1" x14ac:dyDescent="0.25">
      <c r="A58" s="16">
        <v>216259</v>
      </c>
      <c r="B58" s="30" t="s">
        <v>319</v>
      </c>
      <c r="C58" s="20" t="s">
        <v>628</v>
      </c>
      <c r="D58" s="20" t="s">
        <v>681</v>
      </c>
      <c r="E58" s="20" t="s">
        <v>1652</v>
      </c>
      <c r="F58" s="20" t="s">
        <v>1653</v>
      </c>
      <c r="G58" s="21">
        <v>10</v>
      </c>
      <c r="H58" s="16">
        <v>22</v>
      </c>
      <c r="I58" s="16"/>
      <c r="J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58" s="22"/>
      <c r="L58" s="23"/>
      <c r="M58" s="23">
        <f>SUM(Tabela174681012142230322681619252731333624210121416182426283038402481012141620222628303234362426810121424610122426244262628262681026286236[[#This Row],[Saldo no cartão]:[Recarga Pendente]])</f>
        <v>0</v>
      </c>
      <c r="N58" s="19">
        <f>Tabela174681012142230322681619252731333624210121416182426283038402481012141620222628303234362426810121424610122426244262628262681026286236[[#This Row],[Uso diário]]*2</f>
        <v>20</v>
      </c>
      <c r="O58" s="19">
        <f>Tabela174681012142230322681619252731333624210121416182426283038402481012141620222628303234362426810121424610122426244262628262681026286236[[#This Row],[Total Acumulado]]-P58</f>
        <v>-50</v>
      </c>
      <c r="P58" s="48">
        <f>Tabela174681012142230322681619252731333624210121416182426283038402481012141620222628303234362426810121424610122426244262628262681026286236[[#This Row],[Uso diário]]*5</f>
        <v>50</v>
      </c>
      <c r="Q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" s="25">
        <v>1</v>
      </c>
    </row>
    <row r="59" spans="1:20" s="26" customFormat="1" x14ac:dyDescent="0.25">
      <c r="A59" s="16">
        <v>216302</v>
      </c>
      <c r="B59" s="30" t="s">
        <v>392</v>
      </c>
      <c r="C59" s="20" t="s">
        <v>628</v>
      </c>
      <c r="D59" s="20" t="s">
        <v>681</v>
      </c>
      <c r="E59" s="20" t="s">
        <v>1654</v>
      </c>
      <c r="F59" s="20" t="s">
        <v>1655</v>
      </c>
      <c r="G59" s="21">
        <v>18.8</v>
      </c>
      <c r="H59" s="16">
        <v>22</v>
      </c>
      <c r="I59" s="16"/>
      <c r="J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9" s="22"/>
      <c r="L59" s="23"/>
      <c r="M59" s="23">
        <f>SUM(Tabela174681012142230322681619252731333624210121416182426283038402481012141620222628303234362426810121424610122426244262628262681026286236[[#This Row],[Saldo no cartão]:[Recarga Pendente]])</f>
        <v>0</v>
      </c>
      <c r="N59" s="19">
        <f>Tabela174681012142230322681619252731333624210121416182426283038402481012141620222628303234362426810121424610122426244262628262681026286236[[#This Row],[Uso diário]]*2</f>
        <v>37.6</v>
      </c>
      <c r="O59" s="19">
        <f>Tabela174681012142230322681619252731333624210121416182426283038402481012141620222628303234362426810121424610122426244262628262681026286236[[#This Row],[Total Acumulado]]-P59</f>
        <v>-94</v>
      </c>
      <c r="P59" s="48">
        <f>Tabela174681012142230322681619252731333624210121416182426283038402481012141620222628303234362426810121424610122426244262628262681026286236[[#This Row],[Uso diário]]*5</f>
        <v>94</v>
      </c>
      <c r="Q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" s="25">
        <v>1</v>
      </c>
    </row>
    <row r="60" spans="1:20" s="26" customFormat="1" x14ac:dyDescent="0.25">
      <c r="A60" s="16">
        <v>221475</v>
      </c>
      <c r="B60" s="30" t="s">
        <v>1394</v>
      </c>
      <c r="C60" s="20" t="s">
        <v>628</v>
      </c>
      <c r="D60" s="20" t="s">
        <v>681</v>
      </c>
      <c r="E60" s="20" t="s">
        <v>1656</v>
      </c>
      <c r="F60" s="20" t="s">
        <v>1657</v>
      </c>
      <c r="G60" s="21">
        <v>18.8</v>
      </c>
      <c r="H60" s="16">
        <v>22</v>
      </c>
      <c r="I60" s="16"/>
      <c r="J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0" s="22"/>
      <c r="L60" s="23"/>
      <c r="M60" s="23">
        <f>SUM(Tabela174681012142230322681619252731333624210121416182426283038402481012141620222628303234362426810121424610122426244262628262681026286236[[#This Row],[Saldo no cartão]:[Recarga Pendente]])</f>
        <v>0</v>
      </c>
      <c r="N60" s="19">
        <f>Tabela174681012142230322681619252731333624210121416182426283038402481012141620222628303234362426810121424610122426244262628262681026286236[[#This Row],[Uso diário]]*2</f>
        <v>37.6</v>
      </c>
      <c r="O60" s="19">
        <f>Tabela174681012142230322681619252731333624210121416182426283038402481012141620222628303234362426810121424610122426244262628262681026286236[[#This Row],[Total Acumulado]]-P60</f>
        <v>-94</v>
      </c>
      <c r="P60" s="48">
        <f>Tabela174681012142230322681619252731333624210121416182426283038402481012141620222628303234362426810121424610122426244262628262681026286236[[#This Row],[Uso diário]]*5</f>
        <v>94</v>
      </c>
      <c r="Q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" s="25">
        <v>1</v>
      </c>
    </row>
    <row r="61" spans="1:20" s="26" customFormat="1" x14ac:dyDescent="0.25">
      <c r="A61" s="16">
        <v>221585</v>
      </c>
      <c r="B61" s="30" t="s">
        <v>66</v>
      </c>
      <c r="C61" s="20" t="s">
        <v>628</v>
      </c>
      <c r="D61" s="20" t="s">
        <v>681</v>
      </c>
      <c r="E61" s="20" t="s">
        <v>1658</v>
      </c>
      <c r="F61" s="20" t="s">
        <v>1659</v>
      </c>
      <c r="G61" s="21">
        <v>18.8</v>
      </c>
      <c r="H61" s="16">
        <v>22</v>
      </c>
      <c r="I61" s="16">
        <v>1</v>
      </c>
      <c r="J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61" s="22"/>
      <c r="L61" s="23"/>
      <c r="M61" s="23">
        <f>SUM(Tabela174681012142230322681619252731333624210121416182426283038402481012141620222628303234362426810121424610122426244262628262681026286236[[#This Row],[Saldo no cartão]:[Recarga Pendente]])</f>
        <v>0</v>
      </c>
      <c r="N61" s="19">
        <f>Tabela174681012142230322681619252731333624210121416182426283038402481012141620222628303234362426810121424610122426244262628262681026286236[[#This Row],[Uso diário]]*2</f>
        <v>37.6</v>
      </c>
      <c r="O61" s="19">
        <f>Tabela174681012142230322681619252731333624210121416182426283038402481012141620222628303234362426810121424610122426244262628262681026286236[[#This Row],[Total Acumulado]]-P61</f>
        <v>-94</v>
      </c>
      <c r="P61" s="48">
        <f>Tabela174681012142230322681619252731333624210121416182426283038402481012141620222628303234362426810121424610122426244262628262681026286236[[#This Row],[Uso diário]]*5</f>
        <v>94</v>
      </c>
      <c r="Q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" s="25">
        <v>1</v>
      </c>
    </row>
    <row r="62" spans="1:20" s="26" customFormat="1" x14ac:dyDescent="0.25">
      <c r="A62" s="16">
        <v>223493</v>
      </c>
      <c r="B62" s="30" t="s">
        <v>1134</v>
      </c>
      <c r="C62" s="20" t="s">
        <v>628</v>
      </c>
      <c r="D62" s="20" t="s">
        <v>681</v>
      </c>
      <c r="E62" s="20" t="s">
        <v>1660</v>
      </c>
      <c r="F62" s="20" t="s">
        <v>1661</v>
      </c>
      <c r="G62" s="21">
        <v>18.8</v>
      </c>
      <c r="H62" s="16">
        <v>22</v>
      </c>
      <c r="I62" s="16"/>
      <c r="J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2" s="22"/>
      <c r="L62" s="23"/>
      <c r="M62" s="23">
        <f>SUM(Tabela174681012142230322681619252731333624210121416182426283038402481012141620222628303234362426810121424610122426244262628262681026286236[[#This Row],[Saldo no cartão]:[Recarga Pendente]])</f>
        <v>0</v>
      </c>
      <c r="N62" s="19">
        <f>Tabela174681012142230322681619252731333624210121416182426283038402481012141620222628303234362426810121424610122426244262628262681026286236[[#This Row],[Uso diário]]*2</f>
        <v>37.6</v>
      </c>
      <c r="O62" s="19">
        <f>Tabela174681012142230322681619252731333624210121416182426283038402481012141620222628303234362426810121424610122426244262628262681026286236[[#This Row],[Total Acumulado]]-P62</f>
        <v>-94</v>
      </c>
      <c r="P62" s="48">
        <f>Tabela174681012142230322681619252731333624210121416182426283038402481012141620222628303234362426810121424610122426244262628262681026286236[[#This Row],[Uso diário]]*5</f>
        <v>94</v>
      </c>
      <c r="Q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" s="25">
        <v>1</v>
      </c>
    </row>
    <row r="63" spans="1:20" s="26" customFormat="1" x14ac:dyDescent="0.25">
      <c r="A63" s="16">
        <v>224758</v>
      </c>
      <c r="B63" s="30" t="s">
        <v>1027</v>
      </c>
      <c r="C63" s="20" t="s">
        <v>628</v>
      </c>
      <c r="D63" s="20" t="s">
        <v>681</v>
      </c>
      <c r="E63" s="20" t="s">
        <v>1662</v>
      </c>
      <c r="F63" s="20" t="s">
        <v>1663</v>
      </c>
      <c r="G63" s="21">
        <v>10</v>
      </c>
      <c r="H63" s="16">
        <v>22</v>
      </c>
      <c r="I63" s="16"/>
      <c r="J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63" s="22"/>
      <c r="L63" s="23"/>
      <c r="M63" s="23">
        <f>SUM(Tabela174681012142230322681619252731333624210121416182426283038402481012141620222628303234362426810121424610122426244262628262681026286236[[#This Row],[Saldo no cartão]:[Recarga Pendente]])</f>
        <v>0</v>
      </c>
      <c r="N63" s="19">
        <f>Tabela174681012142230322681619252731333624210121416182426283038402481012141620222628303234362426810121424610122426244262628262681026286236[[#This Row],[Uso diário]]*2</f>
        <v>20</v>
      </c>
      <c r="O63" s="19">
        <f>Tabela174681012142230322681619252731333624210121416182426283038402481012141620222628303234362426810121424610122426244262628262681026286236[[#This Row],[Total Acumulado]]-P63</f>
        <v>-50</v>
      </c>
      <c r="P63" s="48">
        <f>Tabela174681012142230322681619252731333624210121416182426283038402481012141620222628303234362426810121424610122426244262628262681026286236[[#This Row],[Uso diário]]*5</f>
        <v>50</v>
      </c>
      <c r="Q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" s="25">
        <v>1</v>
      </c>
    </row>
    <row r="64" spans="1:20" s="26" customFormat="1" x14ac:dyDescent="0.25">
      <c r="A64" s="16">
        <v>218860</v>
      </c>
      <c r="B64" s="30" t="s">
        <v>1028</v>
      </c>
      <c r="C64" s="20" t="s">
        <v>629</v>
      </c>
      <c r="D64" s="20" t="s">
        <v>1125</v>
      </c>
      <c r="E64" s="20" t="s">
        <v>1664</v>
      </c>
      <c r="F64" s="20" t="s">
        <v>1665</v>
      </c>
      <c r="G64" s="21">
        <v>18.8</v>
      </c>
      <c r="H64" s="16">
        <v>26</v>
      </c>
      <c r="I64" s="16">
        <v>1</v>
      </c>
      <c r="J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4" s="22"/>
      <c r="L64" s="23"/>
      <c r="M64" s="23">
        <f>SUM(Tabela174681012142230322681619252731333624210121416182426283038402481012141620222628303234362426810121424610122426244262628262681026286236[[#This Row],[Saldo no cartão]:[Recarga Pendente]])</f>
        <v>0</v>
      </c>
      <c r="N64" s="19">
        <f>Tabela174681012142230322681619252731333624210121416182426283038402481012141620222628303234362426810121424610122426244262628262681026286236[[#This Row],[Uso diário]]*2</f>
        <v>37.6</v>
      </c>
      <c r="O64" s="19">
        <f>Tabela174681012142230322681619252731333624210121416182426283038402481012141620222628303234362426810121424610122426244262628262681026286236[[#This Row],[Total Acumulado]]-P64</f>
        <v>-94</v>
      </c>
      <c r="P64" s="48">
        <f>Tabela174681012142230322681619252731333624210121416182426283038402481012141620222628303234362426810121424610122426244262628262681026286236[[#This Row],[Uso diário]]*5</f>
        <v>94</v>
      </c>
      <c r="Q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" s="25">
        <v>1</v>
      </c>
    </row>
    <row r="65" spans="1:20" s="26" customFormat="1" x14ac:dyDescent="0.25">
      <c r="A65" s="16">
        <v>219905</v>
      </c>
      <c r="B65" s="30" t="s">
        <v>68</v>
      </c>
      <c r="C65" s="20" t="s">
        <v>629</v>
      </c>
      <c r="D65" s="20" t="s">
        <v>925</v>
      </c>
      <c r="E65" s="20" t="s">
        <v>1666</v>
      </c>
      <c r="F65" s="20" t="s">
        <v>1667</v>
      </c>
      <c r="G65" s="21">
        <v>18.8</v>
      </c>
      <c r="H65" s="16">
        <v>22</v>
      </c>
      <c r="I65" s="16">
        <v>2</v>
      </c>
      <c r="J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65" s="22"/>
      <c r="L65" s="23"/>
      <c r="M65" s="23">
        <f>SUM(Tabela174681012142230322681619252731333624210121416182426283038402481012141620222628303234362426810121424610122426244262628262681026286236[[#This Row],[Saldo no cartão]:[Recarga Pendente]])</f>
        <v>0</v>
      </c>
      <c r="N65" s="19">
        <f>Tabela174681012142230322681619252731333624210121416182426283038402481012141620222628303234362426810121424610122426244262628262681026286236[[#This Row],[Uso diário]]*2</f>
        <v>37.6</v>
      </c>
      <c r="O65" s="19">
        <f>Tabela174681012142230322681619252731333624210121416182426283038402481012141620222628303234362426810121424610122426244262628262681026286236[[#This Row],[Total Acumulado]]-P65</f>
        <v>-94</v>
      </c>
      <c r="P65" s="48">
        <f>Tabela174681012142230322681619252731333624210121416182426283038402481012141620222628303234362426810121424610122426244262628262681026286236[[#This Row],[Uso diário]]*5</f>
        <v>94</v>
      </c>
      <c r="Q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" s="25">
        <v>1</v>
      </c>
    </row>
    <row r="66" spans="1:20" s="26" customFormat="1" x14ac:dyDescent="0.25">
      <c r="A66" s="16">
        <v>210024</v>
      </c>
      <c r="B66" s="30" t="s">
        <v>338</v>
      </c>
      <c r="C66" s="20" t="s">
        <v>630</v>
      </c>
      <c r="D66" s="20" t="s">
        <v>809</v>
      </c>
      <c r="E66" s="20" t="s">
        <v>1668</v>
      </c>
      <c r="F66" s="20" t="s">
        <v>1669</v>
      </c>
      <c r="G66" s="21">
        <v>10</v>
      </c>
      <c r="H66" s="16">
        <v>22</v>
      </c>
      <c r="I66" s="16"/>
      <c r="J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66" s="22"/>
      <c r="L66" s="23"/>
      <c r="M66" s="23">
        <f>SUM(Tabela174681012142230322681619252731333624210121416182426283038402481012141620222628303234362426810121424610122426244262628262681026286236[[#This Row],[Saldo no cartão]:[Recarga Pendente]])</f>
        <v>0</v>
      </c>
      <c r="N66" s="19">
        <f>Tabela174681012142230322681619252731333624210121416182426283038402481012141620222628303234362426810121424610122426244262628262681026286236[[#This Row],[Uso diário]]*2</f>
        <v>20</v>
      </c>
      <c r="O66" s="19">
        <f>Tabela174681012142230322681619252731333624210121416182426283038402481012141620222628303234362426810121424610122426244262628262681026286236[[#This Row],[Total Acumulado]]-P66</f>
        <v>-50</v>
      </c>
      <c r="P66" s="48">
        <f>Tabela174681012142230322681619252731333624210121416182426283038402481012141620222628303234362426810121424610122426244262628262681026286236[[#This Row],[Uso diário]]*5</f>
        <v>50</v>
      </c>
      <c r="Q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" s="25">
        <v>1</v>
      </c>
    </row>
    <row r="67" spans="1:20" s="26" customFormat="1" x14ac:dyDescent="0.25">
      <c r="A67" s="16">
        <v>211412</v>
      </c>
      <c r="B67" s="30" t="s">
        <v>1135</v>
      </c>
      <c r="C67" s="20" t="s">
        <v>630</v>
      </c>
      <c r="D67" s="20" t="s">
        <v>1261</v>
      </c>
      <c r="E67" s="20" t="s">
        <v>1670</v>
      </c>
      <c r="F67" s="20" t="s">
        <v>1671</v>
      </c>
      <c r="G67" s="21">
        <v>18.8</v>
      </c>
      <c r="H67" s="16">
        <v>22</v>
      </c>
      <c r="I67" s="16">
        <v>1</v>
      </c>
      <c r="J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67" s="22"/>
      <c r="L67" s="23"/>
      <c r="M67" s="23">
        <f>SUM(Tabela174681012142230322681619252731333624210121416182426283038402481012141620222628303234362426810121424610122426244262628262681026286236[[#This Row],[Saldo no cartão]:[Recarga Pendente]])</f>
        <v>0</v>
      </c>
      <c r="N67" s="19">
        <f>Tabela174681012142230322681619252731333624210121416182426283038402481012141620222628303234362426810121424610122426244262628262681026286236[[#This Row],[Uso diário]]*2</f>
        <v>37.6</v>
      </c>
      <c r="O67" s="19">
        <f>Tabela174681012142230322681619252731333624210121416182426283038402481012141620222628303234362426810121424610122426244262628262681026286236[[#This Row],[Total Acumulado]]-P67</f>
        <v>-94</v>
      </c>
      <c r="P67" s="48">
        <f>Tabela174681012142230322681619252731333624210121416182426283038402481012141620222628303234362426810121424610122426244262628262681026286236[[#This Row],[Uso diário]]*5</f>
        <v>94</v>
      </c>
      <c r="Q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" s="25">
        <v>1</v>
      </c>
    </row>
    <row r="68" spans="1:20" s="26" customFormat="1" x14ac:dyDescent="0.25">
      <c r="A68" s="16">
        <v>214315</v>
      </c>
      <c r="B68" s="30" t="s">
        <v>69</v>
      </c>
      <c r="C68" s="20" t="s">
        <v>630</v>
      </c>
      <c r="D68" s="20" t="s">
        <v>809</v>
      </c>
      <c r="E68" s="20" t="s">
        <v>1672</v>
      </c>
      <c r="F68" s="20" t="s">
        <v>1673</v>
      </c>
      <c r="G68" s="21">
        <v>18.8</v>
      </c>
      <c r="H68" s="16">
        <v>22</v>
      </c>
      <c r="I68" s="16"/>
      <c r="J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8" s="22"/>
      <c r="L68" s="23"/>
      <c r="M68" s="23">
        <f>SUM(Tabela174681012142230322681619252731333624210121416182426283038402481012141620222628303234362426810121424610122426244262628262681026286236[[#This Row],[Saldo no cartão]:[Recarga Pendente]])</f>
        <v>0</v>
      </c>
      <c r="N68" s="19">
        <f>Tabela174681012142230322681619252731333624210121416182426283038402481012141620222628303234362426810121424610122426244262628262681026286236[[#This Row],[Uso diário]]*2</f>
        <v>37.6</v>
      </c>
      <c r="O68" s="19">
        <f>Tabela174681012142230322681619252731333624210121416182426283038402481012141620222628303234362426810121424610122426244262628262681026286236[[#This Row],[Total Acumulado]]-P68</f>
        <v>-94</v>
      </c>
      <c r="P68" s="48">
        <f>Tabela174681012142230322681619252731333624210121416182426283038402481012141620222628303234362426810121424610122426244262628262681026286236[[#This Row],[Uso diário]]*5</f>
        <v>94</v>
      </c>
      <c r="Q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" s="25">
        <v>1</v>
      </c>
    </row>
    <row r="69" spans="1:20" s="26" customFormat="1" x14ac:dyDescent="0.25">
      <c r="A69" s="16">
        <v>218320</v>
      </c>
      <c r="B69" s="30" t="s">
        <v>70</v>
      </c>
      <c r="C69" s="20" t="s">
        <v>630</v>
      </c>
      <c r="D69" s="20" t="s">
        <v>683</v>
      </c>
      <c r="E69" s="20" t="e">
        <v>#N/A</v>
      </c>
      <c r="F69" s="20" t="e">
        <v>#N/A</v>
      </c>
      <c r="G69" s="21">
        <v>18.8</v>
      </c>
      <c r="H69" s="16">
        <v>22</v>
      </c>
      <c r="I69" s="16"/>
      <c r="J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9" s="22"/>
      <c r="L69" s="23"/>
      <c r="M69" s="23">
        <f>SUM(Tabela174681012142230322681619252731333624210121416182426283038402481012141620222628303234362426810121424610122426244262628262681026286236[[#This Row],[Saldo no cartão]:[Recarga Pendente]])</f>
        <v>0</v>
      </c>
      <c r="N69" s="19">
        <f>Tabela174681012142230322681619252731333624210121416182426283038402481012141620222628303234362426810121424610122426244262628262681026286236[[#This Row],[Uso diário]]*2</f>
        <v>37.6</v>
      </c>
      <c r="O69" s="19">
        <f>Tabela174681012142230322681619252731333624210121416182426283038402481012141620222628303234362426810121424610122426244262628262681026286236[[#This Row],[Total Acumulado]]-P69</f>
        <v>-94</v>
      </c>
      <c r="P69" s="48">
        <f>Tabela174681012142230322681619252731333624210121416182426283038402481012141620222628303234362426810121424610122426244262628262681026286236[[#This Row],[Uso diário]]*5</f>
        <v>94</v>
      </c>
      <c r="Q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" s="25">
        <v>1</v>
      </c>
    </row>
    <row r="70" spans="1:20" s="26" customFormat="1" x14ac:dyDescent="0.25">
      <c r="A70" s="16">
        <v>218391</v>
      </c>
      <c r="B70" s="30" t="s">
        <v>71</v>
      </c>
      <c r="C70" s="20" t="s">
        <v>630</v>
      </c>
      <c r="D70" s="20" t="s">
        <v>810</v>
      </c>
      <c r="E70" s="20" t="s">
        <v>1674</v>
      </c>
      <c r="F70" s="20" t="s">
        <v>1675</v>
      </c>
      <c r="G70" s="21">
        <v>18.8</v>
      </c>
      <c r="H70" s="16">
        <v>11</v>
      </c>
      <c r="I70" s="16"/>
      <c r="J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70" s="22"/>
      <c r="L70" s="23"/>
      <c r="M70" s="23">
        <f>SUM(Tabela174681012142230322681619252731333624210121416182426283038402481012141620222628303234362426810121424610122426244262628262681026286236[[#This Row],[Saldo no cartão]:[Recarga Pendente]])</f>
        <v>0</v>
      </c>
      <c r="N70" s="19">
        <f>Tabela174681012142230322681619252731333624210121416182426283038402481012141620222628303234362426810121424610122426244262628262681026286236[[#This Row],[Uso diário]]*2</f>
        <v>37.6</v>
      </c>
      <c r="O70" s="19">
        <f>Tabela174681012142230322681619252731333624210121416182426283038402481012141620222628303234362426810121424610122426244262628262681026286236[[#This Row],[Total Acumulado]]-P70</f>
        <v>-94</v>
      </c>
      <c r="P70" s="48">
        <f>Tabela174681012142230322681619252731333624210121416182426283038402481012141620222628303234362426810121424610122426244262628262681026286236[[#This Row],[Uso diário]]*5</f>
        <v>94</v>
      </c>
      <c r="Q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" s="25">
        <v>1</v>
      </c>
    </row>
    <row r="71" spans="1:20" s="26" customFormat="1" x14ac:dyDescent="0.25">
      <c r="A71" s="16">
        <v>222508</v>
      </c>
      <c r="B71" s="30" t="s">
        <v>72</v>
      </c>
      <c r="C71" s="20" t="s">
        <v>630</v>
      </c>
      <c r="D71" s="20" t="s">
        <v>810</v>
      </c>
      <c r="E71" s="20" t="s">
        <v>1676</v>
      </c>
      <c r="F71" s="20" t="s">
        <v>1677</v>
      </c>
      <c r="G71" s="21">
        <v>18.8</v>
      </c>
      <c r="H71" s="16">
        <v>22</v>
      </c>
      <c r="I71" s="16">
        <v>2</v>
      </c>
      <c r="J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71" s="22"/>
      <c r="L71" s="23"/>
      <c r="M71" s="23">
        <f>SUM(Tabela174681012142230322681619252731333624210121416182426283038402481012141620222628303234362426810121424610122426244262628262681026286236[[#This Row],[Saldo no cartão]:[Recarga Pendente]])</f>
        <v>0</v>
      </c>
      <c r="N71" s="19">
        <f>Tabela174681012142230322681619252731333624210121416182426283038402481012141620222628303234362426810121424610122426244262628262681026286236[[#This Row],[Uso diário]]*2</f>
        <v>37.6</v>
      </c>
      <c r="O71" s="19">
        <f>Tabela174681012142230322681619252731333624210121416182426283038402481012141620222628303234362426810121424610122426244262628262681026286236[[#This Row],[Total Acumulado]]-P71</f>
        <v>-94</v>
      </c>
      <c r="P71" s="48">
        <f>Tabela174681012142230322681619252731333624210121416182426283038402481012141620222628303234362426810121424610122426244262628262681026286236[[#This Row],[Uso diário]]*5</f>
        <v>94</v>
      </c>
      <c r="Q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" s="25">
        <v>1</v>
      </c>
    </row>
    <row r="72" spans="1:20" s="26" customFormat="1" x14ac:dyDescent="0.25">
      <c r="A72" s="16">
        <v>226793</v>
      </c>
      <c r="B72" s="30" t="s">
        <v>313</v>
      </c>
      <c r="C72" s="20" t="s">
        <v>630</v>
      </c>
      <c r="D72" s="20" t="s">
        <v>809</v>
      </c>
      <c r="E72" s="20" t="s">
        <v>1678</v>
      </c>
      <c r="F72" s="20" t="s">
        <v>1679</v>
      </c>
      <c r="G72" s="21">
        <v>18.8</v>
      </c>
      <c r="H72" s="16">
        <v>22</v>
      </c>
      <c r="I72" s="16"/>
      <c r="J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2" s="22"/>
      <c r="L72" s="23"/>
      <c r="M72" s="23">
        <f>SUM(Tabela174681012142230322681619252731333624210121416182426283038402481012141620222628303234362426810121424610122426244262628262681026286236[[#This Row],[Saldo no cartão]:[Recarga Pendente]])</f>
        <v>0</v>
      </c>
      <c r="N72" s="19">
        <f>Tabela174681012142230322681619252731333624210121416182426283038402481012141620222628303234362426810121424610122426244262628262681026286236[[#This Row],[Uso diário]]*2</f>
        <v>37.6</v>
      </c>
      <c r="O72" s="19">
        <f>Tabela174681012142230322681619252731333624210121416182426283038402481012141620222628303234362426810121424610122426244262628262681026286236[[#This Row],[Total Acumulado]]-P72</f>
        <v>-94</v>
      </c>
      <c r="P72" s="48">
        <f>Tabela174681012142230322681619252731333624210121416182426283038402481012141620222628303234362426810121424610122426244262628262681026286236[[#This Row],[Uso diário]]*5</f>
        <v>94</v>
      </c>
      <c r="Q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" s="25">
        <v>1</v>
      </c>
    </row>
    <row r="73" spans="1:20" s="26" customFormat="1" x14ac:dyDescent="0.25">
      <c r="A73" s="16">
        <v>229586</v>
      </c>
      <c r="B73" s="30" t="s">
        <v>456</v>
      </c>
      <c r="C73" s="20" t="s">
        <v>630</v>
      </c>
      <c r="D73" s="20" t="s">
        <v>736</v>
      </c>
      <c r="E73" s="20" t="s">
        <v>1680</v>
      </c>
      <c r="F73" s="20" t="s">
        <v>1681</v>
      </c>
      <c r="G73" s="21">
        <v>18.8</v>
      </c>
      <c r="H73" s="16">
        <v>22</v>
      </c>
      <c r="I73" s="16"/>
      <c r="J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3" s="22"/>
      <c r="L73" s="23"/>
      <c r="M73" s="23">
        <f>SUM(Tabela174681012142230322681619252731333624210121416182426283038402481012141620222628303234362426810121424610122426244262628262681026286236[[#This Row],[Saldo no cartão]:[Recarga Pendente]])</f>
        <v>0</v>
      </c>
      <c r="N73" s="19">
        <f>Tabela174681012142230322681619252731333624210121416182426283038402481012141620222628303234362426810121424610122426244262628262681026286236[[#This Row],[Uso diário]]*2</f>
        <v>37.6</v>
      </c>
      <c r="O73" s="19">
        <f>Tabela174681012142230322681619252731333624210121416182426283038402481012141620222628303234362426810121424610122426244262628262681026286236[[#This Row],[Total Acumulado]]-P73</f>
        <v>-94</v>
      </c>
      <c r="P73" s="48">
        <f>Tabela174681012142230322681619252731333624210121416182426283038402481012141620222628303234362426810121424610122426244262628262681026286236[[#This Row],[Uso diário]]*5</f>
        <v>94</v>
      </c>
      <c r="Q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" s="25">
        <v>1</v>
      </c>
    </row>
    <row r="74" spans="1:20" s="26" customFormat="1" x14ac:dyDescent="0.25">
      <c r="A74" s="16">
        <v>233309</v>
      </c>
      <c r="B74" s="30" t="s">
        <v>957</v>
      </c>
      <c r="C74" s="20" t="s">
        <v>630</v>
      </c>
      <c r="D74" s="20" t="s">
        <v>736</v>
      </c>
      <c r="E74" s="20" t="s">
        <v>1682</v>
      </c>
      <c r="F74" s="20" t="s">
        <v>1683</v>
      </c>
      <c r="G74" s="21">
        <v>18.8</v>
      </c>
      <c r="H74" s="16">
        <v>22</v>
      </c>
      <c r="I74" s="16"/>
      <c r="J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4" s="22"/>
      <c r="L74" s="23"/>
      <c r="M74" s="23">
        <f>SUM(Tabela174681012142230322681619252731333624210121416182426283038402481012141620222628303234362426810121424610122426244262628262681026286236[[#This Row],[Saldo no cartão]:[Recarga Pendente]])</f>
        <v>0</v>
      </c>
      <c r="N74" s="19">
        <f>Tabela174681012142230322681619252731333624210121416182426283038402481012141620222628303234362426810121424610122426244262628262681026286236[[#This Row],[Uso diário]]*2</f>
        <v>37.6</v>
      </c>
      <c r="O74" s="19">
        <f>Tabela174681012142230322681619252731333624210121416182426283038402481012141620222628303234362426810121424610122426244262628262681026286236[[#This Row],[Total Acumulado]]-P74</f>
        <v>-94</v>
      </c>
      <c r="P74" s="48">
        <f>Tabela174681012142230322681619252731333624210121416182426283038402481012141620222628303234362426810121424610122426244262628262681026286236[[#This Row],[Uso diário]]*5</f>
        <v>94</v>
      </c>
      <c r="Q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" s="25">
        <v>1</v>
      </c>
    </row>
    <row r="75" spans="1:20" s="26" customFormat="1" x14ac:dyDescent="0.25">
      <c r="A75" s="16">
        <v>200332</v>
      </c>
      <c r="B75" s="30" t="s">
        <v>73</v>
      </c>
      <c r="C75" s="20" t="s">
        <v>631</v>
      </c>
      <c r="D75" s="20" t="s">
        <v>684</v>
      </c>
      <c r="E75" s="20" t="s">
        <v>1684</v>
      </c>
      <c r="F75" s="20" t="s">
        <v>1685</v>
      </c>
      <c r="G75" s="21">
        <v>18.8</v>
      </c>
      <c r="H75" s="16">
        <v>26</v>
      </c>
      <c r="I75" s="16">
        <v>3</v>
      </c>
      <c r="J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75" s="22"/>
      <c r="L75" s="23"/>
      <c r="M75" s="23">
        <f>SUM(Tabela174681012142230322681619252731333624210121416182426283038402481012141620222628303234362426810121424610122426244262628262681026286236[[#This Row],[Saldo no cartão]:[Recarga Pendente]])</f>
        <v>0</v>
      </c>
      <c r="N75" s="19">
        <f>Tabela174681012142230322681619252731333624210121416182426283038402481012141620222628303234362426810121424610122426244262628262681026286236[[#This Row],[Uso diário]]*2</f>
        <v>37.6</v>
      </c>
      <c r="O75" s="19">
        <f>Tabela174681012142230322681619252731333624210121416182426283038402481012141620222628303234362426810121424610122426244262628262681026286236[[#This Row],[Total Acumulado]]-P75</f>
        <v>-94</v>
      </c>
      <c r="P75" s="48">
        <f>Tabela174681012142230322681619252731333624210121416182426283038402481012141620222628303234362426810121424610122426244262628262681026286236[[#This Row],[Uso diário]]*5</f>
        <v>94</v>
      </c>
      <c r="Q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" s="25">
        <v>1</v>
      </c>
    </row>
    <row r="76" spans="1:20" s="26" customFormat="1" x14ac:dyDescent="0.25">
      <c r="A76" s="16">
        <v>223002</v>
      </c>
      <c r="B76" s="30" t="s">
        <v>74</v>
      </c>
      <c r="C76" s="20" t="s">
        <v>631</v>
      </c>
      <c r="D76" s="20" t="s">
        <v>684</v>
      </c>
      <c r="E76" s="20" t="s">
        <v>1686</v>
      </c>
      <c r="F76" s="20" t="s">
        <v>1687</v>
      </c>
      <c r="G76" s="21">
        <v>18.8</v>
      </c>
      <c r="H76" s="16">
        <v>26</v>
      </c>
      <c r="I76" s="16">
        <v>1</v>
      </c>
      <c r="J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76" s="22"/>
      <c r="L76" s="23">
        <v>18.8</v>
      </c>
      <c r="M76" s="23">
        <f>SUM(Tabela174681012142230322681619252731333624210121416182426283038402481012141620222628303234362426810121424610122426244262628262681026286236[[#This Row],[Saldo no cartão]:[Recarga Pendente]])</f>
        <v>18.8</v>
      </c>
      <c r="N76" s="19">
        <f>Tabela174681012142230322681619252731333624210121416182426283038402481012141620222628303234362426810121424610122426244262628262681026286236[[#This Row],[Uso diário]]*2</f>
        <v>37.6</v>
      </c>
      <c r="O76" s="19">
        <f>Tabela174681012142230322681619252731333624210121416182426283038402481012141620222628303234362426810121424610122426244262628262681026286236[[#This Row],[Total Acumulado]]-P76</f>
        <v>-75.2</v>
      </c>
      <c r="P76" s="48">
        <f>Tabela174681012142230322681619252731333624210121416182426283038402481012141620222628303234362426810121424610122426244262628262681026286236[[#This Row],[Uso diário]]*5</f>
        <v>94</v>
      </c>
      <c r="Q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" s="25">
        <v>1</v>
      </c>
    </row>
    <row r="77" spans="1:20" s="26" customFormat="1" x14ac:dyDescent="0.25">
      <c r="A77" s="16">
        <v>223406</v>
      </c>
      <c r="B77" s="30" t="s">
        <v>1025</v>
      </c>
      <c r="C77" s="20" t="s">
        <v>631</v>
      </c>
      <c r="D77" s="20" t="s">
        <v>684</v>
      </c>
      <c r="E77" s="20" t="s">
        <v>1688</v>
      </c>
      <c r="F77" s="20" t="s">
        <v>1689</v>
      </c>
      <c r="G77" s="21">
        <v>18.8</v>
      </c>
      <c r="H77" s="16">
        <v>22</v>
      </c>
      <c r="I77" s="16"/>
      <c r="J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7" s="22"/>
      <c r="L77" s="23"/>
      <c r="M77" s="23">
        <f>SUM(Tabela174681012142230322681619252731333624210121416182426283038402481012141620222628303234362426810121424610122426244262628262681026286236[[#This Row],[Saldo no cartão]:[Recarga Pendente]])</f>
        <v>0</v>
      </c>
      <c r="N77" s="19">
        <f>Tabela174681012142230322681619252731333624210121416182426283038402481012141620222628303234362426810121424610122426244262628262681026286236[[#This Row],[Uso diário]]*2</f>
        <v>37.6</v>
      </c>
      <c r="O77" s="19">
        <f>Tabela174681012142230322681619252731333624210121416182426283038402481012141620222628303234362426810121424610122426244262628262681026286236[[#This Row],[Total Acumulado]]-P77</f>
        <v>-94</v>
      </c>
      <c r="P77" s="48">
        <f>Tabela174681012142230322681619252731333624210121416182426283038402481012141620222628303234362426810121424610122426244262628262681026286236[[#This Row],[Uso diário]]*5</f>
        <v>94</v>
      </c>
      <c r="Q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" s="25">
        <v>1</v>
      </c>
    </row>
    <row r="78" spans="1:20" s="26" customFormat="1" x14ac:dyDescent="0.25">
      <c r="A78" s="16">
        <v>223553</v>
      </c>
      <c r="B78" s="30" t="s">
        <v>75</v>
      </c>
      <c r="C78" s="20" t="s">
        <v>632</v>
      </c>
      <c r="D78" s="20" t="s">
        <v>685</v>
      </c>
      <c r="E78" s="20" t="s">
        <v>1690</v>
      </c>
      <c r="F78" s="20" t="s">
        <v>1691</v>
      </c>
      <c r="G78" s="21">
        <v>18.8</v>
      </c>
      <c r="H78" s="16">
        <v>26</v>
      </c>
      <c r="I78" s="16">
        <v>1</v>
      </c>
      <c r="J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78" s="22"/>
      <c r="L78" s="23"/>
      <c r="M78" s="23">
        <f>SUM(Tabela174681012142230322681619252731333624210121416182426283038402481012141620222628303234362426810121424610122426244262628262681026286236[[#This Row],[Saldo no cartão]:[Recarga Pendente]])</f>
        <v>0</v>
      </c>
      <c r="N78" s="19">
        <f>Tabela174681012142230322681619252731333624210121416182426283038402481012141620222628303234362426810121424610122426244262628262681026286236[[#This Row],[Uso diário]]*2</f>
        <v>37.6</v>
      </c>
      <c r="O78" s="19">
        <f>Tabela174681012142230322681619252731333624210121416182426283038402481012141620222628303234362426810121424610122426244262628262681026286236[[#This Row],[Total Acumulado]]-P78</f>
        <v>-94</v>
      </c>
      <c r="P78" s="48">
        <f>Tabela174681012142230322681619252731333624210121416182426283038402481012141620222628303234362426810121424610122426244262628262681026286236[[#This Row],[Uso diário]]*5</f>
        <v>94</v>
      </c>
      <c r="Q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" s="25">
        <v>1</v>
      </c>
    </row>
    <row r="79" spans="1:20" s="26" customFormat="1" x14ac:dyDescent="0.25">
      <c r="A79" s="16">
        <v>70088</v>
      </c>
      <c r="B79" s="30" t="s">
        <v>284</v>
      </c>
      <c r="C79" s="20" t="s">
        <v>633</v>
      </c>
      <c r="D79" s="20" t="s">
        <v>686</v>
      </c>
      <c r="E79" s="20" t="s">
        <v>1692</v>
      </c>
      <c r="F79" s="20" t="s">
        <v>1693</v>
      </c>
      <c r="G79" s="21">
        <v>18.8</v>
      </c>
      <c r="H79" s="16">
        <v>26</v>
      </c>
      <c r="I79" s="16"/>
      <c r="J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9" s="22"/>
      <c r="L79" s="23">
        <v>150.4</v>
      </c>
      <c r="M79" s="23">
        <f>SUM(Tabela174681012142230322681619252731333624210121416182426283038402481012141620222628303234362426810121424610122426244262628262681026286236[[#This Row],[Saldo no cartão]:[Recarga Pendente]])</f>
        <v>150.4</v>
      </c>
      <c r="N79" s="19">
        <f>Tabela174681012142230322681619252731333624210121416182426283038402481012141620222628303234362426810121424610122426244262628262681026286236[[#This Row],[Uso diário]]*2</f>
        <v>37.6</v>
      </c>
      <c r="O79" s="19">
        <f>Tabela174681012142230322681619252731333624210121416182426283038402481012141620222628303234362426810121424610122426244262628262681026286236[[#This Row],[Total Acumulado]]-P79</f>
        <v>56.400000000000006</v>
      </c>
      <c r="P79" s="48">
        <f>Tabela174681012142230322681619252731333624210121416182426283038402481012141620222628303234362426810121424610122426244262628262681026286236[[#This Row],[Uso diário]]*5</f>
        <v>94</v>
      </c>
      <c r="Q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56.400000000000006</v>
      </c>
      <c r="R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</v>
      </c>
      <c r="S79" s="18" t="s">
        <v>11</v>
      </c>
      <c r="T79" s="25">
        <v>1</v>
      </c>
    </row>
    <row r="80" spans="1:20" s="26" customFormat="1" x14ac:dyDescent="0.25">
      <c r="A80" s="16">
        <v>212467</v>
      </c>
      <c r="B80" s="30" t="s">
        <v>340</v>
      </c>
      <c r="C80" s="20" t="s">
        <v>633</v>
      </c>
      <c r="D80" s="20" t="s">
        <v>686</v>
      </c>
      <c r="E80" s="20" t="s">
        <v>1694</v>
      </c>
      <c r="F80" s="20" t="s">
        <v>1695</v>
      </c>
      <c r="G80" s="21">
        <v>18.8</v>
      </c>
      <c r="H80" s="16">
        <v>26</v>
      </c>
      <c r="I80" s="16"/>
      <c r="J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0" s="22"/>
      <c r="L80" s="23"/>
      <c r="M80" s="23">
        <f>SUM(Tabela174681012142230322681619252731333624210121416182426283038402481012141620222628303234362426810121424610122426244262628262681026286236[[#This Row],[Saldo no cartão]:[Recarga Pendente]])</f>
        <v>0</v>
      </c>
      <c r="N80" s="19">
        <f>Tabela174681012142230322681619252731333624210121416182426283038402481012141620222628303234362426810121424610122426244262628262681026286236[[#This Row],[Uso diário]]*2</f>
        <v>37.6</v>
      </c>
      <c r="O80" s="19">
        <f>Tabela174681012142230322681619252731333624210121416182426283038402481012141620222628303234362426810121424610122426244262628262681026286236[[#This Row],[Total Acumulado]]-P80</f>
        <v>-94</v>
      </c>
      <c r="P80" s="48">
        <f>Tabela174681012142230322681619252731333624210121416182426283038402481012141620222628303234362426810121424610122426244262628262681026286236[[#This Row],[Uso diário]]*5</f>
        <v>94</v>
      </c>
      <c r="Q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" s="25">
        <v>1</v>
      </c>
    </row>
    <row r="81" spans="1:20" s="26" customFormat="1" x14ac:dyDescent="0.25">
      <c r="A81" s="16">
        <v>211151</v>
      </c>
      <c r="B81" s="30" t="s">
        <v>76</v>
      </c>
      <c r="C81" s="20" t="s">
        <v>634</v>
      </c>
      <c r="D81" s="20" t="s">
        <v>688</v>
      </c>
      <c r="E81" s="20" t="s">
        <v>1696</v>
      </c>
      <c r="F81" s="20" t="s">
        <v>1697</v>
      </c>
      <c r="G81" s="21">
        <v>13.4</v>
      </c>
      <c r="H81" s="16">
        <v>22</v>
      </c>
      <c r="I81" s="16">
        <v>1</v>
      </c>
      <c r="J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81" s="22"/>
      <c r="L81" s="23"/>
      <c r="M81" s="23">
        <f>SUM(Tabela174681012142230322681619252731333624210121416182426283038402481012141620222628303234362426810121424610122426244262628262681026286236[[#This Row],[Saldo no cartão]:[Recarga Pendente]])</f>
        <v>0</v>
      </c>
      <c r="N81" s="19">
        <f>Tabela174681012142230322681619252731333624210121416182426283038402481012141620222628303234362426810121424610122426244262628262681026286236[[#This Row],[Uso diário]]*2</f>
        <v>26.8</v>
      </c>
      <c r="O81" s="19">
        <f>Tabela174681012142230322681619252731333624210121416182426283038402481012141620222628303234362426810121424610122426244262628262681026286236[[#This Row],[Total Acumulado]]-P81</f>
        <v>-67</v>
      </c>
      <c r="P81" s="48">
        <f>Tabela174681012142230322681619252731333624210121416182426283038402481012141620222628303234362426810121424610122426244262628262681026286236[[#This Row],[Uso diário]]*5</f>
        <v>67</v>
      </c>
      <c r="Q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1" s="25">
        <v>1</v>
      </c>
    </row>
    <row r="82" spans="1:20" s="26" customFormat="1" x14ac:dyDescent="0.25">
      <c r="A82" s="16">
        <v>231397</v>
      </c>
      <c r="B82" s="30" t="s">
        <v>781</v>
      </c>
      <c r="C82" s="20" t="s">
        <v>634</v>
      </c>
      <c r="D82" s="20" t="s">
        <v>687</v>
      </c>
      <c r="E82" s="20" t="s">
        <v>1698</v>
      </c>
      <c r="F82" s="20" t="s">
        <v>1699</v>
      </c>
      <c r="G82" s="21">
        <v>13.4</v>
      </c>
      <c r="H82" s="16">
        <v>22</v>
      </c>
      <c r="I82" s="16">
        <v>1</v>
      </c>
      <c r="J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82" s="22"/>
      <c r="L82" s="23">
        <v>11.9</v>
      </c>
      <c r="M82" s="23">
        <f>SUM(Tabela174681012142230322681619252731333624210121416182426283038402481012141620222628303234362426810121424610122426244262628262681026286236[[#This Row],[Saldo no cartão]:[Recarga Pendente]])</f>
        <v>11.9</v>
      </c>
      <c r="N82" s="19">
        <f>Tabela174681012142230322681619252731333624210121416182426283038402481012141620222628303234362426810121424610122426244262628262681026286236[[#This Row],[Uso diário]]*2</f>
        <v>26.8</v>
      </c>
      <c r="O82" s="19">
        <f>Tabela174681012142230322681619252731333624210121416182426283038402481012141620222628303234362426810121424610122426244262628262681026286236[[#This Row],[Total Acumulado]]-P82</f>
        <v>-55.1</v>
      </c>
      <c r="P82" s="48">
        <f>Tabela174681012142230322681619252731333624210121416182426283038402481012141620222628303234362426810121424610122426244262628262681026286236[[#This Row],[Uso diário]]*5</f>
        <v>67</v>
      </c>
      <c r="Q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" s="25">
        <v>1</v>
      </c>
    </row>
    <row r="83" spans="1:20" s="26" customFormat="1" x14ac:dyDescent="0.25">
      <c r="A83" s="16">
        <v>214435</v>
      </c>
      <c r="B83" s="30" t="s">
        <v>78</v>
      </c>
      <c r="C83" s="20" t="s">
        <v>635</v>
      </c>
      <c r="D83" s="20" t="s">
        <v>689</v>
      </c>
      <c r="E83" s="20" t="s">
        <v>1700</v>
      </c>
      <c r="F83" s="20" t="s">
        <v>1701</v>
      </c>
      <c r="G83" s="21">
        <v>18.8</v>
      </c>
      <c r="H83" s="16">
        <v>22</v>
      </c>
      <c r="I83" s="16"/>
      <c r="J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3" s="22"/>
      <c r="L83" s="23"/>
      <c r="M83" s="23">
        <f>SUM(Tabela174681012142230322681619252731333624210121416182426283038402481012141620222628303234362426810121424610122426244262628262681026286236[[#This Row],[Saldo no cartão]:[Recarga Pendente]])</f>
        <v>0</v>
      </c>
      <c r="N83" s="19">
        <f>Tabela174681012142230322681619252731333624210121416182426283038402481012141620222628303234362426810121424610122426244262628262681026286236[[#This Row],[Uso diário]]*2</f>
        <v>37.6</v>
      </c>
      <c r="O83" s="19">
        <f>Tabela174681012142230322681619252731333624210121416182426283038402481012141620222628303234362426810121424610122426244262628262681026286236[[#This Row],[Total Acumulado]]-P83</f>
        <v>-94</v>
      </c>
      <c r="P83" s="48">
        <f>Tabela174681012142230322681619252731333624210121416182426283038402481012141620222628303234362426810121424610122426244262628262681026286236[[#This Row],[Uso diário]]*5</f>
        <v>94</v>
      </c>
      <c r="Q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" s="25">
        <v>1</v>
      </c>
    </row>
    <row r="84" spans="1:20" s="26" customFormat="1" x14ac:dyDescent="0.25">
      <c r="A84" s="16">
        <v>215803</v>
      </c>
      <c r="B84" s="30" t="s">
        <v>79</v>
      </c>
      <c r="C84" s="20" t="s">
        <v>635</v>
      </c>
      <c r="D84" s="20" t="s">
        <v>689</v>
      </c>
      <c r="E84" s="20" t="s">
        <v>1702</v>
      </c>
      <c r="F84" s="20" t="s">
        <v>1703</v>
      </c>
      <c r="G84" s="21">
        <v>18.8</v>
      </c>
      <c r="H84" s="16">
        <v>22</v>
      </c>
      <c r="I84" s="16"/>
      <c r="J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4" s="22"/>
      <c r="L84" s="23"/>
      <c r="M84" s="23">
        <f>SUM(Tabela174681012142230322681619252731333624210121416182426283038402481012141620222628303234362426810121424610122426244262628262681026286236[[#This Row],[Saldo no cartão]:[Recarga Pendente]])</f>
        <v>0</v>
      </c>
      <c r="N84" s="19">
        <f>Tabela174681012142230322681619252731333624210121416182426283038402481012141620222628303234362426810121424610122426244262628262681026286236[[#This Row],[Uso diário]]*2</f>
        <v>37.6</v>
      </c>
      <c r="O84" s="19">
        <f>Tabela174681012142230322681619252731333624210121416182426283038402481012141620222628303234362426810121424610122426244262628262681026286236[[#This Row],[Total Acumulado]]-P84</f>
        <v>-94</v>
      </c>
      <c r="P84" s="48">
        <f>Tabela174681012142230322681619252731333624210121416182426283038402481012141620222628303234362426810121424610122426244262628262681026286236[[#This Row],[Uso diário]]*5</f>
        <v>94</v>
      </c>
      <c r="Q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" s="25">
        <v>1</v>
      </c>
    </row>
    <row r="85" spans="1:20" s="26" customFormat="1" x14ac:dyDescent="0.25">
      <c r="A85" s="16">
        <v>217087</v>
      </c>
      <c r="B85" s="30" t="s">
        <v>60</v>
      </c>
      <c r="C85" s="20" t="s">
        <v>635</v>
      </c>
      <c r="D85" s="20" t="s">
        <v>689</v>
      </c>
      <c r="E85" s="20" t="s">
        <v>1704</v>
      </c>
      <c r="F85" s="20" t="s">
        <v>1705</v>
      </c>
      <c r="G85" s="21">
        <v>18.8</v>
      </c>
      <c r="H85" s="16">
        <v>22</v>
      </c>
      <c r="I85" s="16"/>
      <c r="J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5" s="22"/>
      <c r="L85" s="23"/>
      <c r="M85" s="23">
        <f>SUM(Tabela174681012142230322681619252731333624210121416182426283038402481012141620222628303234362426810121424610122426244262628262681026286236[[#This Row],[Saldo no cartão]:[Recarga Pendente]])</f>
        <v>0</v>
      </c>
      <c r="N85" s="19">
        <f>Tabela174681012142230322681619252731333624210121416182426283038402481012141620222628303234362426810121424610122426244262628262681026286236[[#This Row],[Uso diário]]*2</f>
        <v>37.6</v>
      </c>
      <c r="O85" s="19">
        <f>Tabela174681012142230322681619252731333624210121416182426283038402481012141620222628303234362426810121424610122426244262628262681026286236[[#This Row],[Total Acumulado]]-P85</f>
        <v>-94</v>
      </c>
      <c r="P85" s="48">
        <f>Tabela174681012142230322681619252731333624210121416182426283038402481012141620222628303234362426810121424610122426244262628262681026286236[[#This Row],[Uso diário]]*5</f>
        <v>94</v>
      </c>
      <c r="Q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" s="25">
        <v>1</v>
      </c>
    </row>
    <row r="86" spans="1:20" s="26" customFormat="1" x14ac:dyDescent="0.25">
      <c r="A86" s="16">
        <v>219411</v>
      </c>
      <c r="B86" s="30" t="s">
        <v>1029</v>
      </c>
      <c r="C86" s="20" t="s">
        <v>635</v>
      </c>
      <c r="D86" s="20" t="s">
        <v>689</v>
      </c>
      <c r="E86" s="20" t="s">
        <v>1706</v>
      </c>
      <c r="F86" s="20" t="s">
        <v>1707</v>
      </c>
      <c r="G86" s="21">
        <v>18.8</v>
      </c>
      <c r="H86" s="16">
        <v>22</v>
      </c>
      <c r="I86" s="16"/>
      <c r="J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6" s="22"/>
      <c r="L86" s="23"/>
      <c r="M86" s="23">
        <f>SUM(Tabela174681012142230322681619252731333624210121416182426283038402481012141620222628303234362426810121424610122426244262628262681026286236[[#This Row],[Saldo no cartão]:[Recarga Pendente]])</f>
        <v>0</v>
      </c>
      <c r="N86" s="19">
        <f>Tabela174681012142230322681619252731333624210121416182426283038402481012141620222628303234362426810121424610122426244262628262681026286236[[#This Row],[Uso diário]]*2</f>
        <v>37.6</v>
      </c>
      <c r="O86" s="19">
        <f>Tabela174681012142230322681619252731333624210121416182426283038402481012141620222628303234362426810121424610122426244262628262681026286236[[#This Row],[Total Acumulado]]-P86</f>
        <v>-94</v>
      </c>
      <c r="P86" s="48">
        <f>Tabela174681012142230322681619252731333624210121416182426283038402481012141620222628303234362426810121424610122426244262628262681026286236[[#This Row],[Uso diário]]*5</f>
        <v>94</v>
      </c>
      <c r="Q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" s="25">
        <v>1</v>
      </c>
    </row>
    <row r="87" spans="1:20" s="26" customFormat="1" x14ac:dyDescent="0.25">
      <c r="A87" s="16">
        <v>223052</v>
      </c>
      <c r="B87" s="30" t="s">
        <v>102</v>
      </c>
      <c r="C87" s="20" t="s">
        <v>635</v>
      </c>
      <c r="D87" s="20" t="s">
        <v>698</v>
      </c>
      <c r="E87" s="20" t="s">
        <v>1708</v>
      </c>
      <c r="F87" s="20" t="s">
        <v>1709</v>
      </c>
      <c r="G87" s="21">
        <v>10</v>
      </c>
      <c r="H87" s="16">
        <v>26</v>
      </c>
      <c r="I87" s="16"/>
      <c r="J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7" s="22"/>
      <c r="L87" s="23"/>
      <c r="M87" s="23">
        <f>SUM(Tabela174681012142230322681619252731333624210121416182426283038402481012141620222628303234362426810121424610122426244262628262681026286236[[#This Row],[Saldo no cartão]:[Recarga Pendente]])</f>
        <v>0</v>
      </c>
      <c r="N87" s="19">
        <f>Tabela174681012142230322681619252731333624210121416182426283038402481012141620222628303234362426810121424610122426244262628262681026286236[[#This Row],[Uso diário]]*2</f>
        <v>20</v>
      </c>
      <c r="O87" s="19">
        <f>Tabela174681012142230322681619252731333624210121416182426283038402481012141620222628303234362426810121424610122426244262628262681026286236[[#This Row],[Total Acumulado]]-P87</f>
        <v>-50</v>
      </c>
      <c r="P87" s="48">
        <f>Tabela174681012142230322681619252731333624210121416182426283038402481012141620222628303234362426810121424610122426244262628262681026286236[[#This Row],[Uso diário]]*5</f>
        <v>50</v>
      </c>
      <c r="Q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" s="25">
        <v>1</v>
      </c>
    </row>
    <row r="88" spans="1:20" s="26" customFormat="1" x14ac:dyDescent="0.25">
      <c r="A88" s="16">
        <v>223903</v>
      </c>
      <c r="B88" s="30" t="s">
        <v>549</v>
      </c>
      <c r="C88" s="20" t="s">
        <v>635</v>
      </c>
      <c r="D88" s="20" t="s">
        <v>689</v>
      </c>
      <c r="E88" s="20" t="s">
        <v>1710</v>
      </c>
      <c r="F88" s="20" t="s">
        <v>1711</v>
      </c>
      <c r="G88" s="21">
        <v>18.8</v>
      </c>
      <c r="H88" s="16">
        <v>22</v>
      </c>
      <c r="I88" s="16">
        <v>2</v>
      </c>
      <c r="J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88" s="22"/>
      <c r="L88" s="23"/>
      <c r="M88" s="23">
        <f>SUM(Tabela174681012142230322681619252731333624210121416182426283038402481012141620222628303234362426810121424610122426244262628262681026286236[[#This Row],[Saldo no cartão]:[Recarga Pendente]])</f>
        <v>0</v>
      </c>
      <c r="N88" s="19">
        <f>Tabela174681012142230322681619252731333624210121416182426283038402481012141620222628303234362426810121424610122426244262628262681026286236[[#This Row],[Uso diário]]*2</f>
        <v>37.6</v>
      </c>
      <c r="O88" s="19">
        <f>Tabela174681012142230322681619252731333624210121416182426283038402481012141620222628303234362426810121424610122426244262628262681026286236[[#This Row],[Total Acumulado]]-P88</f>
        <v>-94</v>
      </c>
      <c r="P88" s="48">
        <f>Tabela174681012142230322681619252731333624210121416182426283038402481012141620222628303234362426810121424610122426244262628262681026286236[[#This Row],[Uso diário]]*5</f>
        <v>94</v>
      </c>
      <c r="Q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" s="25">
        <v>1</v>
      </c>
    </row>
    <row r="89" spans="1:20" s="26" customFormat="1" x14ac:dyDescent="0.25">
      <c r="A89" s="16">
        <v>224432</v>
      </c>
      <c r="B89" s="30" t="s">
        <v>1136</v>
      </c>
      <c r="C89" s="20" t="s">
        <v>635</v>
      </c>
      <c r="D89" s="20" t="s">
        <v>689</v>
      </c>
      <c r="E89" s="20" t="s">
        <v>1712</v>
      </c>
      <c r="F89" s="20" t="s">
        <v>1713</v>
      </c>
      <c r="G89" s="21">
        <v>10</v>
      </c>
      <c r="H89" s="16">
        <v>22</v>
      </c>
      <c r="I89" s="16"/>
      <c r="J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89" s="22"/>
      <c r="L89" s="23"/>
      <c r="M89" s="23">
        <f>SUM(Tabela174681012142230322681619252731333624210121416182426283038402481012141620222628303234362426810121424610122426244262628262681026286236[[#This Row],[Saldo no cartão]:[Recarga Pendente]])</f>
        <v>0</v>
      </c>
      <c r="N89" s="19">
        <f>Tabela174681012142230322681619252731333624210121416182426283038402481012141620222628303234362426810121424610122426244262628262681026286236[[#This Row],[Uso diário]]*2</f>
        <v>20</v>
      </c>
      <c r="O89" s="19">
        <f>Tabela174681012142230322681619252731333624210121416182426283038402481012141620222628303234362426810121424610122426244262628262681026286236[[#This Row],[Total Acumulado]]-P89</f>
        <v>-50</v>
      </c>
      <c r="P89" s="48">
        <f>Tabela174681012142230322681619252731333624210121416182426283038402481012141620222628303234362426810121424610122426244262628262681026286236[[#This Row],[Uso diário]]*5</f>
        <v>50</v>
      </c>
      <c r="Q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" s="25">
        <v>1</v>
      </c>
    </row>
    <row r="90" spans="1:20" s="26" customFormat="1" x14ac:dyDescent="0.25">
      <c r="A90" s="16">
        <v>224706</v>
      </c>
      <c r="B90" s="30" t="s">
        <v>896</v>
      </c>
      <c r="C90" s="20" t="s">
        <v>635</v>
      </c>
      <c r="D90" s="20" t="s">
        <v>698</v>
      </c>
      <c r="E90" s="20" t="s">
        <v>1714</v>
      </c>
      <c r="F90" s="20" t="s">
        <v>1715</v>
      </c>
      <c r="G90" s="21">
        <v>18.8</v>
      </c>
      <c r="H90" s="16">
        <v>26</v>
      </c>
      <c r="I90" s="16">
        <v>2</v>
      </c>
      <c r="J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90" s="22"/>
      <c r="L90" s="23"/>
      <c r="M90" s="23">
        <f>SUM(Tabela174681012142230322681619252731333624210121416182426283038402481012141620222628303234362426810121424610122426244262628262681026286236[[#This Row],[Saldo no cartão]:[Recarga Pendente]])</f>
        <v>0</v>
      </c>
      <c r="N90" s="19">
        <f>Tabela174681012142230322681619252731333624210121416182426283038402481012141620222628303234362426810121424610122426244262628262681026286236[[#This Row],[Uso diário]]*2</f>
        <v>37.6</v>
      </c>
      <c r="O90" s="19">
        <f>Tabela174681012142230322681619252731333624210121416182426283038402481012141620222628303234362426810121424610122426244262628262681026286236[[#This Row],[Total Acumulado]]-P90</f>
        <v>-94</v>
      </c>
      <c r="P90" s="48">
        <f>Tabela174681012142230322681619252731333624210121416182426283038402481012141620222628303234362426810121424610122426244262628262681026286236[[#This Row],[Uso diário]]*5</f>
        <v>94</v>
      </c>
      <c r="Q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" s="25">
        <v>1</v>
      </c>
    </row>
    <row r="91" spans="1:20" s="26" customFormat="1" x14ac:dyDescent="0.25">
      <c r="A91" s="16">
        <v>224771</v>
      </c>
      <c r="B91" s="30" t="s">
        <v>1156</v>
      </c>
      <c r="C91" s="20" t="s">
        <v>635</v>
      </c>
      <c r="D91" s="20" t="s">
        <v>689</v>
      </c>
      <c r="E91" s="20" t="s">
        <v>1716</v>
      </c>
      <c r="F91" s="20" t="s">
        <v>1717</v>
      </c>
      <c r="G91" s="21">
        <v>18.8</v>
      </c>
      <c r="H91" s="16">
        <v>26</v>
      </c>
      <c r="I91" s="16"/>
      <c r="J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91" s="22"/>
      <c r="L91" s="23"/>
      <c r="M91" s="23">
        <f>SUM(Tabela174681012142230322681619252731333624210121416182426283038402481012141620222628303234362426810121424610122426244262628262681026286236[[#This Row],[Saldo no cartão]:[Recarga Pendente]])</f>
        <v>0</v>
      </c>
      <c r="N91" s="19">
        <f>Tabela174681012142230322681619252731333624210121416182426283038402481012141620222628303234362426810121424610122426244262628262681026286236[[#This Row],[Uso diário]]*2</f>
        <v>37.6</v>
      </c>
      <c r="O91" s="19">
        <f>Tabela174681012142230322681619252731333624210121416182426283038402481012141620222628303234362426810121424610122426244262628262681026286236[[#This Row],[Total Acumulado]]-P91</f>
        <v>-94</v>
      </c>
      <c r="P91" s="48">
        <f>Tabela174681012142230322681619252731333624210121416182426283038402481012141620222628303234362426810121424610122426244262628262681026286236[[#This Row],[Uso diário]]*5</f>
        <v>94</v>
      </c>
      <c r="Q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" s="25">
        <v>1</v>
      </c>
    </row>
    <row r="92" spans="1:20" s="26" customFormat="1" x14ac:dyDescent="0.25">
      <c r="A92" s="16">
        <v>225943</v>
      </c>
      <c r="B92" s="30" t="s">
        <v>1395</v>
      </c>
      <c r="C92" s="20" t="s">
        <v>635</v>
      </c>
      <c r="D92" s="20" t="s">
        <v>689</v>
      </c>
      <c r="E92" s="20" t="s">
        <v>1718</v>
      </c>
      <c r="F92" s="20" t="s">
        <v>1719</v>
      </c>
      <c r="G92" s="21">
        <v>19.7</v>
      </c>
      <c r="H92" s="16">
        <v>22</v>
      </c>
      <c r="I92" s="16"/>
      <c r="J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433.4</v>
      </c>
      <c r="K92" s="22"/>
      <c r="L92" s="23"/>
      <c r="M92" s="23">
        <f>SUM(Tabela174681012142230322681619252731333624210121416182426283038402481012141620222628303234362426810121424610122426244262628262681026286236[[#This Row],[Saldo no cartão]:[Recarga Pendente]])</f>
        <v>0</v>
      </c>
      <c r="N92" s="19">
        <f>Tabela174681012142230322681619252731333624210121416182426283038402481012141620222628303234362426810121424610122426244262628262681026286236[[#This Row],[Uso diário]]*2</f>
        <v>39.4</v>
      </c>
      <c r="O92" s="19">
        <f>Tabela174681012142230322681619252731333624210121416182426283038402481012141620222628303234362426810121424610122426244262628262681026286236[[#This Row],[Total Acumulado]]-P92</f>
        <v>-98.5</v>
      </c>
      <c r="P92" s="48">
        <f>Tabela174681012142230322681619252731333624210121416182426283038402481012141620222628303234362426810121424610122426244262628262681026286236[[#This Row],[Uso diário]]*5</f>
        <v>98.5</v>
      </c>
      <c r="Q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433.4</v>
      </c>
      <c r="S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" s="25">
        <v>1</v>
      </c>
    </row>
    <row r="93" spans="1:20" s="26" customFormat="1" x14ac:dyDescent="0.25">
      <c r="A93" s="16">
        <v>228536</v>
      </c>
      <c r="B93" s="30" t="s">
        <v>124</v>
      </c>
      <c r="C93" s="20" t="s">
        <v>635</v>
      </c>
      <c r="D93" s="20" t="s">
        <v>698</v>
      </c>
      <c r="E93" s="20" t="s">
        <v>1720</v>
      </c>
      <c r="F93" s="20" t="s">
        <v>1721</v>
      </c>
      <c r="G93" s="21">
        <v>18.8</v>
      </c>
      <c r="H93" s="16">
        <v>26</v>
      </c>
      <c r="I93" s="16"/>
      <c r="J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93" s="22"/>
      <c r="L93" s="23"/>
      <c r="M93" s="23">
        <f>SUM(Tabela174681012142230322681619252731333624210121416182426283038402481012141620222628303234362426810121424610122426244262628262681026286236[[#This Row],[Saldo no cartão]:[Recarga Pendente]])</f>
        <v>0</v>
      </c>
      <c r="N93" s="19">
        <f>Tabela174681012142230322681619252731333624210121416182426283038402481012141620222628303234362426810121424610122426244262628262681026286236[[#This Row],[Uso diário]]*2</f>
        <v>37.6</v>
      </c>
      <c r="O93" s="19">
        <f>Tabela174681012142230322681619252731333624210121416182426283038402481012141620222628303234362426810121424610122426244262628262681026286236[[#This Row],[Total Acumulado]]-P93</f>
        <v>-94</v>
      </c>
      <c r="P93" s="48">
        <f>Tabela174681012142230322681619252731333624210121416182426283038402481012141620222628303234362426810121424610122426244262628262681026286236[[#This Row],[Uso diário]]*5</f>
        <v>94</v>
      </c>
      <c r="Q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" s="25">
        <v>1</v>
      </c>
    </row>
    <row r="94" spans="1:20" s="26" customFormat="1" x14ac:dyDescent="0.25">
      <c r="A94" s="16">
        <v>229194</v>
      </c>
      <c r="B94" s="30" t="s">
        <v>126</v>
      </c>
      <c r="C94" s="20" t="s">
        <v>635</v>
      </c>
      <c r="D94" s="20" t="s">
        <v>689</v>
      </c>
      <c r="E94" s="20" t="s">
        <v>1722</v>
      </c>
      <c r="F94" s="20" t="s">
        <v>1723</v>
      </c>
      <c r="G94" s="21">
        <v>18.8</v>
      </c>
      <c r="H94" s="16">
        <v>22</v>
      </c>
      <c r="I94" s="16"/>
      <c r="J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94" s="22"/>
      <c r="L94" s="23"/>
      <c r="M94" s="23">
        <f>SUM(Tabela174681012142230322681619252731333624210121416182426283038402481012141620222628303234362426810121424610122426244262628262681026286236[[#This Row],[Saldo no cartão]:[Recarga Pendente]])</f>
        <v>0</v>
      </c>
      <c r="N94" s="19">
        <f>Tabela174681012142230322681619252731333624210121416182426283038402481012141620222628303234362426810121424610122426244262628262681026286236[[#This Row],[Uso diário]]*2</f>
        <v>37.6</v>
      </c>
      <c r="O94" s="19">
        <f>Tabela174681012142230322681619252731333624210121416182426283038402481012141620222628303234362426810121424610122426244262628262681026286236[[#This Row],[Total Acumulado]]-P94</f>
        <v>-94</v>
      </c>
      <c r="P94" s="48">
        <f>Tabela174681012142230322681619252731333624210121416182426283038402481012141620222628303234362426810121424610122426244262628262681026286236[[#This Row],[Uso diário]]*5</f>
        <v>94</v>
      </c>
      <c r="Q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" s="25">
        <v>1</v>
      </c>
    </row>
    <row r="95" spans="1:20" s="26" customFormat="1" x14ac:dyDescent="0.25">
      <c r="A95" s="16">
        <v>231784</v>
      </c>
      <c r="B95" s="30" t="s">
        <v>1137</v>
      </c>
      <c r="C95" s="20" t="s">
        <v>636</v>
      </c>
      <c r="D95" s="20" t="s">
        <v>690</v>
      </c>
      <c r="E95" s="20" t="s">
        <v>1724</v>
      </c>
      <c r="F95" s="20" t="s">
        <v>1725</v>
      </c>
      <c r="G95" s="21">
        <v>18.8</v>
      </c>
      <c r="H95" s="16">
        <v>22</v>
      </c>
      <c r="I95" s="16">
        <v>3</v>
      </c>
      <c r="J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95" s="22"/>
      <c r="L95" s="23"/>
      <c r="M95" s="23">
        <f>SUM(Tabela174681012142230322681619252731333624210121416182426283038402481012141620222628303234362426810121424610122426244262628262681026286236[[#This Row],[Saldo no cartão]:[Recarga Pendente]])</f>
        <v>0</v>
      </c>
      <c r="N95" s="19">
        <f>Tabela174681012142230322681619252731333624210121416182426283038402481012141620222628303234362426810121424610122426244262628262681026286236[[#This Row],[Uso diário]]*2</f>
        <v>37.6</v>
      </c>
      <c r="O95" s="19">
        <f>Tabela174681012142230322681619252731333624210121416182426283038402481012141620222628303234362426810121424610122426244262628262681026286236[[#This Row],[Total Acumulado]]-P95</f>
        <v>-94</v>
      </c>
      <c r="P95" s="48">
        <f>Tabela174681012142230322681619252731333624210121416182426283038402481012141620222628303234362426810121424610122426244262628262681026286236[[#This Row],[Uso diário]]*5</f>
        <v>94</v>
      </c>
      <c r="Q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" s="25">
        <v>1</v>
      </c>
    </row>
    <row r="96" spans="1:20" s="26" customFormat="1" x14ac:dyDescent="0.25">
      <c r="A96" s="16">
        <v>233013</v>
      </c>
      <c r="B96" s="30" t="s">
        <v>958</v>
      </c>
      <c r="C96" s="20" t="s">
        <v>636</v>
      </c>
      <c r="D96" s="20" t="s">
        <v>690</v>
      </c>
      <c r="E96" s="20" t="s">
        <v>1726</v>
      </c>
      <c r="F96" s="20" t="s">
        <v>1727</v>
      </c>
      <c r="G96" s="21">
        <v>10</v>
      </c>
      <c r="H96" s="16">
        <v>22</v>
      </c>
      <c r="I96" s="16">
        <v>5</v>
      </c>
      <c r="J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170</v>
      </c>
      <c r="K96" s="22"/>
      <c r="L96" s="23"/>
      <c r="M96" s="23">
        <f>SUM(Tabela174681012142230322681619252731333624210121416182426283038402481012141620222628303234362426810121424610122426244262628262681026286236[[#This Row],[Saldo no cartão]:[Recarga Pendente]])</f>
        <v>0</v>
      </c>
      <c r="N96" s="19">
        <f>Tabela174681012142230322681619252731333624210121416182426283038402481012141620222628303234362426810121424610122426244262628262681026286236[[#This Row],[Uso diário]]*2</f>
        <v>20</v>
      </c>
      <c r="O96" s="19">
        <f>Tabela174681012142230322681619252731333624210121416182426283038402481012141620222628303234362426810121424610122426244262628262681026286236[[#This Row],[Total Acumulado]]-P96</f>
        <v>-50</v>
      </c>
      <c r="P96" s="48">
        <f>Tabela174681012142230322681619252731333624210121416182426283038402481012141620222628303234362426810121424610122426244262628262681026286236[[#This Row],[Uso diário]]*5</f>
        <v>50</v>
      </c>
      <c r="Q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170</v>
      </c>
      <c r="S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" s="25">
        <v>1</v>
      </c>
    </row>
    <row r="97" spans="1:20" s="26" customFormat="1" x14ac:dyDescent="0.25">
      <c r="A97" s="16">
        <v>233211</v>
      </c>
      <c r="B97" s="30" t="s">
        <v>959</v>
      </c>
      <c r="C97" s="20" t="s">
        <v>636</v>
      </c>
      <c r="D97" s="20" t="s">
        <v>690</v>
      </c>
      <c r="E97" s="20" t="s">
        <v>1728</v>
      </c>
      <c r="F97" s="20" t="s">
        <v>1729</v>
      </c>
      <c r="G97" s="21">
        <v>18.8</v>
      </c>
      <c r="H97" s="16">
        <v>22</v>
      </c>
      <c r="I97" s="16">
        <v>1</v>
      </c>
      <c r="J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97" s="22"/>
      <c r="L97" s="23"/>
      <c r="M97" s="23">
        <f>SUM(Tabela174681012142230322681619252731333624210121416182426283038402481012141620222628303234362426810121424610122426244262628262681026286236[[#This Row],[Saldo no cartão]:[Recarga Pendente]])</f>
        <v>0</v>
      </c>
      <c r="N97" s="19">
        <f>Tabela174681012142230322681619252731333624210121416182426283038402481012141620222628303234362426810121424610122426244262628262681026286236[[#This Row],[Uso diário]]*2</f>
        <v>37.6</v>
      </c>
      <c r="O97" s="19">
        <f>Tabela174681012142230322681619252731333624210121416182426283038402481012141620222628303234362426810121424610122426244262628262681026286236[[#This Row],[Total Acumulado]]-P97</f>
        <v>-94</v>
      </c>
      <c r="P97" s="48">
        <f>Tabela174681012142230322681619252731333624210121416182426283038402481012141620222628303234362426810121424610122426244262628262681026286236[[#This Row],[Uso diário]]*5</f>
        <v>94</v>
      </c>
      <c r="Q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" s="25">
        <v>1</v>
      </c>
    </row>
    <row r="98" spans="1:20" s="26" customFormat="1" x14ac:dyDescent="0.25">
      <c r="A98" s="16">
        <v>233212</v>
      </c>
      <c r="B98" s="30" t="s">
        <v>1340</v>
      </c>
      <c r="C98" s="20" t="s">
        <v>636</v>
      </c>
      <c r="D98" s="20" t="s">
        <v>690</v>
      </c>
      <c r="E98" s="20" t="s">
        <v>1730</v>
      </c>
      <c r="F98" s="20" t="s">
        <v>1731</v>
      </c>
      <c r="G98" s="21">
        <v>13.4</v>
      </c>
      <c r="H98" s="16">
        <v>22</v>
      </c>
      <c r="I98" s="16">
        <v>1</v>
      </c>
      <c r="J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98" s="22"/>
      <c r="L98" s="23">
        <v>178.5</v>
      </c>
      <c r="M98" s="23">
        <f>SUM(Tabela174681012142230322681619252731333624210121416182426283038402481012141620222628303234362426810121424610122426244262628262681026286236[[#This Row],[Saldo no cartão]:[Recarga Pendente]])</f>
        <v>178.5</v>
      </c>
      <c r="N98" s="19">
        <f>Tabela174681012142230322681619252731333624210121416182426283038402481012141620222628303234362426810121424610122426244262628262681026286236[[#This Row],[Uso diário]]*2</f>
        <v>26.8</v>
      </c>
      <c r="O98" s="19">
        <f>Tabela174681012142230322681619252731333624210121416182426283038402481012141620222628303234362426810121424610122426244262628262681026286236[[#This Row],[Total Acumulado]]-P98</f>
        <v>111.5</v>
      </c>
      <c r="P98" s="48">
        <f>Tabela174681012142230322681619252731333624210121416182426283038402481012141620222628303234362426810121424610122426244262628262681026286236[[#This Row],[Uso diário]]*5</f>
        <v>67</v>
      </c>
      <c r="Q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111.5</v>
      </c>
      <c r="R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169.90000000000003</v>
      </c>
      <c r="S98" s="18" t="s">
        <v>11</v>
      </c>
      <c r="T98" s="25">
        <v>1</v>
      </c>
    </row>
    <row r="99" spans="1:20" s="26" customFormat="1" x14ac:dyDescent="0.25">
      <c r="A99" s="16">
        <v>234388</v>
      </c>
      <c r="B99" s="30" t="s">
        <v>1270</v>
      </c>
      <c r="C99" s="20" t="s">
        <v>636</v>
      </c>
      <c r="D99" s="20" t="s">
        <v>690</v>
      </c>
      <c r="E99" s="20" t="s">
        <v>1732</v>
      </c>
      <c r="F99" s="20" t="s">
        <v>1733</v>
      </c>
      <c r="G99" s="21">
        <v>18.8</v>
      </c>
      <c r="H99" s="16">
        <v>22</v>
      </c>
      <c r="I99" s="16">
        <v>4</v>
      </c>
      <c r="J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338.40000000000003</v>
      </c>
      <c r="K99" s="22"/>
      <c r="L99" s="23"/>
      <c r="M99" s="23">
        <f>SUM(Tabela174681012142230322681619252731333624210121416182426283038402481012141620222628303234362426810121424610122426244262628262681026286236[[#This Row],[Saldo no cartão]:[Recarga Pendente]])</f>
        <v>0</v>
      </c>
      <c r="N99" s="19">
        <f>Tabela174681012142230322681619252731333624210121416182426283038402481012141620222628303234362426810121424610122426244262628262681026286236[[#This Row],[Uso diário]]*2</f>
        <v>37.6</v>
      </c>
      <c r="O99" s="19">
        <f>Tabela174681012142230322681619252731333624210121416182426283038402481012141620222628303234362426810121424610122426244262628262681026286236[[#This Row],[Total Acumulado]]-P99</f>
        <v>-94</v>
      </c>
      <c r="P99" s="48">
        <f>Tabela174681012142230322681619252731333624210121416182426283038402481012141620222628303234362426810121424610122426244262628262681026286236[[#This Row],[Uso diário]]*5</f>
        <v>94</v>
      </c>
      <c r="Q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338.40000000000003</v>
      </c>
      <c r="S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" s="25">
        <v>1</v>
      </c>
    </row>
    <row r="100" spans="1:20" s="26" customFormat="1" x14ac:dyDescent="0.25">
      <c r="A100" s="16">
        <v>20162</v>
      </c>
      <c r="B100" s="30" t="s">
        <v>82</v>
      </c>
      <c r="C100" s="20" t="s">
        <v>637</v>
      </c>
      <c r="D100" s="20" t="s">
        <v>691</v>
      </c>
      <c r="E100" s="20" t="s">
        <v>1734</v>
      </c>
      <c r="F100" s="20" t="s">
        <v>1735</v>
      </c>
      <c r="G100" s="21">
        <v>18.8</v>
      </c>
      <c r="H100" s="16">
        <v>22</v>
      </c>
      <c r="I100" s="16"/>
      <c r="J1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00" s="22"/>
      <c r="L100" s="23"/>
      <c r="M100" s="23">
        <f>SUM(Tabela174681012142230322681619252731333624210121416182426283038402481012141620222628303234362426810121424610122426244262628262681026286236[[#This Row],[Saldo no cartão]:[Recarga Pendente]])</f>
        <v>0</v>
      </c>
      <c r="N100" s="19">
        <f>Tabela174681012142230322681619252731333624210121416182426283038402481012141620222628303234362426810121424610122426244262628262681026286236[[#This Row],[Uso diário]]*2</f>
        <v>37.6</v>
      </c>
      <c r="O100" s="19">
        <f>Tabela174681012142230322681619252731333624210121416182426283038402481012141620222628303234362426810121424610122426244262628262681026286236[[#This Row],[Total Acumulado]]-P100</f>
        <v>-94</v>
      </c>
      <c r="P100" s="48">
        <f>Tabela174681012142230322681619252731333624210121416182426283038402481012141620222628303234362426810121424610122426244262628262681026286236[[#This Row],[Uso diário]]*5</f>
        <v>94</v>
      </c>
      <c r="Q1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" s="25">
        <v>1</v>
      </c>
    </row>
    <row r="101" spans="1:20" s="26" customFormat="1" x14ac:dyDescent="0.25">
      <c r="A101" s="16">
        <v>200996</v>
      </c>
      <c r="B101" s="30" t="s">
        <v>83</v>
      </c>
      <c r="C101" s="20" t="s">
        <v>637</v>
      </c>
      <c r="D101" s="20" t="s">
        <v>694</v>
      </c>
      <c r="E101" s="20" t="s">
        <v>1736</v>
      </c>
      <c r="F101" s="20" t="s">
        <v>1737</v>
      </c>
      <c r="G101" s="21">
        <v>13.4</v>
      </c>
      <c r="H101" s="16">
        <v>22</v>
      </c>
      <c r="I101" s="16"/>
      <c r="J1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01" s="22"/>
      <c r="L101" s="23"/>
      <c r="M101" s="23">
        <f>SUM(Tabela174681012142230322681619252731333624210121416182426283038402481012141620222628303234362426810121424610122426244262628262681026286236[[#This Row],[Saldo no cartão]:[Recarga Pendente]])</f>
        <v>0</v>
      </c>
      <c r="N101" s="19">
        <f>Tabela174681012142230322681619252731333624210121416182426283038402481012141620222628303234362426810121424610122426244262628262681026286236[[#This Row],[Uso diário]]*2</f>
        <v>26.8</v>
      </c>
      <c r="O101" s="19">
        <f>Tabela174681012142230322681619252731333624210121416182426283038402481012141620222628303234362426810121424610122426244262628262681026286236[[#This Row],[Total Acumulado]]-P101</f>
        <v>-67</v>
      </c>
      <c r="P101" s="48">
        <f>Tabela174681012142230322681619252731333624210121416182426283038402481012141620222628303234362426810121424610122426244262628262681026286236[[#This Row],[Uso diário]]*5</f>
        <v>67</v>
      </c>
      <c r="Q1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" s="25">
        <v>1</v>
      </c>
    </row>
    <row r="102" spans="1:20" s="26" customFormat="1" x14ac:dyDescent="0.25">
      <c r="A102" s="16">
        <v>207912</v>
      </c>
      <c r="B102" s="30" t="s">
        <v>84</v>
      </c>
      <c r="C102" s="20" t="s">
        <v>637</v>
      </c>
      <c r="D102" s="20" t="s">
        <v>696</v>
      </c>
      <c r="E102" s="20" t="s">
        <v>1738</v>
      </c>
      <c r="F102" s="20" t="s">
        <v>1739</v>
      </c>
      <c r="G102" s="21">
        <v>18.8</v>
      </c>
      <c r="H102" s="16">
        <v>24</v>
      </c>
      <c r="I102" s="16"/>
      <c r="J1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02" s="22"/>
      <c r="L102" s="23"/>
      <c r="M102" s="23">
        <f>SUM(Tabela174681012142230322681619252731333624210121416182426283038402481012141620222628303234362426810121424610122426244262628262681026286236[[#This Row],[Saldo no cartão]:[Recarga Pendente]])</f>
        <v>0</v>
      </c>
      <c r="N102" s="19">
        <f>Tabela174681012142230322681619252731333624210121416182426283038402481012141620222628303234362426810121424610122426244262628262681026286236[[#This Row],[Uso diário]]*2</f>
        <v>37.6</v>
      </c>
      <c r="O102" s="19">
        <f>Tabela174681012142230322681619252731333624210121416182426283038402481012141620222628303234362426810121424610122426244262628262681026286236[[#This Row],[Total Acumulado]]-P102</f>
        <v>-94</v>
      </c>
      <c r="P102" s="48">
        <f>Tabela174681012142230322681619252731333624210121416182426283038402481012141620222628303234362426810121424610122426244262628262681026286236[[#This Row],[Uso diário]]*5</f>
        <v>94</v>
      </c>
      <c r="Q1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" s="25">
        <v>1</v>
      </c>
    </row>
    <row r="103" spans="1:20" s="26" customFormat="1" x14ac:dyDescent="0.25">
      <c r="A103" s="16">
        <v>213507</v>
      </c>
      <c r="B103" s="30" t="s">
        <v>85</v>
      </c>
      <c r="C103" s="20" t="s">
        <v>637</v>
      </c>
      <c r="D103" s="20" t="s">
        <v>696</v>
      </c>
      <c r="E103" s="20" t="s">
        <v>1740</v>
      </c>
      <c r="F103" s="20" t="s">
        <v>1741</v>
      </c>
      <c r="G103" s="21">
        <v>18.8</v>
      </c>
      <c r="H103" s="16">
        <v>22</v>
      </c>
      <c r="I103" s="16">
        <v>1</v>
      </c>
      <c r="J1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03" s="22"/>
      <c r="L103" s="23"/>
      <c r="M103" s="23">
        <f>SUM(Tabela174681012142230322681619252731333624210121416182426283038402481012141620222628303234362426810121424610122426244262628262681026286236[[#This Row],[Saldo no cartão]:[Recarga Pendente]])</f>
        <v>0</v>
      </c>
      <c r="N103" s="19">
        <f>Tabela174681012142230322681619252731333624210121416182426283038402481012141620222628303234362426810121424610122426244262628262681026286236[[#This Row],[Uso diário]]*2</f>
        <v>37.6</v>
      </c>
      <c r="O103" s="19">
        <f>Tabela174681012142230322681619252731333624210121416182426283038402481012141620222628303234362426810121424610122426244262628262681026286236[[#This Row],[Total Acumulado]]-P103</f>
        <v>-94</v>
      </c>
      <c r="P103" s="48">
        <f>Tabela174681012142230322681619252731333624210121416182426283038402481012141620222628303234362426810121424610122426244262628262681026286236[[#This Row],[Uso diário]]*5</f>
        <v>94</v>
      </c>
      <c r="Q1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" s="25">
        <v>1</v>
      </c>
    </row>
    <row r="104" spans="1:20" s="26" customFormat="1" x14ac:dyDescent="0.25">
      <c r="A104" s="16">
        <v>213519</v>
      </c>
      <c r="B104" s="30" t="s">
        <v>86</v>
      </c>
      <c r="C104" s="20" t="s">
        <v>637</v>
      </c>
      <c r="D104" s="20" t="s">
        <v>1262</v>
      </c>
      <c r="E104" s="20" t="s">
        <v>1742</v>
      </c>
      <c r="F104" s="20" t="s">
        <v>1743</v>
      </c>
      <c r="G104" s="21">
        <v>13.4</v>
      </c>
      <c r="H104" s="16">
        <v>24</v>
      </c>
      <c r="I104" s="16">
        <v>1</v>
      </c>
      <c r="J1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104" s="22"/>
      <c r="L104" s="23"/>
      <c r="M104" s="23">
        <f>SUM(Tabela174681012142230322681619252731333624210121416182426283038402481012141620222628303234362426810121424610122426244262628262681026286236[[#This Row],[Saldo no cartão]:[Recarga Pendente]])</f>
        <v>0</v>
      </c>
      <c r="N104" s="19">
        <f>Tabela174681012142230322681619252731333624210121416182426283038402481012141620222628303234362426810121424610122426244262628262681026286236[[#This Row],[Uso diário]]*2</f>
        <v>26.8</v>
      </c>
      <c r="O104" s="19">
        <f>Tabela174681012142230322681619252731333624210121416182426283038402481012141620222628303234362426810121424610122426244262628262681026286236[[#This Row],[Total Acumulado]]-P104</f>
        <v>-67</v>
      </c>
      <c r="P104" s="48">
        <f>Tabela174681012142230322681619252731333624210121416182426283038402481012141620222628303234362426810121424610122426244262628262681026286236[[#This Row],[Uso diário]]*5</f>
        <v>67</v>
      </c>
      <c r="Q1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1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" s="25">
        <v>1</v>
      </c>
    </row>
    <row r="105" spans="1:20" s="26" customFormat="1" x14ac:dyDescent="0.25">
      <c r="A105" s="16">
        <v>214687</v>
      </c>
      <c r="B105" s="30" t="s">
        <v>87</v>
      </c>
      <c r="C105" s="20" t="s">
        <v>637</v>
      </c>
      <c r="D105" s="20" t="s">
        <v>696</v>
      </c>
      <c r="E105" s="20" t="s">
        <v>1744</v>
      </c>
      <c r="F105" s="20" t="s">
        <v>1745</v>
      </c>
      <c r="G105" s="21">
        <v>18.8</v>
      </c>
      <c r="H105" s="16">
        <v>22</v>
      </c>
      <c r="I105" s="16">
        <v>4</v>
      </c>
      <c r="J1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338.40000000000003</v>
      </c>
      <c r="K105" s="22"/>
      <c r="L105" s="23"/>
      <c r="M105" s="23">
        <f>SUM(Tabela174681012142230322681619252731333624210121416182426283038402481012141620222628303234362426810121424610122426244262628262681026286236[[#This Row],[Saldo no cartão]:[Recarga Pendente]])</f>
        <v>0</v>
      </c>
      <c r="N105" s="19">
        <f>Tabela174681012142230322681619252731333624210121416182426283038402481012141620222628303234362426810121424610122426244262628262681026286236[[#This Row],[Uso diário]]*2</f>
        <v>37.6</v>
      </c>
      <c r="O105" s="19">
        <f>Tabela174681012142230322681619252731333624210121416182426283038402481012141620222628303234362426810121424610122426244262628262681026286236[[#This Row],[Total Acumulado]]-P105</f>
        <v>-94</v>
      </c>
      <c r="P105" s="48">
        <f>Tabela174681012142230322681619252731333624210121416182426283038402481012141620222628303234362426810121424610122426244262628262681026286236[[#This Row],[Uso diário]]*5</f>
        <v>94</v>
      </c>
      <c r="Q1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338.40000000000003</v>
      </c>
      <c r="S1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" s="25">
        <v>1</v>
      </c>
    </row>
    <row r="106" spans="1:20" s="26" customFormat="1" x14ac:dyDescent="0.25">
      <c r="A106" s="16">
        <v>215583</v>
      </c>
      <c r="B106" s="30" t="s">
        <v>1138</v>
      </c>
      <c r="C106" s="20" t="s">
        <v>637</v>
      </c>
      <c r="D106" s="20" t="s">
        <v>695</v>
      </c>
      <c r="E106" s="20" t="s">
        <v>1746</v>
      </c>
      <c r="F106" s="20" t="s">
        <v>1747</v>
      </c>
      <c r="G106" s="21">
        <v>18.8</v>
      </c>
      <c r="H106" s="16">
        <v>22</v>
      </c>
      <c r="I106" s="16"/>
      <c r="J1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06" s="22"/>
      <c r="L106" s="23"/>
      <c r="M106" s="23">
        <f>SUM(Tabela174681012142230322681619252731333624210121416182426283038402481012141620222628303234362426810121424610122426244262628262681026286236[[#This Row],[Saldo no cartão]:[Recarga Pendente]])</f>
        <v>0</v>
      </c>
      <c r="N106" s="19">
        <f>Tabela174681012142230322681619252731333624210121416182426283038402481012141620222628303234362426810121424610122426244262628262681026286236[[#This Row],[Uso diário]]*2</f>
        <v>37.6</v>
      </c>
      <c r="O106" s="19">
        <f>Tabela174681012142230322681619252731333624210121416182426283038402481012141620222628303234362426810121424610122426244262628262681026286236[[#This Row],[Total Acumulado]]-P106</f>
        <v>-94</v>
      </c>
      <c r="P106" s="48">
        <f>Tabela174681012142230322681619252731333624210121416182426283038402481012141620222628303234362426810121424610122426244262628262681026286236[[#This Row],[Uso diário]]*5</f>
        <v>94</v>
      </c>
      <c r="Q1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" s="25">
        <v>1</v>
      </c>
    </row>
    <row r="107" spans="1:20" s="26" customFormat="1" x14ac:dyDescent="0.25">
      <c r="A107" s="16">
        <v>215873</v>
      </c>
      <c r="B107" s="30" t="s">
        <v>88</v>
      </c>
      <c r="C107" s="20" t="s">
        <v>637</v>
      </c>
      <c r="D107" s="20" t="s">
        <v>691</v>
      </c>
      <c r="E107" s="20" t="s">
        <v>1748</v>
      </c>
      <c r="F107" s="20" t="s">
        <v>1749</v>
      </c>
      <c r="G107" s="21">
        <v>18.8</v>
      </c>
      <c r="H107" s="16">
        <v>24</v>
      </c>
      <c r="I107" s="16"/>
      <c r="J1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07" s="22"/>
      <c r="L107" s="23"/>
      <c r="M107" s="23">
        <f>SUM(Tabela174681012142230322681619252731333624210121416182426283038402481012141620222628303234362426810121424610122426244262628262681026286236[[#This Row],[Saldo no cartão]:[Recarga Pendente]])</f>
        <v>0</v>
      </c>
      <c r="N107" s="19">
        <f>Tabela174681012142230322681619252731333624210121416182426283038402481012141620222628303234362426810121424610122426244262628262681026286236[[#This Row],[Uso diário]]*2</f>
        <v>37.6</v>
      </c>
      <c r="O107" s="19">
        <f>Tabela174681012142230322681619252731333624210121416182426283038402481012141620222628303234362426810121424610122426244262628262681026286236[[#This Row],[Total Acumulado]]-P107</f>
        <v>-94</v>
      </c>
      <c r="P107" s="48">
        <f>Tabela174681012142230322681619252731333624210121416182426283038402481012141620222628303234362426810121424610122426244262628262681026286236[[#This Row],[Uso diário]]*5</f>
        <v>94</v>
      </c>
      <c r="Q1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" s="25">
        <v>1</v>
      </c>
    </row>
    <row r="108" spans="1:20" s="26" customFormat="1" x14ac:dyDescent="0.25">
      <c r="A108" s="16">
        <v>216314</v>
      </c>
      <c r="B108" s="30" t="s">
        <v>89</v>
      </c>
      <c r="C108" s="20" t="s">
        <v>637</v>
      </c>
      <c r="D108" s="20" t="s">
        <v>696</v>
      </c>
      <c r="E108" s="20" t="s">
        <v>1750</v>
      </c>
      <c r="F108" s="20" t="s">
        <v>1751</v>
      </c>
      <c r="G108" s="21">
        <v>18.8</v>
      </c>
      <c r="H108" s="16">
        <v>24</v>
      </c>
      <c r="I108" s="16"/>
      <c r="J1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08" s="22"/>
      <c r="L108" s="23"/>
      <c r="M108" s="23">
        <f>SUM(Tabela174681012142230322681619252731333624210121416182426283038402481012141620222628303234362426810121424610122426244262628262681026286236[[#This Row],[Saldo no cartão]:[Recarga Pendente]])</f>
        <v>0</v>
      </c>
      <c r="N108" s="19">
        <f>Tabela174681012142230322681619252731333624210121416182426283038402481012141620222628303234362426810121424610122426244262628262681026286236[[#This Row],[Uso diário]]*2</f>
        <v>37.6</v>
      </c>
      <c r="O108" s="19">
        <f>Tabela174681012142230322681619252731333624210121416182426283038402481012141620222628303234362426810121424610122426244262628262681026286236[[#This Row],[Total Acumulado]]-P108</f>
        <v>-94</v>
      </c>
      <c r="P108" s="48">
        <f>Tabela174681012142230322681619252731333624210121416182426283038402481012141620222628303234362426810121424610122426244262628262681026286236[[#This Row],[Uso diário]]*5</f>
        <v>94</v>
      </c>
      <c r="Q1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" s="25">
        <v>1</v>
      </c>
    </row>
    <row r="109" spans="1:20" s="26" customFormat="1" x14ac:dyDescent="0.25">
      <c r="A109" s="16">
        <v>218146</v>
      </c>
      <c r="B109" s="30" t="s">
        <v>1139</v>
      </c>
      <c r="C109" s="20" t="s">
        <v>637</v>
      </c>
      <c r="D109" s="20" t="s">
        <v>696</v>
      </c>
      <c r="E109" s="20" t="s">
        <v>1752</v>
      </c>
      <c r="F109" s="20" t="s">
        <v>1753</v>
      </c>
      <c r="G109" s="21">
        <v>18.8</v>
      </c>
      <c r="H109" s="16">
        <v>27</v>
      </c>
      <c r="I109" s="16">
        <v>5</v>
      </c>
      <c r="J1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09" s="22"/>
      <c r="L109" s="23"/>
      <c r="M109" s="23">
        <f>SUM(Tabela174681012142230322681619252731333624210121416182426283038402481012141620222628303234362426810121424610122426244262628262681026286236[[#This Row],[Saldo no cartão]:[Recarga Pendente]])</f>
        <v>0</v>
      </c>
      <c r="N109" s="19">
        <f>Tabela174681012142230322681619252731333624210121416182426283038402481012141620222628303234362426810121424610122426244262628262681026286236[[#This Row],[Uso diário]]*2</f>
        <v>37.6</v>
      </c>
      <c r="O109" s="19">
        <f>Tabela174681012142230322681619252731333624210121416182426283038402481012141620222628303234362426810121424610122426244262628262681026286236[[#This Row],[Total Acumulado]]-P109</f>
        <v>-94</v>
      </c>
      <c r="P109" s="48">
        <f>Tabela174681012142230322681619252731333624210121416182426283038402481012141620222628303234362426810121424610122426244262628262681026286236[[#This Row],[Uso diário]]*5</f>
        <v>94</v>
      </c>
      <c r="Q1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" s="25">
        <v>1</v>
      </c>
    </row>
    <row r="110" spans="1:20" s="26" customFormat="1" x14ac:dyDescent="0.25">
      <c r="A110" s="16">
        <v>219032</v>
      </c>
      <c r="B110" s="30" t="s">
        <v>90</v>
      </c>
      <c r="C110" s="20" t="s">
        <v>637</v>
      </c>
      <c r="D110" s="20" t="s">
        <v>695</v>
      </c>
      <c r="E110" s="20" t="s">
        <v>1754</v>
      </c>
      <c r="F110" s="20" t="s">
        <v>1755</v>
      </c>
      <c r="G110" s="21">
        <v>18.8</v>
      </c>
      <c r="H110" s="16">
        <v>3</v>
      </c>
      <c r="I110" s="16"/>
      <c r="J1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56.400000000000006</v>
      </c>
      <c r="K110" s="22"/>
      <c r="L110" s="23"/>
      <c r="M110" s="23">
        <f>SUM(Tabela174681012142230322681619252731333624210121416182426283038402481012141620222628303234362426810121424610122426244262628262681026286236[[#This Row],[Saldo no cartão]:[Recarga Pendente]])</f>
        <v>0</v>
      </c>
      <c r="N110" s="19">
        <f>Tabela174681012142230322681619252731333624210121416182426283038402481012141620222628303234362426810121424610122426244262628262681026286236[[#This Row],[Uso diário]]*2</f>
        <v>37.6</v>
      </c>
      <c r="O110" s="19">
        <f>Tabela174681012142230322681619252731333624210121416182426283038402481012141620222628303234362426810121424610122426244262628262681026286236[[#This Row],[Total Acumulado]]-P110</f>
        <v>-94</v>
      </c>
      <c r="P110" s="48">
        <f>Tabela174681012142230322681619252731333624210121416182426283038402481012141620222628303234362426810121424610122426244262628262681026286236[[#This Row],[Uso diário]]*5</f>
        <v>94</v>
      </c>
      <c r="Q1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56.400000000000006</v>
      </c>
      <c r="S1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" s="25">
        <v>1</v>
      </c>
    </row>
    <row r="111" spans="1:20" s="26" customFormat="1" x14ac:dyDescent="0.25">
      <c r="A111" s="16">
        <v>219381</v>
      </c>
      <c r="B111" s="30" t="s">
        <v>1140</v>
      </c>
      <c r="C111" s="20" t="s">
        <v>637</v>
      </c>
      <c r="D111" s="20" t="s">
        <v>696</v>
      </c>
      <c r="E111" s="20" t="s">
        <v>1756</v>
      </c>
      <c r="F111" s="20" t="s">
        <v>1757</v>
      </c>
      <c r="G111" s="21">
        <v>18.8</v>
      </c>
      <c r="H111" s="16">
        <v>22</v>
      </c>
      <c r="I111" s="16"/>
      <c r="J1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1" s="22"/>
      <c r="L111" s="23"/>
      <c r="M111" s="23">
        <f>SUM(Tabela174681012142230322681619252731333624210121416182426283038402481012141620222628303234362426810121424610122426244262628262681026286236[[#This Row],[Saldo no cartão]:[Recarga Pendente]])</f>
        <v>0</v>
      </c>
      <c r="N111" s="19">
        <f>Tabela174681012142230322681619252731333624210121416182426283038402481012141620222628303234362426810121424610122426244262628262681026286236[[#This Row],[Uso diário]]*2</f>
        <v>37.6</v>
      </c>
      <c r="O111" s="19">
        <f>Tabela174681012142230322681619252731333624210121416182426283038402481012141620222628303234362426810121424610122426244262628262681026286236[[#This Row],[Total Acumulado]]-P111</f>
        <v>-94</v>
      </c>
      <c r="P111" s="48">
        <f>Tabela174681012142230322681619252731333624210121416182426283038402481012141620222628303234362426810121424610122426244262628262681026286236[[#This Row],[Uso diário]]*5</f>
        <v>94</v>
      </c>
      <c r="Q1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" s="25">
        <v>1</v>
      </c>
    </row>
    <row r="112" spans="1:20" s="26" customFormat="1" x14ac:dyDescent="0.25">
      <c r="A112" s="16">
        <v>219567</v>
      </c>
      <c r="B112" s="30" t="s">
        <v>91</v>
      </c>
      <c r="C112" s="20" t="s">
        <v>637</v>
      </c>
      <c r="D112" s="20" t="s">
        <v>692</v>
      </c>
      <c r="E112" s="20" t="s">
        <v>1758</v>
      </c>
      <c r="F112" s="20" t="s">
        <v>1759</v>
      </c>
      <c r="G112" s="21">
        <v>18.8</v>
      </c>
      <c r="H112" s="16">
        <v>24</v>
      </c>
      <c r="I112" s="16"/>
      <c r="J1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12" s="22"/>
      <c r="L112" s="23"/>
      <c r="M112" s="23">
        <f>SUM(Tabela174681012142230322681619252731333624210121416182426283038402481012141620222628303234362426810121424610122426244262628262681026286236[[#This Row],[Saldo no cartão]:[Recarga Pendente]])</f>
        <v>0</v>
      </c>
      <c r="N112" s="19">
        <f>Tabela174681012142230322681619252731333624210121416182426283038402481012141620222628303234362426810121424610122426244262628262681026286236[[#This Row],[Uso diário]]*2</f>
        <v>37.6</v>
      </c>
      <c r="O112" s="19">
        <f>Tabela174681012142230322681619252731333624210121416182426283038402481012141620222628303234362426810121424610122426244262628262681026286236[[#This Row],[Total Acumulado]]-P112</f>
        <v>-94</v>
      </c>
      <c r="P112" s="48">
        <f>Tabela174681012142230322681619252731333624210121416182426283038402481012141620222628303234362426810121424610122426244262628262681026286236[[#This Row],[Uso diário]]*5</f>
        <v>94</v>
      </c>
      <c r="Q1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" s="25">
        <v>1</v>
      </c>
    </row>
    <row r="113" spans="1:20" s="26" customFormat="1" x14ac:dyDescent="0.25">
      <c r="A113" s="16">
        <v>219592</v>
      </c>
      <c r="B113" s="30" t="s">
        <v>92</v>
      </c>
      <c r="C113" s="20" t="s">
        <v>637</v>
      </c>
      <c r="D113" s="20" t="s">
        <v>691</v>
      </c>
      <c r="E113" s="20" t="s">
        <v>1760</v>
      </c>
      <c r="F113" s="20" t="s">
        <v>1761</v>
      </c>
      <c r="G113" s="21">
        <v>18.8</v>
      </c>
      <c r="H113" s="16">
        <v>24</v>
      </c>
      <c r="I113" s="16"/>
      <c r="J1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13" s="22"/>
      <c r="L113" s="23">
        <v>56.4</v>
      </c>
      <c r="M113" s="23">
        <f>SUM(Tabela174681012142230322681619252731333624210121416182426283038402481012141620222628303234362426810121424610122426244262628262681026286236[[#This Row],[Saldo no cartão]:[Recarga Pendente]])</f>
        <v>56.4</v>
      </c>
      <c r="N113" s="19">
        <f>Tabela174681012142230322681619252731333624210121416182426283038402481012141620222628303234362426810121424610122426244262628262681026286236[[#This Row],[Uso diário]]*2</f>
        <v>37.6</v>
      </c>
      <c r="O113" s="19">
        <f>Tabela174681012142230322681619252731333624210121416182426283038402481012141620222628303234362426810121424610122426244262628262681026286236[[#This Row],[Total Acumulado]]-P113</f>
        <v>-37.6</v>
      </c>
      <c r="P113" s="48">
        <f>Tabela174681012142230322681619252731333624210121416182426283038402481012141620222628303234362426810121424610122426244262628262681026286236[[#This Row],[Uso diário]]*5</f>
        <v>94</v>
      </c>
      <c r="Q1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" s="25">
        <v>1</v>
      </c>
    </row>
    <row r="114" spans="1:20" s="26" customFormat="1" x14ac:dyDescent="0.25">
      <c r="A114" s="16">
        <v>219606</v>
      </c>
      <c r="B114" s="30" t="s">
        <v>1030</v>
      </c>
      <c r="C114" s="20" t="s">
        <v>637</v>
      </c>
      <c r="D114" s="20" t="s">
        <v>692</v>
      </c>
      <c r="E114" s="20" t="s">
        <v>1762</v>
      </c>
      <c r="F114" s="20" t="s">
        <v>1763</v>
      </c>
      <c r="G114" s="21">
        <v>18.8</v>
      </c>
      <c r="H114" s="16">
        <v>27</v>
      </c>
      <c r="I114" s="16"/>
      <c r="J1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507.6</v>
      </c>
      <c r="K114" s="22"/>
      <c r="L114" s="23"/>
      <c r="M114" s="23">
        <f>SUM(Tabela174681012142230322681619252731333624210121416182426283038402481012141620222628303234362426810121424610122426244262628262681026286236[[#This Row],[Saldo no cartão]:[Recarga Pendente]])</f>
        <v>0</v>
      </c>
      <c r="N114" s="19">
        <f>Tabela174681012142230322681619252731333624210121416182426283038402481012141620222628303234362426810121424610122426244262628262681026286236[[#This Row],[Uso diário]]*2</f>
        <v>37.6</v>
      </c>
      <c r="O114" s="19">
        <f>Tabela174681012142230322681619252731333624210121416182426283038402481012141620222628303234362426810121424610122426244262628262681026286236[[#This Row],[Total Acumulado]]-P114</f>
        <v>-94</v>
      </c>
      <c r="P114" s="48">
        <f>Tabela174681012142230322681619252731333624210121416182426283038402481012141620222628303234362426810121424610122426244262628262681026286236[[#This Row],[Uso diário]]*5</f>
        <v>94</v>
      </c>
      <c r="Q1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507.6</v>
      </c>
      <c r="S1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" s="25">
        <v>1</v>
      </c>
    </row>
    <row r="115" spans="1:20" s="26" customFormat="1" x14ac:dyDescent="0.25">
      <c r="A115" s="16">
        <v>219750</v>
      </c>
      <c r="B115" s="30" t="s">
        <v>1396</v>
      </c>
      <c r="C115" s="20" t="s">
        <v>637</v>
      </c>
      <c r="D115" s="20" t="s">
        <v>692</v>
      </c>
      <c r="E115" s="20" t="s">
        <v>1764</v>
      </c>
      <c r="F115" s="20" t="s">
        <v>1765</v>
      </c>
      <c r="G115" s="21">
        <v>18.8</v>
      </c>
      <c r="H115" s="16">
        <v>24</v>
      </c>
      <c r="I115" s="16"/>
      <c r="J1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15" s="22"/>
      <c r="L115" s="23"/>
      <c r="M115" s="23">
        <f>SUM(Tabela174681012142230322681619252731333624210121416182426283038402481012141620222628303234362426810121424610122426244262628262681026286236[[#This Row],[Saldo no cartão]:[Recarga Pendente]])</f>
        <v>0</v>
      </c>
      <c r="N115" s="19">
        <f>Tabela174681012142230322681619252731333624210121416182426283038402481012141620222628303234362426810121424610122426244262628262681026286236[[#This Row],[Uso diário]]*2</f>
        <v>37.6</v>
      </c>
      <c r="O115" s="19">
        <f>Tabela174681012142230322681619252731333624210121416182426283038402481012141620222628303234362426810121424610122426244262628262681026286236[[#This Row],[Total Acumulado]]-P115</f>
        <v>-94</v>
      </c>
      <c r="P115" s="48">
        <f>Tabela174681012142230322681619252731333624210121416182426283038402481012141620222628303234362426810121424610122426244262628262681026286236[[#This Row],[Uso diário]]*5</f>
        <v>94</v>
      </c>
      <c r="Q1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" s="25">
        <v>1</v>
      </c>
    </row>
    <row r="116" spans="1:20" s="26" customFormat="1" x14ac:dyDescent="0.25">
      <c r="A116" s="16">
        <v>220268</v>
      </c>
      <c r="B116" s="30" t="s">
        <v>93</v>
      </c>
      <c r="C116" s="20" t="s">
        <v>637</v>
      </c>
      <c r="D116" s="20" t="s">
        <v>696</v>
      </c>
      <c r="E116" s="20" t="s">
        <v>1766</v>
      </c>
      <c r="F116" s="20" t="s">
        <v>1767</v>
      </c>
      <c r="G116" s="21">
        <v>18.8</v>
      </c>
      <c r="H116" s="16">
        <v>22</v>
      </c>
      <c r="I116" s="16">
        <v>2</v>
      </c>
      <c r="J1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116" s="22"/>
      <c r="L116" s="23"/>
      <c r="M116" s="23">
        <f>SUM(Tabela174681012142230322681619252731333624210121416182426283038402481012141620222628303234362426810121424610122426244262628262681026286236[[#This Row],[Saldo no cartão]:[Recarga Pendente]])</f>
        <v>0</v>
      </c>
      <c r="N116" s="19">
        <f>Tabela174681012142230322681619252731333624210121416182426283038402481012141620222628303234362426810121424610122426244262628262681026286236[[#This Row],[Uso diário]]*2</f>
        <v>37.6</v>
      </c>
      <c r="O116" s="19">
        <f>Tabela174681012142230322681619252731333624210121416182426283038402481012141620222628303234362426810121424610122426244262628262681026286236[[#This Row],[Total Acumulado]]-P116</f>
        <v>-94</v>
      </c>
      <c r="P116" s="48">
        <f>Tabela174681012142230322681619252731333624210121416182426283038402481012141620222628303234362426810121424610122426244262628262681026286236[[#This Row],[Uso diário]]*5</f>
        <v>94</v>
      </c>
      <c r="Q1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1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" s="25">
        <v>1</v>
      </c>
    </row>
    <row r="117" spans="1:20" s="26" customFormat="1" x14ac:dyDescent="0.25">
      <c r="A117" s="16">
        <v>220844</v>
      </c>
      <c r="B117" s="30" t="s">
        <v>94</v>
      </c>
      <c r="C117" s="20" t="s">
        <v>637</v>
      </c>
      <c r="D117" s="20" t="s">
        <v>696</v>
      </c>
      <c r="E117" s="20" t="s">
        <v>1768</v>
      </c>
      <c r="F117" s="20" t="s">
        <v>1769</v>
      </c>
      <c r="G117" s="21">
        <v>18.8</v>
      </c>
      <c r="H117" s="16">
        <v>27</v>
      </c>
      <c r="I117" s="16">
        <v>2</v>
      </c>
      <c r="J1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17" s="22"/>
      <c r="L117" s="23"/>
      <c r="M117" s="23">
        <f>SUM(Tabela174681012142230322681619252731333624210121416182426283038402481012141620222628303234362426810121424610122426244262628262681026286236[[#This Row],[Saldo no cartão]:[Recarga Pendente]])</f>
        <v>0</v>
      </c>
      <c r="N117" s="19">
        <f>Tabela174681012142230322681619252731333624210121416182426283038402481012141620222628303234362426810121424610122426244262628262681026286236[[#This Row],[Uso diário]]*2</f>
        <v>37.6</v>
      </c>
      <c r="O117" s="19">
        <f>Tabela174681012142230322681619252731333624210121416182426283038402481012141620222628303234362426810121424610122426244262628262681026286236[[#This Row],[Total Acumulado]]-P117</f>
        <v>-94</v>
      </c>
      <c r="P117" s="48">
        <f>Tabela174681012142230322681619252731333624210121416182426283038402481012141620222628303234362426810121424610122426244262628262681026286236[[#This Row],[Uso diário]]*5</f>
        <v>94</v>
      </c>
      <c r="Q1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" s="25">
        <v>1</v>
      </c>
    </row>
    <row r="118" spans="1:20" s="26" customFormat="1" x14ac:dyDescent="0.25">
      <c r="A118" s="16">
        <v>221472</v>
      </c>
      <c r="B118" s="30" t="s">
        <v>95</v>
      </c>
      <c r="C118" s="20" t="s">
        <v>637</v>
      </c>
      <c r="D118" s="20" t="s">
        <v>692</v>
      </c>
      <c r="E118" s="20" t="s">
        <v>1770</v>
      </c>
      <c r="F118" s="20" t="s">
        <v>1771</v>
      </c>
      <c r="G118" s="21">
        <v>18.8</v>
      </c>
      <c r="H118" s="16">
        <v>24</v>
      </c>
      <c r="I118" s="16"/>
      <c r="J1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18" s="22"/>
      <c r="L118" s="23"/>
      <c r="M118" s="23">
        <f>SUM(Tabela174681012142230322681619252731333624210121416182426283038402481012141620222628303234362426810121424610122426244262628262681026286236[[#This Row],[Saldo no cartão]:[Recarga Pendente]])</f>
        <v>0</v>
      </c>
      <c r="N118" s="19">
        <f>Tabela174681012142230322681619252731333624210121416182426283038402481012141620222628303234362426810121424610122426244262628262681026286236[[#This Row],[Uso diário]]*2</f>
        <v>37.6</v>
      </c>
      <c r="O118" s="19">
        <f>Tabela174681012142230322681619252731333624210121416182426283038402481012141620222628303234362426810121424610122426244262628262681026286236[[#This Row],[Total Acumulado]]-P118</f>
        <v>-94</v>
      </c>
      <c r="P118" s="48">
        <f>Tabela174681012142230322681619252731333624210121416182426283038402481012141620222628303234362426810121424610122426244262628262681026286236[[#This Row],[Uso diário]]*5</f>
        <v>94</v>
      </c>
      <c r="Q1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" s="25">
        <v>1</v>
      </c>
    </row>
    <row r="119" spans="1:20" s="26" customFormat="1" x14ac:dyDescent="0.25">
      <c r="A119" s="16">
        <v>222313</v>
      </c>
      <c r="B119" s="30" t="s">
        <v>96</v>
      </c>
      <c r="C119" s="20" t="s">
        <v>637</v>
      </c>
      <c r="D119" s="20" t="s">
        <v>696</v>
      </c>
      <c r="E119" s="20" t="s">
        <v>1772</v>
      </c>
      <c r="F119" s="20" t="s">
        <v>1773</v>
      </c>
      <c r="G119" s="21">
        <v>18.8</v>
      </c>
      <c r="H119" s="16">
        <v>27</v>
      </c>
      <c r="I119" s="16"/>
      <c r="J1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507.6</v>
      </c>
      <c r="K119" s="22"/>
      <c r="L119" s="23"/>
      <c r="M119" s="23">
        <f>SUM(Tabela174681012142230322681619252731333624210121416182426283038402481012141620222628303234362426810121424610122426244262628262681026286236[[#This Row],[Saldo no cartão]:[Recarga Pendente]])</f>
        <v>0</v>
      </c>
      <c r="N119" s="19">
        <f>Tabela174681012142230322681619252731333624210121416182426283038402481012141620222628303234362426810121424610122426244262628262681026286236[[#This Row],[Uso diário]]*2</f>
        <v>37.6</v>
      </c>
      <c r="O119" s="19">
        <f>Tabela174681012142230322681619252731333624210121416182426283038402481012141620222628303234362426810121424610122426244262628262681026286236[[#This Row],[Total Acumulado]]-P119</f>
        <v>-94</v>
      </c>
      <c r="P119" s="48">
        <f>Tabela174681012142230322681619252731333624210121416182426283038402481012141620222628303234362426810121424610122426244262628262681026286236[[#This Row],[Uso diário]]*5</f>
        <v>94</v>
      </c>
      <c r="Q1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507.6</v>
      </c>
      <c r="S1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" s="25">
        <v>1</v>
      </c>
    </row>
    <row r="120" spans="1:20" s="26" customFormat="1" x14ac:dyDescent="0.25">
      <c r="A120" s="16">
        <v>222443</v>
      </c>
      <c r="B120" s="30" t="s">
        <v>97</v>
      </c>
      <c r="C120" s="20" t="s">
        <v>637</v>
      </c>
      <c r="D120" s="20" t="s">
        <v>692</v>
      </c>
      <c r="E120" s="20" t="s">
        <v>1774</v>
      </c>
      <c r="F120" s="20" t="s">
        <v>1775</v>
      </c>
      <c r="G120" s="21">
        <v>18.8</v>
      </c>
      <c r="H120" s="16">
        <v>27</v>
      </c>
      <c r="I120" s="16">
        <v>5</v>
      </c>
      <c r="J1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20" s="22"/>
      <c r="L120" s="23"/>
      <c r="M120" s="23">
        <f>SUM(Tabela174681012142230322681619252731333624210121416182426283038402481012141620222628303234362426810121424610122426244262628262681026286236[[#This Row],[Saldo no cartão]:[Recarga Pendente]])</f>
        <v>0</v>
      </c>
      <c r="N120" s="19">
        <f>Tabela174681012142230322681619252731333624210121416182426283038402481012141620222628303234362426810121424610122426244262628262681026286236[[#This Row],[Uso diário]]*2</f>
        <v>37.6</v>
      </c>
      <c r="O120" s="19">
        <f>Tabela174681012142230322681619252731333624210121416182426283038402481012141620222628303234362426810121424610122426244262628262681026286236[[#This Row],[Total Acumulado]]-P120</f>
        <v>-94</v>
      </c>
      <c r="P120" s="48">
        <f>Tabela174681012142230322681619252731333624210121416182426283038402481012141620222628303234362426810121424610122426244262628262681026286236[[#This Row],[Uso diário]]*5</f>
        <v>94</v>
      </c>
      <c r="Q1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" s="25">
        <v>1</v>
      </c>
    </row>
    <row r="121" spans="1:20" s="26" customFormat="1" x14ac:dyDescent="0.25">
      <c r="A121" s="16">
        <v>222607</v>
      </c>
      <c r="B121" s="30" t="s">
        <v>98</v>
      </c>
      <c r="C121" s="20" t="s">
        <v>637</v>
      </c>
      <c r="D121" s="20" t="s">
        <v>696</v>
      </c>
      <c r="E121" s="20" t="s">
        <v>1776</v>
      </c>
      <c r="F121" s="20" t="s">
        <v>1777</v>
      </c>
      <c r="G121" s="21">
        <v>18.8</v>
      </c>
      <c r="H121" s="16">
        <v>22</v>
      </c>
      <c r="I121" s="16"/>
      <c r="J1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21" s="22"/>
      <c r="L121" s="23"/>
      <c r="M121" s="23">
        <f>SUM(Tabela174681012142230322681619252731333624210121416182426283038402481012141620222628303234362426810121424610122426244262628262681026286236[[#This Row],[Saldo no cartão]:[Recarga Pendente]])</f>
        <v>0</v>
      </c>
      <c r="N121" s="19">
        <f>Tabela174681012142230322681619252731333624210121416182426283038402481012141620222628303234362426810121424610122426244262628262681026286236[[#This Row],[Uso diário]]*2</f>
        <v>37.6</v>
      </c>
      <c r="O121" s="19">
        <f>Tabela174681012142230322681619252731333624210121416182426283038402481012141620222628303234362426810121424610122426244262628262681026286236[[#This Row],[Total Acumulado]]-P121</f>
        <v>-94</v>
      </c>
      <c r="P121" s="48">
        <f>Tabela174681012142230322681619252731333624210121416182426283038402481012141620222628303234362426810121424610122426244262628262681026286236[[#This Row],[Uso diário]]*5</f>
        <v>94</v>
      </c>
      <c r="Q1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" s="25">
        <v>1</v>
      </c>
    </row>
    <row r="122" spans="1:20" s="26" customFormat="1" x14ac:dyDescent="0.25">
      <c r="A122" s="16">
        <v>222631</v>
      </c>
      <c r="B122" s="30" t="s">
        <v>99</v>
      </c>
      <c r="C122" s="20" t="s">
        <v>637</v>
      </c>
      <c r="D122" s="20" t="s">
        <v>692</v>
      </c>
      <c r="E122" s="20" t="s">
        <v>1778</v>
      </c>
      <c r="F122" s="20" t="s">
        <v>1779</v>
      </c>
      <c r="G122" s="21">
        <v>18.8</v>
      </c>
      <c r="H122" s="16">
        <v>24</v>
      </c>
      <c r="I122" s="16"/>
      <c r="J1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22" s="22"/>
      <c r="L122" s="23"/>
      <c r="M122" s="23">
        <f>SUM(Tabela174681012142230322681619252731333624210121416182426283038402481012141620222628303234362426810121424610122426244262628262681026286236[[#This Row],[Saldo no cartão]:[Recarga Pendente]])</f>
        <v>0</v>
      </c>
      <c r="N122" s="19">
        <f>Tabela174681012142230322681619252731333624210121416182426283038402481012141620222628303234362426810121424610122426244262628262681026286236[[#This Row],[Uso diário]]*2</f>
        <v>37.6</v>
      </c>
      <c r="O122" s="19">
        <f>Tabela174681012142230322681619252731333624210121416182426283038402481012141620222628303234362426810121424610122426244262628262681026286236[[#This Row],[Total Acumulado]]-P122</f>
        <v>-94</v>
      </c>
      <c r="P122" s="48">
        <f>Tabela174681012142230322681619252731333624210121416182426283038402481012141620222628303234362426810121424610122426244262628262681026286236[[#This Row],[Uso diário]]*5</f>
        <v>94</v>
      </c>
      <c r="Q1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" s="25">
        <v>1</v>
      </c>
    </row>
    <row r="123" spans="1:20" s="26" customFormat="1" x14ac:dyDescent="0.25">
      <c r="A123" s="16">
        <v>222634</v>
      </c>
      <c r="B123" s="30" t="s">
        <v>100</v>
      </c>
      <c r="C123" s="20" t="s">
        <v>637</v>
      </c>
      <c r="D123" s="20" t="s">
        <v>692</v>
      </c>
      <c r="E123" s="20" t="s">
        <v>1780</v>
      </c>
      <c r="F123" s="20" t="s">
        <v>1781</v>
      </c>
      <c r="G123" s="21">
        <v>18.8</v>
      </c>
      <c r="H123" s="16">
        <v>24</v>
      </c>
      <c r="I123" s="16">
        <v>1</v>
      </c>
      <c r="J1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23" s="22"/>
      <c r="L123" s="23">
        <v>37.6</v>
      </c>
      <c r="M123" s="23">
        <f>SUM(Tabela174681012142230322681619252731333624210121416182426283038402481012141620222628303234362426810121424610122426244262628262681026286236[[#This Row],[Saldo no cartão]:[Recarga Pendente]])</f>
        <v>37.6</v>
      </c>
      <c r="N123" s="19">
        <f>Tabela174681012142230322681619252731333624210121416182426283038402481012141620222628303234362426810121424610122426244262628262681026286236[[#This Row],[Uso diário]]*2</f>
        <v>37.6</v>
      </c>
      <c r="O123" s="19">
        <f>Tabela174681012142230322681619252731333624210121416182426283038402481012141620222628303234362426810121424610122426244262628262681026286236[[#This Row],[Total Acumulado]]-P123</f>
        <v>-56.4</v>
      </c>
      <c r="P123" s="48">
        <f>Tabela174681012142230322681619252731333624210121416182426283038402481012141620222628303234362426810121424610122426244262628262681026286236[[#This Row],[Uso diário]]*5</f>
        <v>94</v>
      </c>
      <c r="Q1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" s="25">
        <v>1</v>
      </c>
    </row>
    <row r="124" spans="1:20" s="26" customFormat="1" x14ac:dyDescent="0.25">
      <c r="A124" s="16">
        <v>222861</v>
      </c>
      <c r="B124" s="30" t="s">
        <v>101</v>
      </c>
      <c r="C124" s="20" t="s">
        <v>637</v>
      </c>
      <c r="D124" s="20" t="s">
        <v>692</v>
      </c>
      <c r="E124" s="20" t="s">
        <v>1782</v>
      </c>
      <c r="F124" s="20" t="s">
        <v>1783</v>
      </c>
      <c r="G124" s="21">
        <v>18.8</v>
      </c>
      <c r="H124" s="16">
        <v>24</v>
      </c>
      <c r="I124" s="16">
        <v>1</v>
      </c>
      <c r="J1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24" s="22"/>
      <c r="L124" s="23">
        <v>367.45</v>
      </c>
      <c r="M124" s="23">
        <f>SUM(Tabela174681012142230322681619252731333624210121416182426283038402481012141620222628303234362426810121424610122426244262628262681026286236[[#This Row],[Saldo no cartão]:[Recarga Pendente]])</f>
        <v>367.45</v>
      </c>
      <c r="N124" s="19">
        <f>Tabela174681012142230322681619252731333624210121416182426283038402481012141620222628303234362426810121424610122426244262628262681026286236[[#This Row],[Uso diário]]*2</f>
        <v>37.6</v>
      </c>
      <c r="O124" s="19">
        <f>Tabela174681012142230322681619252731333624210121416182426283038402481012141620222628303234362426810121424610122426244262628262681026286236[[#This Row],[Total Acumulado]]-P124</f>
        <v>273.45</v>
      </c>
      <c r="P124" s="48">
        <f>Tabela174681012142230322681619252731333624210121416182426283038402481012141620222628303234362426810121424610122426244262628262681026286236[[#This Row],[Uso diário]]*5</f>
        <v>94</v>
      </c>
      <c r="Q1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273.45</v>
      </c>
      <c r="R1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158.95000000000005</v>
      </c>
      <c r="S124" s="18" t="s">
        <v>11</v>
      </c>
      <c r="T124" s="25">
        <v>1</v>
      </c>
    </row>
    <row r="125" spans="1:20" s="26" customFormat="1" x14ac:dyDescent="0.25">
      <c r="A125" s="16">
        <v>222903</v>
      </c>
      <c r="B125" s="30" t="s">
        <v>1141</v>
      </c>
      <c r="C125" s="20" t="s">
        <v>637</v>
      </c>
      <c r="D125" s="20" t="s">
        <v>692</v>
      </c>
      <c r="E125" s="20" t="s">
        <v>1784</v>
      </c>
      <c r="F125" s="20" t="s">
        <v>1785</v>
      </c>
      <c r="G125" s="21">
        <v>18.8</v>
      </c>
      <c r="H125" s="16">
        <v>24</v>
      </c>
      <c r="I125" s="16"/>
      <c r="J1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25" s="22"/>
      <c r="L125" s="23">
        <v>18.8</v>
      </c>
      <c r="M125" s="23">
        <f>SUM(Tabela174681012142230322681619252731333624210121416182426283038402481012141620222628303234362426810121424610122426244262628262681026286236[[#This Row],[Saldo no cartão]:[Recarga Pendente]])</f>
        <v>18.8</v>
      </c>
      <c r="N125" s="19">
        <f>Tabela174681012142230322681619252731333624210121416182426283038402481012141620222628303234362426810121424610122426244262628262681026286236[[#This Row],[Uso diário]]*2</f>
        <v>37.6</v>
      </c>
      <c r="O125" s="19">
        <f>Tabela174681012142230322681619252731333624210121416182426283038402481012141620222628303234362426810121424610122426244262628262681026286236[[#This Row],[Total Acumulado]]-P125</f>
        <v>-75.2</v>
      </c>
      <c r="P125" s="48">
        <f>Tabela174681012142230322681619252731333624210121416182426283038402481012141620222628303234362426810121424610122426244262628262681026286236[[#This Row],[Uso diário]]*5</f>
        <v>94</v>
      </c>
      <c r="Q1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" s="25">
        <v>1</v>
      </c>
    </row>
    <row r="126" spans="1:20" s="26" customFormat="1" x14ac:dyDescent="0.25">
      <c r="A126" s="16">
        <v>222991</v>
      </c>
      <c r="B126" s="30" t="s">
        <v>1031</v>
      </c>
      <c r="C126" s="20" t="s">
        <v>637</v>
      </c>
      <c r="D126" s="20" t="s">
        <v>692</v>
      </c>
      <c r="E126" s="20" t="s">
        <v>1786</v>
      </c>
      <c r="F126" s="20" t="s">
        <v>1787</v>
      </c>
      <c r="G126" s="21">
        <v>18.8</v>
      </c>
      <c r="H126" s="16">
        <v>27</v>
      </c>
      <c r="I126" s="16">
        <v>1</v>
      </c>
      <c r="J1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6" s="22"/>
      <c r="L126" s="23">
        <v>18.8</v>
      </c>
      <c r="M126" s="23">
        <f>SUM(Tabela174681012142230322681619252731333624210121416182426283038402481012141620222628303234362426810121424610122426244262628262681026286236[[#This Row],[Saldo no cartão]:[Recarga Pendente]])</f>
        <v>18.8</v>
      </c>
      <c r="N126" s="19">
        <f>Tabela174681012142230322681619252731333624210121416182426283038402481012141620222628303234362426810121424610122426244262628262681026286236[[#This Row],[Uso diário]]*2</f>
        <v>37.6</v>
      </c>
      <c r="O126" s="19">
        <f>Tabela174681012142230322681619252731333624210121416182426283038402481012141620222628303234362426810121424610122426244262628262681026286236[[#This Row],[Total Acumulado]]-P126</f>
        <v>-75.2</v>
      </c>
      <c r="P126" s="48">
        <f>Tabela174681012142230322681619252731333624210121416182426283038402481012141620222628303234362426810121424610122426244262628262681026286236[[#This Row],[Uso diário]]*5</f>
        <v>94</v>
      </c>
      <c r="Q1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" s="25">
        <v>1</v>
      </c>
    </row>
    <row r="127" spans="1:20" s="26" customFormat="1" x14ac:dyDescent="0.25">
      <c r="A127" s="16">
        <v>223171</v>
      </c>
      <c r="B127" s="30" t="s">
        <v>103</v>
      </c>
      <c r="C127" s="20" t="s">
        <v>637</v>
      </c>
      <c r="D127" s="20" t="s">
        <v>694</v>
      </c>
      <c r="E127" s="20" t="s">
        <v>1788</v>
      </c>
      <c r="F127" s="20" t="s">
        <v>1789</v>
      </c>
      <c r="G127" s="21">
        <v>18.8</v>
      </c>
      <c r="H127" s="16">
        <v>24</v>
      </c>
      <c r="I127" s="16"/>
      <c r="J1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27" s="22"/>
      <c r="L127" s="23"/>
      <c r="M127" s="23">
        <f>SUM(Tabela174681012142230322681619252731333624210121416182426283038402481012141620222628303234362426810121424610122426244262628262681026286236[[#This Row],[Saldo no cartão]:[Recarga Pendente]])</f>
        <v>0</v>
      </c>
      <c r="N127" s="19">
        <f>Tabela174681012142230322681619252731333624210121416182426283038402481012141620222628303234362426810121424610122426244262628262681026286236[[#This Row],[Uso diário]]*2</f>
        <v>37.6</v>
      </c>
      <c r="O127" s="19">
        <f>Tabela174681012142230322681619252731333624210121416182426283038402481012141620222628303234362426810121424610122426244262628262681026286236[[#This Row],[Total Acumulado]]-P127</f>
        <v>-94</v>
      </c>
      <c r="P127" s="48">
        <f>Tabela174681012142230322681619252731333624210121416182426283038402481012141620222628303234362426810121424610122426244262628262681026286236[[#This Row],[Uso diário]]*5</f>
        <v>94</v>
      </c>
      <c r="Q1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" s="25">
        <v>1</v>
      </c>
    </row>
    <row r="128" spans="1:20" s="26" customFormat="1" x14ac:dyDescent="0.25">
      <c r="A128" s="16">
        <v>223245</v>
      </c>
      <c r="B128" s="30" t="s">
        <v>104</v>
      </c>
      <c r="C128" s="20" t="s">
        <v>637</v>
      </c>
      <c r="D128" s="20" t="s">
        <v>692</v>
      </c>
      <c r="E128" s="20" t="s">
        <v>1790</v>
      </c>
      <c r="F128" s="20" t="s">
        <v>1791</v>
      </c>
      <c r="G128" s="21">
        <v>18.8</v>
      </c>
      <c r="H128" s="16">
        <v>27</v>
      </c>
      <c r="I128" s="16">
        <v>5</v>
      </c>
      <c r="J1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28" s="22"/>
      <c r="L128" s="23"/>
      <c r="M128" s="23">
        <f>SUM(Tabela174681012142230322681619252731333624210121416182426283038402481012141620222628303234362426810121424610122426244262628262681026286236[[#This Row],[Saldo no cartão]:[Recarga Pendente]])</f>
        <v>0</v>
      </c>
      <c r="N128" s="19">
        <f>Tabela174681012142230322681619252731333624210121416182426283038402481012141620222628303234362426810121424610122426244262628262681026286236[[#This Row],[Uso diário]]*2</f>
        <v>37.6</v>
      </c>
      <c r="O128" s="19">
        <f>Tabela174681012142230322681619252731333624210121416182426283038402481012141620222628303234362426810121424610122426244262628262681026286236[[#This Row],[Total Acumulado]]-P128</f>
        <v>-94</v>
      </c>
      <c r="P128" s="48">
        <f>Tabela174681012142230322681619252731333624210121416182426283038402481012141620222628303234362426810121424610122426244262628262681026286236[[#This Row],[Uso diário]]*5</f>
        <v>94</v>
      </c>
      <c r="Q1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" s="25">
        <v>1</v>
      </c>
    </row>
    <row r="129" spans="1:20" s="26" customFormat="1" x14ac:dyDescent="0.25">
      <c r="A129" s="16">
        <v>223247</v>
      </c>
      <c r="B129" s="30" t="s">
        <v>105</v>
      </c>
      <c r="C129" s="20" t="s">
        <v>637</v>
      </c>
      <c r="D129" s="20" t="s">
        <v>692</v>
      </c>
      <c r="E129" s="20" t="s">
        <v>1792</v>
      </c>
      <c r="F129" s="20" t="s">
        <v>1793</v>
      </c>
      <c r="G129" s="21">
        <v>13.4</v>
      </c>
      <c r="H129" s="16">
        <v>24</v>
      </c>
      <c r="I129" s="16"/>
      <c r="J1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129" s="22"/>
      <c r="L129" s="23"/>
      <c r="M129" s="23">
        <f>SUM(Tabela174681012142230322681619252731333624210121416182426283038402481012141620222628303234362426810121424610122426244262628262681026286236[[#This Row],[Saldo no cartão]:[Recarga Pendente]])</f>
        <v>0</v>
      </c>
      <c r="N129" s="19">
        <f>Tabela174681012142230322681619252731333624210121416182426283038402481012141620222628303234362426810121424610122426244262628262681026286236[[#This Row],[Uso diário]]*2</f>
        <v>26.8</v>
      </c>
      <c r="O129" s="19">
        <f>Tabela174681012142230322681619252731333624210121416182426283038402481012141620222628303234362426810121424610122426244262628262681026286236[[#This Row],[Total Acumulado]]-P129</f>
        <v>-67</v>
      </c>
      <c r="P129" s="48">
        <f>Tabela174681012142230322681619252731333624210121416182426283038402481012141620222628303234362426810121424610122426244262628262681026286236[[#This Row],[Uso diário]]*5</f>
        <v>67</v>
      </c>
      <c r="Q1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1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" s="25">
        <v>1</v>
      </c>
    </row>
    <row r="130" spans="1:20" s="26" customFormat="1" x14ac:dyDescent="0.25">
      <c r="A130" s="16">
        <v>223401</v>
      </c>
      <c r="B130" s="30" t="s">
        <v>106</v>
      </c>
      <c r="C130" s="20" t="s">
        <v>637</v>
      </c>
      <c r="D130" s="20" t="s">
        <v>692</v>
      </c>
      <c r="E130" s="20" t="s">
        <v>1794</v>
      </c>
      <c r="F130" s="20" t="s">
        <v>1795</v>
      </c>
      <c r="G130" s="21">
        <v>18.8</v>
      </c>
      <c r="H130" s="16">
        <v>24</v>
      </c>
      <c r="I130" s="16"/>
      <c r="J1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30" s="22"/>
      <c r="L130" s="23"/>
      <c r="M130" s="23">
        <f>SUM(Tabela174681012142230322681619252731333624210121416182426283038402481012141620222628303234362426810121424610122426244262628262681026286236[[#This Row],[Saldo no cartão]:[Recarga Pendente]])</f>
        <v>0</v>
      </c>
      <c r="N130" s="19">
        <f>Tabela174681012142230322681619252731333624210121416182426283038402481012141620222628303234362426810121424610122426244262628262681026286236[[#This Row],[Uso diário]]*2</f>
        <v>37.6</v>
      </c>
      <c r="O130" s="19">
        <f>Tabela174681012142230322681619252731333624210121416182426283038402481012141620222628303234362426810121424610122426244262628262681026286236[[#This Row],[Total Acumulado]]-P130</f>
        <v>-94</v>
      </c>
      <c r="P130" s="48">
        <f>Tabela174681012142230322681619252731333624210121416182426283038402481012141620222628303234362426810121424610122426244262628262681026286236[[#This Row],[Uso diário]]*5</f>
        <v>94</v>
      </c>
      <c r="Q1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" s="25">
        <v>1</v>
      </c>
    </row>
    <row r="131" spans="1:20" s="26" customFormat="1" x14ac:dyDescent="0.25">
      <c r="A131" s="16">
        <v>223598</v>
      </c>
      <c r="B131" s="30" t="s">
        <v>107</v>
      </c>
      <c r="C131" s="20" t="s">
        <v>637</v>
      </c>
      <c r="D131" s="20" t="s">
        <v>692</v>
      </c>
      <c r="E131" s="20" t="s">
        <v>1796</v>
      </c>
      <c r="F131" s="20" t="s">
        <v>1797</v>
      </c>
      <c r="G131" s="21">
        <v>18.8</v>
      </c>
      <c r="H131" s="16">
        <v>27</v>
      </c>
      <c r="I131" s="16">
        <v>4</v>
      </c>
      <c r="J1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31" s="22"/>
      <c r="L131" s="23"/>
      <c r="M131" s="23">
        <f>SUM(Tabela174681012142230322681619252731333624210121416182426283038402481012141620222628303234362426810121424610122426244262628262681026286236[[#This Row],[Saldo no cartão]:[Recarga Pendente]])</f>
        <v>0</v>
      </c>
      <c r="N131" s="19">
        <f>Tabela174681012142230322681619252731333624210121416182426283038402481012141620222628303234362426810121424610122426244262628262681026286236[[#This Row],[Uso diário]]*2</f>
        <v>37.6</v>
      </c>
      <c r="O131" s="19">
        <f>Tabela174681012142230322681619252731333624210121416182426283038402481012141620222628303234362426810121424610122426244262628262681026286236[[#This Row],[Total Acumulado]]-P131</f>
        <v>-94</v>
      </c>
      <c r="P131" s="48">
        <f>Tabela174681012142230322681619252731333624210121416182426283038402481012141620222628303234362426810121424610122426244262628262681026286236[[#This Row],[Uso diário]]*5</f>
        <v>94</v>
      </c>
      <c r="Q1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" s="25">
        <v>1</v>
      </c>
    </row>
    <row r="132" spans="1:20" s="26" customFormat="1" x14ac:dyDescent="0.25">
      <c r="A132" s="16">
        <v>224175</v>
      </c>
      <c r="B132" s="30" t="s">
        <v>54</v>
      </c>
      <c r="C132" s="20" t="s">
        <v>637</v>
      </c>
      <c r="D132" s="20" t="s">
        <v>807</v>
      </c>
      <c r="E132" s="20" t="s">
        <v>1798</v>
      </c>
      <c r="F132" s="20" t="s">
        <v>1799</v>
      </c>
      <c r="G132" s="21">
        <v>18.8</v>
      </c>
      <c r="H132" s="16">
        <v>24</v>
      </c>
      <c r="I132" s="16">
        <v>1</v>
      </c>
      <c r="J1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32" s="22"/>
      <c r="L132" s="23"/>
      <c r="M132" s="23">
        <f>SUM(Tabela174681012142230322681619252731333624210121416182426283038402481012141620222628303234362426810121424610122426244262628262681026286236[[#This Row],[Saldo no cartão]:[Recarga Pendente]])</f>
        <v>0</v>
      </c>
      <c r="N132" s="19">
        <f>Tabela174681012142230322681619252731333624210121416182426283038402481012141620222628303234362426810121424610122426244262628262681026286236[[#This Row],[Uso diário]]*2</f>
        <v>37.6</v>
      </c>
      <c r="O132" s="19">
        <f>Tabela174681012142230322681619252731333624210121416182426283038402481012141620222628303234362426810121424610122426244262628262681026286236[[#This Row],[Total Acumulado]]-P132</f>
        <v>-94</v>
      </c>
      <c r="P132" s="48">
        <f>Tabela174681012142230322681619252731333624210121416182426283038402481012141620222628303234362426810121424610122426244262628262681026286236[[#This Row],[Uso diário]]*5</f>
        <v>94</v>
      </c>
      <c r="Q1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" s="25">
        <v>1</v>
      </c>
    </row>
    <row r="133" spans="1:20" s="26" customFormat="1" x14ac:dyDescent="0.25">
      <c r="A133" s="16">
        <v>224576</v>
      </c>
      <c r="B133" s="30" t="s">
        <v>1142</v>
      </c>
      <c r="C133" s="20" t="s">
        <v>637</v>
      </c>
      <c r="D133" s="20" t="s">
        <v>696</v>
      </c>
      <c r="E133" s="20" t="s">
        <v>1800</v>
      </c>
      <c r="F133" s="20" t="s">
        <v>1801</v>
      </c>
      <c r="G133" s="21">
        <v>18.8</v>
      </c>
      <c r="H133" s="16">
        <v>22</v>
      </c>
      <c r="I133" s="16">
        <v>3</v>
      </c>
      <c r="J1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133" s="22"/>
      <c r="L133" s="23"/>
      <c r="M133" s="23">
        <f>SUM(Tabela174681012142230322681619252731333624210121416182426283038402481012141620222628303234362426810121424610122426244262628262681026286236[[#This Row],[Saldo no cartão]:[Recarga Pendente]])</f>
        <v>0</v>
      </c>
      <c r="N133" s="19">
        <f>Tabela174681012142230322681619252731333624210121416182426283038402481012141620222628303234362426810121424610122426244262628262681026286236[[#This Row],[Uso diário]]*2</f>
        <v>37.6</v>
      </c>
      <c r="O133" s="19">
        <f>Tabela174681012142230322681619252731333624210121416182426283038402481012141620222628303234362426810121424610122426244262628262681026286236[[#This Row],[Total Acumulado]]-P133</f>
        <v>-94</v>
      </c>
      <c r="P133" s="48">
        <f>Tabela174681012142230322681619252731333624210121416182426283038402481012141620222628303234362426810121424610122426244262628262681026286236[[#This Row],[Uso diário]]*5</f>
        <v>94</v>
      </c>
      <c r="Q1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1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" s="25">
        <v>1</v>
      </c>
    </row>
    <row r="134" spans="1:20" s="26" customFormat="1" x14ac:dyDescent="0.25">
      <c r="A134" s="16">
        <v>225030</v>
      </c>
      <c r="B134" s="30" t="s">
        <v>108</v>
      </c>
      <c r="C134" s="20" t="s">
        <v>637</v>
      </c>
      <c r="D134" s="20" t="s">
        <v>807</v>
      </c>
      <c r="E134" s="20" t="s">
        <v>1802</v>
      </c>
      <c r="F134" s="20" t="s">
        <v>1803</v>
      </c>
      <c r="G134" s="21">
        <v>18.8</v>
      </c>
      <c r="H134" s="16">
        <v>24</v>
      </c>
      <c r="I134" s="16">
        <v>1</v>
      </c>
      <c r="J1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34" s="22"/>
      <c r="L134" s="23"/>
      <c r="M134" s="23">
        <f>SUM(Tabela174681012142230322681619252731333624210121416182426283038402481012141620222628303234362426810121424610122426244262628262681026286236[[#This Row],[Saldo no cartão]:[Recarga Pendente]])</f>
        <v>0</v>
      </c>
      <c r="N134" s="19">
        <f>Tabela174681012142230322681619252731333624210121416182426283038402481012141620222628303234362426810121424610122426244262628262681026286236[[#This Row],[Uso diário]]*2</f>
        <v>37.6</v>
      </c>
      <c r="O134" s="19">
        <f>Tabela174681012142230322681619252731333624210121416182426283038402481012141620222628303234362426810121424610122426244262628262681026286236[[#This Row],[Total Acumulado]]-P134</f>
        <v>-94</v>
      </c>
      <c r="P134" s="48">
        <f>Tabela174681012142230322681619252731333624210121416182426283038402481012141620222628303234362426810121424610122426244262628262681026286236[[#This Row],[Uso diário]]*5</f>
        <v>94</v>
      </c>
      <c r="Q1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4" s="25">
        <v>1</v>
      </c>
    </row>
    <row r="135" spans="1:20" s="26" customFormat="1" x14ac:dyDescent="0.25">
      <c r="A135" s="16">
        <v>225353</v>
      </c>
      <c r="B135" s="30" t="s">
        <v>109</v>
      </c>
      <c r="C135" s="20" t="s">
        <v>637</v>
      </c>
      <c r="D135" s="20" t="s">
        <v>696</v>
      </c>
      <c r="E135" s="20" t="s">
        <v>1804</v>
      </c>
      <c r="F135" s="20" t="s">
        <v>1805</v>
      </c>
      <c r="G135" s="21">
        <v>18.8</v>
      </c>
      <c r="H135" s="16">
        <v>27</v>
      </c>
      <c r="I135" s="16">
        <v>3</v>
      </c>
      <c r="J1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35" s="22"/>
      <c r="L135" s="23"/>
      <c r="M135" s="23">
        <f>SUM(Tabela174681012142230322681619252731333624210121416182426283038402481012141620222628303234362426810121424610122426244262628262681026286236[[#This Row],[Saldo no cartão]:[Recarga Pendente]])</f>
        <v>0</v>
      </c>
      <c r="N135" s="19">
        <f>Tabela174681012142230322681619252731333624210121416182426283038402481012141620222628303234362426810121424610122426244262628262681026286236[[#This Row],[Uso diário]]*2</f>
        <v>37.6</v>
      </c>
      <c r="O135" s="19">
        <f>Tabela174681012142230322681619252731333624210121416182426283038402481012141620222628303234362426810121424610122426244262628262681026286236[[#This Row],[Total Acumulado]]-P135</f>
        <v>-94</v>
      </c>
      <c r="P135" s="48">
        <f>Tabela174681012142230322681619252731333624210121416182426283038402481012141620222628303234362426810121424610122426244262628262681026286236[[#This Row],[Uso diário]]*5</f>
        <v>94</v>
      </c>
      <c r="Q1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5" s="25">
        <v>1</v>
      </c>
    </row>
    <row r="136" spans="1:20" s="26" customFormat="1" x14ac:dyDescent="0.25">
      <c r="A136" s="16">
        <v>225667</v>
      </c>
      <c r="B136" s="30" t="s">
        <v>110</v>
      </c>
      <c r="C136" s="20" t="s">
        <v>637</v>
      </c>
      <c r="D136" s="20" t="s">
        <v>692</v>
      </c>
      <c r="E136" s="20" t="s">
        <v>1806</v>
      </c>
      <c r="F136" s="20" t="s">
        <v>1807</v>
      </c>
      <c r="G136" s="21">
        <v>18.8</v>
      </c>
      <c r="H136" s="16">
        <v>27</v>
      </c>
      <c r="I136" s="16">
        <v>5</v>
      </c>
      <c r="J1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36" s="22"/>
      <c r="L136" s="23"/>
      <c r="M136" s="23">
        <f>SUM(Tabela174681012142230322681619252731333624210121416182426283038402481012141620222628303234362426810121424610122426244262628262681026286236[[#This Row],[Saldo no cartão]:[Recarga Pendente]])</f>
        <v>0</v>
      </c>
      <c r="N136" s="19">
        <f>Tabela174681012142230322681619252731333624210121416182426283038402481012141620222628303234362426810121424610122426244262628262681026286236[[#This Row],[Uso diário]]*2</f>
        <v>37.6</v>
      </c>
      <c r="O136" s="19">
        <f>Tabela174681012142230322681619252731333624210121416182426283038402481012141620222628303234362426810121424610122426244262628262681026286236[[#This Row],[Total Acumulado]]-P136</f>
        <v>-94</v>
      </c>
      <c r="P136" s="48">
        <f>Tabela174681012142230322681619252731333624210121416182426283038402481012141620222628303234362426810121424610122426244262628262681026286236[[#This Row],[Uso diário]]*5</f>
        <v>94</v>
      </c>
      <c r="Q1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6" s="25">
        <v>1</v>
      </c>
    </row>
    <row r="137" spans="1:20" s="26" customFormat="1" x14ac:dyDescent="0.25">
      <c r="A137" s="16">
        <v>225738</v>
      </c>
      <c r="B137" s="30" t="s">
        <v>111</v>
      </c>
      <c r="C137" s="20" t="s">
        <v>637</v>
      </c>
      <c r="D137" s="20" t="s">
        <v>692</v>
      </c>
      <c r="E137" s="20" t="s">
        <v>1808</v>
      </c>
      <c r="F137" s="20" t="s">
        <v>1809</v>
      </c>
      <c r="G137" s="21">
        <v>18.8</v>
      </c>
      <c r="H137" s="16">
        <v>24</v>
      </c>
      <c r="I137" s="16"/>
      <c r="J1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37" s="22"/>
      <c r="L137" s="23"/>
      <c r="M137" s="23">
        <f>SUM(Tabela174681012142230322681619252731333624210121416182426283038402481012141620222628303234362426810121424610122426244262628262681026286236[[#This Row],[Saldo no cartão]:[Recarga Pendente]])</f>
        <v>0</v>
      </c>
      <c r="N137" s="19">
        <f>Tabela174681012142230322681619252731333624210121416182426283038402481012141620222628303234362426810121424610122426244262628262681026286236[[#This Row],[Uso diário]]*2</f>
        <v>37.6</v>
      </c>
      <c r="O137" s="19">
        <f>Tabela174681012142230322681619252731333624210121416182426283038402481012141620222628303234362426810121424610122426244262628262681026286236[[#This Row],[Total Acumulado]]-P137</f>
        <v>-94</v>
      </c>
      <c r="P137" s="48">
        <f>Tabela174681012142230322681619252731333624210121416182426283038402481012141620222628303234362426810121424610122426244262628262681026286236[[#This Row],[Uso diário]]*5</f>
        <v>94</v>
      </c>
      <c r="Q1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7" s="25">
        <v>1</v>
      </c>
    </row>
    <row r="138" spans="1:20" s="26" customFormat="1" x14ac:dyDescent="0.25">
      <c r="A138" s="16">
        <v>225783</v>
      </c>
      <c r="B138" s="30" t="s">
        <v>112</v>
      </c>
      <c r="C138" s="20" t="s">
        <v>637</v>
      </c>
      <c r="D138" s="20" t="s">
        <v>693</v>
      </c>
      <c r="E138" s="20" t="s">
        <v>1810</v>
      </c>
      <c r="F138" s="20" t="s">
        <v>1811</v>
      </c>
      <c r="G138" s="21">
        <v>18.8</v>
      </c>
      <c r="H138" s="16">
        <v>24</v>
      </c>
      <c r="I138" s="16">
        <v>2</v>
      </c>
      <c r="J1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38" s="22"/>
      <c r="L138" s="23"/>
      <c r="M138" s="23">
        <f>SUM(Tabela174681012142230322681619252731333624210121416182426283038402481012141620222628303234362426810121424610122426244262628262681026286236[[#This Row],[Saldo no cartão]:[Recarga Pendente]])</f>
        <v>0</v>
      </c>
      <c r="N138" s="19">
        <f>Tabela174681012142230322681619252731333624210121416182426283038402481012141620222628303234362426810121424610122426244262628262681026286236[[#This Row],[Uso diário]]*2</f>
        <v>37.6</v>
      </c>
      <c r="O138" s="19">
        <f>Tabela174681012142230322681619252731333624210121416182426283038402481012141620222628303234362426810121424610122426244262628262681026286236[[#This Row],[Total Acumulado]]-P138</f>
        <v>-94</v>
      </c>
      <c r="P138" s="48">
        <f>Tabela174681012142230322681619252731333624210121416182426283038402481012141620222628303234362426810121424610122426244262628262681026286236[[#This Row],[Uso diário]]*5</f>
        <v>94</v>
      </c>
      <c r="Q1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8" s="25">
        <v>1</v>
      </c>
    </row>
    <row r="139" spans="1:20" s="26" customFormat="1" x14ac:dyDescent="0.25">
      <c r="A139" s="16">
        <v>225827</v>
      </c>
      <c r="B139" s="30" t="s">
        <v>113</v>
      </c>
      <c r="C139" s="20" t="s">
        <v>637</v>
      </c>
      <c r="D139" s="20" t="s">
        <v>696</v>
      </c>
      <c r="E139" s="20" t="s">
        <v>1812</v>
      </c>
      <c r="F139" s="20" t="s">
        <v>1813</v>
      </c>
      <c r="G139" s="21">
        <v>18.8</v>
      </c>
      <c r="H139" s="16">
        <v>15</v>
      </c>
      <c r="I139" s="16">
        <v>1</v>
      </c>
      <c r="J1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263.2</v>
      </c>
      <c r="K139" s="22"/>
      <c r="L139" s="23"/>
      <c r="M139" s="23">
        <f>SUM(Tabela174681012142230322681619252731333624210121416182426283038402481012141620222628303234362426810121424610122426244262628262681026286236[[#This Row],[Saldo no cartão]:[Recarga Pendente]])</f>
        <v>0</v>
      </c>
      <c r="N139" s="19">
        <f>Tabela174681012142230322681619252731333624210121416182426283038402481012141620222628303234362426810121424610122426244262628262681026286236[[#This Row],[Uso diário]]*2</f>
        <v>37.6</v>
      </c>
      <c r="O139" s="19">
        <f>Tabela174681012142230322681619252731333624210121416182426283038402481012141620222628303234362426810121424610122426244262628262681026286236[[#This Row],[Total Acumulado]]-P139</f>
        <v>-94</v>
      </c>
      <c r="P139" s="48">
        <f>Tabela174681012142230322681619252731333624210121416182426283038402481012141620222628303234362426810121424610122426244262628262681026286236[[#This Row],[Uso diário]]*5</f>
        <v>94</v>
      </c>
      <c r="Q1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263.2</v>
      </c>
      <c r="S1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9" s="25">
        <v>1</v>
      </c>
    </row>
    <row r="140" spans="1:20" s="26" customFormat="1" x14ac:dyDescent="0.25">
      <c r="A140" s="16">
        <v>225911</v>
      </c>
      <c r="B140" s="30" t="s">
        <v>1397</v>
      </c>
      <c r="C140" s="20" t="s">
        <v>637</v>
      </c>
      <c r="D140" s="20" t="s">
        <v>696</v>
      </c>
      <c r="E140" s="20" t="s">
        <v>1814</v>
      </c>
      <c r="F140" s="20" t="s">
        <v>1815</v>
      </c>
      <c r="G140" s="21">
        <v>18.8</v>
      </c>
      <c r="H140" s="16">
        <v>24</v>
      </c>
      <c r="I140" s="16">
        <v>1</v>
      </c>
      <c r="J1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40" s="22"/>
      <c r="L140" s="23"/>
      <c r="M140" s="23">
        <f>SUM(Tabela174681012142230322681619252731333624210121416182426283038402481012141620222628303234362426810121424610122426244262628262681026286236[[#This Row],[Saldo no cartão]:[Recarga Pendente]])</f>
        <v>0</v>
      </c>
      <c r="N140" s="19">
        <f>Tabela174681012142230322681619252731333624210121416182426283038402481012141620222628303234362426810121424610122426244262628262681026286236[[#This Row],[Uso diário]]*2</f>
        <v>37.6</v>
      </c>
      <c r="O140" s="19">
        <f>Tabela174681012142230322681619252731333624210121416182426283038402481012141620222628303234362426810121424610122426244262628262681026286236[[#This Row],[Total Acumulado]]-P140</f>
        <v>-94</v>
      </c>
      <c r="P140" s="48">
        <f>Tabela174681012142230322681619252731333624210121416182426283038402481012141620222628303234362426810121424610122426244262628262681026286236[[#This Row],[Uso diário]]*5</f>
        <v>94</v>
      </c>
      <c r="Q1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0" s="25">
        <v>1</v>
      </c>
    </row>
    <row r="141" spans="1:20" s="26" customFormat="1" x14ac:dyDescent="0.25">
      <c r="A141" s="16">
        <v>226078</v>
      </c>
      <c r="B141" s="30" t="s">
        <v>114</v>
      </c>
      <c r="C141" s="20" t="s">
        <v>637</v>
      </c>
      <c r="D141" s="20" t="s">
        <v>692</v>
      </c>
      <c r="E141" s="20" t="s">
        <v>1816</v>
      </c>
      <c r="F141" s="20" t="s">
        <v>1817</v>
      </c>
      <c r="G141" s="21">
        <v>18.8</v>
      </c>
      <c r="H141" s="16">
        <v>24</v>
      </c>
      <c r="I141" s="16">
        <v>1</v>
      </c>
      <c r="J1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41" s="22"/>
      <c r="L141" s="23"/>
      <c r="M141" s="23">
        <f>SUM(Tabela174681012142230322681619252731333624210121416182426283038402481012141620222628303234362426810121424610122426244262628262681026286236[[#This Row],[Saldo no cartão]:[Recarga Pendente]])</f>
        <v>0</v>
      </c>
      <c r="N141" s="19">
        <f>Tabela174681012142230322681619252731333624210121416182426283038402481012141620222628303234362426810121424610122426244262628262681026286236[[#This Row],[Uso diário]]*2</f>
        <v>37.6</v>
      </c>
      <c r="O141" s="19">
        <f>Tabela174681012142230322681619252731333624210121416182426283038402481012141620222628303234362426810121424610122426244262628262681026286236[[#This Row],[Total Acumulado]]-P141</f>
        <v>-94</v>
      </c>
      <c r="P141" s="48">
        <f>Tabela174681012142230322681619252731333624210121416182426283038402481012141620222628303234362426810121424610122426244262628262681026286236[[#This Row],[Uso diário]]*5</f>
        <v>94</v>
      </c>
      <c r="Q1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1" s="25">
        <v>1</v>
      </c>
    </row>
    <row r="142" spans="1:20" s="26" customFormat="1" ht="22.5" x14ac:dyDescent="0.25">
      <c r="A142" s="16">
        <v>226243</v>
      </c>
      <c r="B142" s="30" t="s">
        <v>115</v>
      </c>
      <c r="C142" s="20" t="s">
        <v>637</v>
      </c>
      <c r="D142" s="20" t="s">
        <v>692</v>
      </c>
      <c r="E142" s="20" t="s">
        <v>1818</v>
      </c>
      <c r="F142" s="20" t="s">
        <v>1819</v>
      </c>
      <c r="G142" s="21">
        <v>18.8</v>
      </c>
      <c r="H142" s="16">
        <v>5</v>
      </c>
      <c r="I142" s="16">
        <v>8</v>
      </c>
      <c r="J142" s="17">
        <v>0</v>
      </c>
      <c r="K142" s="22"/>
      <c r="L142" s="23"/>
      <c r="M142" s="23">
        <f>SUM(Tabela174681012142230322681619252731333624210121416182426283038402481012141620222628303234362426810121424610122426244262628262681026286236[[#This Row],[Saldo no cartão]:[Recarga Pendente]])</f>
        <v>0</v>
      </c>
      <c r="N142" s="19">
        <f>Tabela174681012142230322681619252731333624210121416182426283038402481012141620222628303234362426810121424610122426244262628262681026286236[[#This Row],[Uso diário]]*2</f>
        <v>37.6</v>
      </c>
      <c r="O142" s="19">
        <f>Tabela174681012142230322681619252731333624210121416182426283038402481012141620222628303234362426810121424610122426244262628262681026286236[[#This Row],[Total Acumulado]]-P142</f>
        <v>-94</v>
      </c>
      <c r="P142" s="48">
        <f>Tabela174681012142230322681619252731333624210121416182426283038402481012141620222628303234362426810121424610122426244262628262681026286236[[#This Row],[Uso diário]]*5</f>
        <v>94</v>
      </c>
      <c r="Q1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142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142" s="25">
        <v>1</v>
      </c>
    </row>
    <row r="143" spans="1:20" s="26" customFormat="1" x14ac:dyDescent="0.25">
      <c r="A143" s="16">
        <v>226556</v>
      </c>
      <c r="B143" s="30" t="s">
        <v>1143</v>
      </c>
      <c r="C143" s="20" t="s">
        <v>637</v>
      </c>
      <c r="D143" s="20" t="s">
        <v>696</v>
      </c>
      <c r="E143" s="20" t="s">
        <v>1820</v>
      </c>
      <c r="F143" s="20" t="s">
        <v>1821</v>
      </c>
      <c r="G143" s="21">
        <v>18.8</v>
      </c>
      <c r="H143" s="16">
        <v>27</v>
      </c>
      <c r="I143" s="16">
        <v>13</v>
      </c>
      <c r="J1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263.2</v>
      </c>
      <c r="K143" s="22"/>
      <c r="L143" s="23"/>
      <c r="M143" s="23">
        <f>SUM(Tabela174681012142230322681619252731333624210121416182426283038402481012141620222628303234362426810121424610122426244262628262681026286236[[#This Row],[Saldo no cartão]:[Recarga Pendente]])</f>
        <v>0</v>
      </c>
      <c r="N143" s="19">
        <f>Tabela174681012142230322681619252731333624210121416182426283038402481012141620222628303234362426810121424610122426244262628262681026286236[[#This Row],[Uso diário]]*2</f>
        <v>37.6</v>
      </c>
      <c r="O143" s="19">
        <f>Tabela174681012142230322681619252731333624210121416182426283038402481012141620222628303234362426810121424610122426244262628262681026286236[[#This Row],[Total Acumulado]]-P143</f>
        <v>-94</v>
      </c>
      <c r="P143" s="48">
        <f>Tabela174681012142230322681619252731333624210121416182426283038402481012141620222628303234362426810121424610122426244262628262681026286236[[#This Row],[Uso diário]]*5</f>
        <v>94</v>
      </c>
      <c r="Q1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263.2</v>
      </c>
      <c r="S1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3" s="25">
        <v>1</v>
      </c>
    </row>
    <row r="144" spans="1:20" s="26" customFormat="1" x14ac:dyDescent="0.25">
      <c r="A144" s="16">
        <v>226795</v>
      </c>
      <c r="B144" s="30" t="s">
        <v>116</v>
      </c>
      <c r="C144" s="20" t="s">
        <v>637</v>
      </c>
      <c r="D144" s="20" t="s">
        <v>692</v>
      </c>
      <c r="E144" s="20" t="s">
        <v>1822</v>
      </c>
      <c r="F144" s="20" t="s">
        <v>1823</v>
      </c>
      <c r="G144" s="21">
        <v>18.8</v>
      </c>
      <c r="H144" s="16">
        <v>24</v>
      </c>
      <c r="I144" s="16">
        <v>8</v>
      </c>
      <c r="J1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44" s="22"/>
      <c r="L144" s="23"/>
      <c r="M144" s="23">
        <f>SUM(Tabela174681012142230322681619252731333624210121416182426283038402481012141620222628303234362426810121424610122426244262628262681026286236[[#This Row],[Saldo no cartão]:[Recarga Pendente]])</f>
        <v>0</v>
      </c>
      <c r="N144" s="19">
        <f>Tabela174681012142230322681619252731333624210121416182426283038402481012141620222628303234362426810121424610122426244262628262681026286236[[#This Row],[Uso diário]]*2</f>
        <v>37.6</v>
      </c>
      <c r="O144" s="19">
        <f>Tabela174681012142230322681619252731333624210121416182426283038402481012141620222628303234362426810121424610122426244262628262681026286236[[#This Row],[Total Acumulado]]-P144</f>
        <v>-94</v>
      </c>
      <c r="P144" s="48">
        <f>Tabela174681012142230322681619252731333624210121416182426283038402481012141620222628303234362426810121424610122426244262628262681026286236[[#This Row],[Uso diário]]*5</f>
        <v>94</v>
      </c>
      <c r="Q1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4" s="25">
        <v>1</v>
      </c>
    </row>
    <row r="145" spans="1:20" s="26" customFormat="1" x14ac:dyDescent="0.25">
      <c r="A145" s="16">
        <v>226947</v>
      </c>
      <c r="B145" s="30" t="s">
        <v>117</v>
      </c>
      <c r="C145" s="20" t="s">
        <v>637</v>
      </c>
      <c r="D145" s="20" t="s">
        <v>694</v>
      </c>
      <c r="E145" s="20" t="s">
        <v>1824</v>
      </c>
      <c r="F145" s="20" t="s">
        <v>1825</v>
      </c>
      <c r="G145" s="21">
        <v>10</v>
      </c>
      <c r="H145" s="16">
        <v>24</v>
      </c>
      <c r="I145" s="16">
        <v>4</v>
      </c>
      <c r="J1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200</v>
      </c>
      <c r="K145" s="22"/>
      <c r="L145" s="23"/>
      <c r="M145" s="23">
        <f>SUM(Tabela174681012142230322681619252731333624210121416182426283038402481012141620222628303234362426810121424610122426244262628262681026286236[[#This Row],[Saldo no cartão]:[Recarga Pendente]])</f>
        <v>0</v>
      </c>
      <c r="N145" s="19">
        <f>Tabela174681012142230322681619252731333624210121416182426283038402481012141620222628303234362426810121424610122426244262628262681026286236[[#This Row],[Uso diário]]*2</f>
        <v>20</v>
      </c>
      <c r="O145" s="19">
        <f>Tabela174681012142230322681619252731333624210121416182426283038402481012141620222628303234362426810121424610122426244262628262681026286236[[#This Row],[Total Acumulado]]-P145</f>
        <v>-50</v>
      </c>
      <c r="P145" s="48">
        <f>Tabela174681012142230322681619252731333624210121416182426283038402481012141620222628303234362426810121424610122426244262628262681026286236[[#This Row],[Uso diário]]*5</f>
        <v>50</v>
      </c>
      <c r="Q1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200</v>
      </c>
      <c r="S1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5" s="25">
        <v>1</v>
      </c>
    </row>
    <row r="146" spans="1:20" s="26" customFormat="1" x14ac:dyDescent="0.25">
      <c r="A146" s="16">
        <v>227031</v>
      </c>
      <c r="B146" s="30" t="s">
        <v>118</v>
      </c>
      <c r="C146" s="20" t="s">
        <v>637</v>
      </c>
      <c r="D146" s="20" t="s">
        <v>807</v>
      </c>
      <c r="E146" s="20" t="s">
        <v>1826</v>
      </c>
      <c r="F146" s="20" t="s">
        <v>1827</v>
      </c>
      <c r="G146" s="21">
        <v>13.4</v>
      </c>
      <c r="H146" s="16">
        <v>24</v>
      </c>
      <c r="I146" s="16"/>
      <c r="J1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146" s="22"/>
      <c r="L146" s="23"/>
      <c r="M146" s="23">
        <f>SUM(Tabela174681012142230322681619252731333624210121416182426283038402481012141620222628303234362426810121424610122426244262628262681026286236[[#This Row],[Saldo no cartão]:[Recarga Pendente]])</f>
        <v>0</v>
      </c>
      <c r="N146" s="19">
        <f>Tabela174681012142230322681619252731333624210121416182426283038402481012141620222628303234362426810121424610122426244262628262681026286236[[#This Row],[Uso diário]]*2</f>
        <v>26.8</v>
      </c>
      <c r="O146" s="19">
        <f>Tabela174681012142230322681619252731333624210121416182426283038402481012141620222628303234362426810121424610122426244262628262681026286236[[#This Row],[Total Acumulado]]-P146</f>
        <v>-67</v>
      </c>
      <c r="P146" s="48">
        <f>Tabela174681012142230322681619252731333624210121416182426283038402481012141620222628303234362426810121424610122426244262628262681026286236[[#This Row],[Uso diário]]*5</f>
        <v>67</v>
      </c>
      <c r="Q1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1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6" s="25">
        <v>1</v>
      </c>
    </row>
    <row r="147" spans="1:20" s="26" customFormat="1" x14ac:dyDescent="0.25">
      <c r="A147" s="16">
        <v>227032</v>
      </c>
      <c r="B147" s="30" t="s">
        <v>119</v>
      </c>
      <c r="C147" s="20" t="s">
        <v>637</v>
      </c>
      <c r="D147" s="20" t="s">
        <v>692</v>
      </c>
      <c r="E147" s="20" t="s">
        <v>1828</v>
      </c>
      <c r="F147" s="20" t="s">
        <v>1829</v>
      </c>
      <c r="G147" s="21">
        <v>18.8</v>
      </c>
      <c r="H147" s="16">
        <v>27</v>
      </c>
      <c r="I147" s="16">
        <v>5</v>
      </c>
      <c r="J1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47" s="22"/>
      <c r="L147" s="23"/>
      <c r="M147" s="23">
        <f>SUM(Tabela174681012142230322681619252731333624210121416182426283038402481012141620222628303234362426810121424610122426244262628262681026286236[[#This Row],[Saldo no cartão]:[Recarga Pendente]])</f>
        <v>0</v>
      </c>
      <c r="N147" s="19">
        <f>Tabela174681012142230322681619252731333624210121416182426283038402481012141620222628303234362426810121424610122426244262628262681026286236[[#This Row],[Uso diário]]*2</f>
        <v>37.6</v>
      </c>
      <c r="O147" s="19">
        <f>Tabela174681012142230322681619252731333624210121416182426283038402481012141620222628303234362426810121424610122426244262628262681026286236[[#This Row],[Total Acumulado]]-P147</f>
        <v>-94</v>
      </c>
      <c r="P147" s="48">
        <f>Tabela174681012142230322681619252731333624210121416182426283038402481012141620222628303234362426810121424610122426244262628262681026286236[[#This Row],[Uso diário]]*5</f>
        <v>94</v>
      </c>
      <c r="Q1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7" s="25">
        <v>1</v>
      </c>
    </row>
    <row r="148" spans="1:20" s="26" customFormat="1" x14ac:dyDescent="0.25">
      <c r="A148" s="16">
        <v>227033</v>
      </c>
      <c r="B148" s="30" t="s">
        <v>1144</v>
      </c>
      <c r="C148" s="20" t="s">
        <v>637</v>
      </c>
      <c r="D148" s="20" t="s">
        <v>1262</v>
      </c>
      <c r="E148" s="20" t="s">
        <v>1830</v>
      </c>
      <c r="F148" s="20" t="s">
        <v>1831</v>
      </c>
      <c r="G148" s="21">
        <v>18.8</v>
      </c>
      <c r="H148" s="16">
        <v>24</v>
      </c>
      <c r="I148" s="16"/>
      <c r="J1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48" s="22"/>
      <c r="L148" s="23">
        <v>37.6</v>
      </c>
      <c r="M148" s="23">
        <f>SUM(Tabela174681012142230322681619252731333624210121416182426283038402481012141620222628303234362426810121424610122426244262628262681026286236[[#This Row],[Saldo no cartão]:[Recarga Pendente]])</f>
        <v>37.6</v>
      </c>
      <c r="N148" s="19">
        <f>Tabela174681012142230322681619252731333624210121416182426283038402481012141620222628303234362426810121424610122426244262628262681026286236[[#This Row],[Uso diário]]*2</f>
        <v>37.6</v>
      </c>
      <c r="O148" s="19">
        <f>Tabela174681012142230322681619252731333624210121416182426283038402481012141620222628303234362426810121424610122426244262628262681026286236[[#This Row],[Total Acumulado]]-P148</f>
        <v>-56.4</v>
      </c>
      <c r="P148" s="48">
        <f>Tabela174681012142230322681619252731333624210121416182426283038402481012141620222628303234362426810121424610122426244262628262681026286236[[#This Row],[Uso diário]]*5</f>
        <v>94</v>
      </c>
      <c r="Q1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8" s="25">
        <v>1</v>
      </c>
    </row>
    <row r="149" spans="1:20" s="26" customFormat="1" x14ac:dyDescent="0.25">
      <c r="A149" s="16">
        <v>227055</v>
      </c>
      <c r="B149" s="30" t="s">
        <v>120</v>
      </c>
      <c r="C149" s="20" t="s">
        <v>637</v>
      </c>
      <c r="D149" s="20" t="s">
        <v>696</v>
      </c>
      <c r="E149" s="20" t="s">
        <v>1832</v>
      </c>
      <c r="F149" s="20" t="s">
        <v>1833</v>
      </c>
      <c r="G149" s="21">
        <v>18.8</v>
      </c>
      <c r="H149" s="16">
        <v>24</v>
      </c>
      <c r="I149" s="16"/>
      <c r="J1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49" s="22"/>
      <c r="L149" s="23"/>
      <c r="M149" s="23">
        <f>SUM(Tabela174681012142230322681619252731333624210121416182426283038402481012141620222628303234362426810121424610122426244262628262681026286236[[#This Row],[Saldo no cartão]:[Recarga Pendente]])</f>
        <v>0</v>
      </c>
      <c r="N149" s="19">
        <f>Tabela174681012142230322681619252731333624210121416182426283038402481012141620222628303234362426810121424610122426244262628262681026286236[[#This Row],[Uso diário]]*2</f>
        <v>37.6</v>
      </c>
      <c r="O149" s="19">
        <f>Tabela174681012142230322681619252731333624210121416182426283038402481012141620222628303234362426810121424610122426244262628262681026286236[[#This Row],[Total Acumulado]]-P149</f>
        <v>-94</v>
      </c>
      <c r="P149" s="48">
        <f>Tabela174681012142230322681619252731333624210121416182426283038402481012141620222628303234362426810121424610122426244262628262681026286236[[#This Row],[Uso diário]]*5</f>
        <v>94</v>
      </c>
      <c r="Q1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49" s="25">
        <v>1</v>
      </c>
    </row>
    <row r="150" spans="1:20" s="26" customFormat="1" x14ac:dyDescent="0.25">
      <c r="A150" s="16">
        <v>228423</v>
      </c>
      <c r="B150" s="30" t="s">
        <v>121</v>
      </c>
      <c r="C150" s="20" t="s">
        <v>637</v>
      </c>
      <c r="D150" s="20" t="s">
        <v>692</v>
      </c>
      <c r="E150" s="20" t="s">
        <v>1834</v>
      </c>
      <c r="F150" s="20" t="s">
        <v>1835</v>
      </c>
      <c r="G150" s="21">
        <v>18.8</v>
      </c>
      <c r="H150" s="16">
        <v>27</v>
      </c>
      <c r="I150" s="16"/>
      <c r="J1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507.6</v>
      </c>
      <c r="K150" s="22"/>
      <c r="L150" s="23">
        <v>371.9</v>
      </c>
      <c r="M150" s="23">
        <f>SUM(Tabela174681012142230322681619252731333624210121416182426283038402481012141620222628303234362426810121424610122426244262628262681026286236[[#This Row],[Saldo no cartão]:[Recarga Pendente]])</f>
        <v>371.9</v>
      </c>
      <c r="N150" s="19">
        <f>Tabela174681012142230322681619252731333624210121416182426283038402481012141620222628303234362426810121424610122426244262628262681026286236[[#This Row],[Uso diário]]*2</f>
        <v>37.6</v>
      </c>
      <c r="O150" s="19">
        <f>Tabela174681012142230322681619252731333624210121416182426283038402481012141620222628303234362426810121424610122426244262628262681026286236[[#This Row],[Total Acumulado]]-P150</f>
        <v>277.89999999999998</v>
      </c>
      <c r="P150" s="48">
        <f>Tabela174681012142230322681619252731333624210121416182426283038402481012141620222628303234362426810121424610122426244262628262681026286236[[#This Row],[Uso diário]]*5</f>
        <v>94</v>
      </c>
      <c r="Q1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277.89999999999998</v>
      </c>
      <c r="R1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229.70000000000005</v>
      </c>
      <c r="S150" s="18" t="s">
        <v>11</v>
      </c>
      <c r="T150" s="25">
        <v>1</v>
      </c>
    </row>
    <row r="151" spans="1:20" s="26" customFormat="1" x14ac:dyDescent="0.25">
      <c r="A151" s="16">
        <v>228504</v>
      </c>
      <c r="B151" s="30" t="s">
        <v>123</v>
      </c>
      <c r="C151" s="20" t="s">
        <v>637</v>
      </c>
      <c r="D151" s="20" t="s">
        <v>697</v>
      </c>
      <c r="E151" s="20" t="s">
        <v>1836</v>
      </c>
      <c r="F151" s="20" t="s">
        <v>1837</v>
      </c>
      <c r="G151" s="21">
        <v>18.8</v>
      </c>
      <c r="H151" s="16">
        <v>24</v>
      </c>
      <c r="I151" s="16"/>
      <c r="J1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51" s="22"/>
      <c r="L151" s="23">
        <v>173.85</v>
      </c>
      <c r="M151" s="23">
        <f>SUM(Tabela174681012142230322681619252731333624210121416182426283038402481012141620222628303234362426810121424610122426244262628262681026286236[[#This Row],[Saldo no cartão]:[Recarga Pendente]])</f>
        <v>173.85</v>
      </c>
      <c r="N151" s="19">
        <f>Tabela174681012142230322681619252731333624210121416182426283038402481012141620222628303234362426810121424610122426244262628262681026286236[[#This Row],[Uso diário]]*2</f>
        <v>37.6</v>
      </c>
      <c r="O151" s="19">
        <f>Tabela174681012142230322681619252731333624210121416182426283038402481012141620222628303234362426810121424610122426244262628262681026286236[[#This Row],[Total Acumulado]]-P151</f>
        <v>79.849999999999994</v>
      </c>
      <c r="P151" s="48">
        <f>Tabela174681012142230322681619252731333624210121416182426283038402481012141620222628303234362426810121424610122426244262628262681026286236[[#This Row],[Uso diário]]*5</f>
        <v>94</v>
      </c>
      <c r="Q1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79.849999999999994</v>
      </c>
      <c r="R1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371.35</v>
      </c>
      <c r="S151" s="18" t="s">
        <v>11</v>
      </c>
      <c r="T151" s="25">
        <v>1</v>
      </c>
    </row>
    <row r="152" spans="1:20" s="26" customFormat="1" x14ac:dyDescent="0.25">
      <c r="A152" s="16">
        <v>228534</v>
      </c>
      <c r="B152" s="30" t="s">
        <v>1145</v>
      </c>
      <c r="C152" s="20" t="s">
        <v>637</v>
      </c>
      <c r="D152" s="20" t="s">
        <v>692</v>
      </c>
      <c r="E152" s="20" t="s">
        <v>1838</v>
      </c>
      <c r="F152" s="20" t="s">
        <v>1839</v>
      </c>
      <c r="G152" s="21">
        <v>18.8</v>
      </c>
      <c r="H152" s="16">
        <v>24</v>
      </c>
      <c r="I152" s="16"/>
      <c r="J1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52" s="22"/>
      <c r="L152" s="23"/>
      <c r="M152" s="23">
        <f>SUM(Tabela174681012142230322681619252731333624210121416182426283038402481012141620222628303234362426810121424610122426244262628262681026286236[[#This Row],[Saldo no cartão]:[Recarga Pendente]])</f>
        <v>0</v>
      </c>
      <c r="N152" s="19">
        <f>Tabela174681012142230322681619252731333624210121416182426283038402481012141620222628303234362426810121424610122426244262628262681026286236[[#This Row],[Uso diário]]*2</f>
        <v>37.6</v>
      </c>
      <c r="O152" s="19">
        <f>Tabela174681012142230322681619252731333624210121416182426283038402481012141620222628303234362426810121424610122426244262628262681026286236[[#This Row],[Total Acumulado]]-P152</f>
        <v>-94</v>
      </c>
      <c r="P152" s="48">
        <f>Tabela174681012142230322681619252731333624210121416182426283038402481012141620222628303234362426810121424610122426244262628262681026286236[[#This Row],[Uso diário]]*5</f>
        <v>94</v>
      </c>
      <c r="Q1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2" s="25">
        <v>1</v>
      </c>
    </row>
    <row r="153" spans="1:20" s="26" customFormat="1" x14ac:dyDescent="0.25">
      <c r="A153" s="16">
        <v>228813</v>
      </c>
      <c r="B153" s="30" t="s">
        <v>125</v>
      </c>
      <c r="C153" s="20" t="s">
        <v>637</v>
      </c>
      <c r="D153" s="20" t="s">
        <v>696</v>
      </c>
      <c r="E153" s="20" t="s">
        <v>1840</v>
      </c>
      <c r="F153" s="20" t="s">
        <v>1841</v>
      </c>
      <c r="G153" s="21">
        <v>13.4</v>
      </c>
      <c r="H153" s="16">
        <v>27</v>
      </c>
      <c r="I153" s="16">
        <v>16</v>
      </c>
      <c r="J1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147.4</v>
      </c>
      <c r="K153" s="22"/>
      <c r="L153" s="23"/>
      <c r="M153" s="23">
        <f>SUM(Tabela174681012142230322681619252731333624210121416182426283038402481012141620222628303234362426810121424610122426244262628262681026286236[[#This Row],[Saldo no cartão]:[Recarga Pendente]])</f>
        <v>0</v>
      </c>
      <c r="N153" s="19">
        <f>Tabela174681012142230322681619252731333624210121416182426283038402481012141620222628303234362426810121424610122426244262628262681026286236[[#This Row],[Uso diário]]*2</f>
        <v>26.8</v>
      </c>
      <c r="O153" s="19">
        <f>Tabela174681012142230322681619252731333624210121416182426283038402481012141620222628303234362426810121424610122426244262628262681026286236[[#This Row],[Total Acumulado]]-P153</f>
        <v>-67</v>
      </c>
      <c r="P153" s="48">
        <f>Tabela174681012142230322681619252731333624210121416182426283038402481012141620222628303234362426810121424610122426244262628262681026286236[[#This Row],[Uso diário]]*5</f>
        <v>67</v>
      </c>
      <c r="Q1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147.4</v>
      </c>
      <c r="S1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3" s="25">
        <v>1</v>
      </c>
    </row>
    <row r="154" spans="1:20" s="26" customFormat="1" x14ac:dyDescent="0.25">
      <c r="A154" s="16">
        <v>228888</v>
      </c>
      <c r="B154" s="30" t="s">
        <v>1146</v>
      </c>
      <c r="C154" s="20" t="s">
        <v>637</v>
      </c>
      <c r="D154" s="20" t="s">
        <v>696</v>
      </c>
      <c r="E154" s="20" t="s">
        <v>1842</v>
      </c>
      <c r="F154" s="20" t="s">
        <v>1843</v>
      </c>
      <c r="G154" s="21">
        <v>18.8</v>
      </c>
      <c r="H154" s="16">
        <v>24</v>
      </c>
      <c r="I154" s="16"/>
      <c r="J1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54" s="22"/>
      <c r="L154" s="23"/>
      <c r="M154" s="23">
        <f>SUM(Tabela174681012142230322681619252731333624210121416182426283038402481012141620222628303234362426810121424610122426244262628262681026286236[[#This Row],[Saldo no cartão]:[Recarga Pendente]])</f>
        <v>0</v>
      </c>
      <c r="N154" s="19">
        <f>Tabela174681012142230322681619252731333624210121416182426283038402481012141620222628303234362426810121424610122426244262628262681026286236[[#This Row],[Uso diário]]*2</f>
        <v>37.6</v>
      </c>
      <c r="O154" s="19">
        <f>Tabela174681012142230322681619252731333624210121416182426283038402481012141620222628303234362426810121424610122426244262628262681026286236[[#This Row],[Total Acumulado]]-P154</f>
        <v>-94</v>
      </c>
      <c r="P154" s="48">
        <f>Tabela174681012142230322681619252731333624210121416182426283038402481012141620222628303234362426810121424610122426244262628262681026286236[[#This Row],[Uso diário]]*5</f>
        <v>94</v>
      </c>
      <c r="Q1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4" s="25">
        <v>1</v>
      </c>
    </row>
    <row r="155" spans="1:20" s="26" customFormat="1" x14ac:dyDescent="0.25">
      <c r="A155" s="16">
        <v>229247</v>
      </c>
      <c r="B155" s="30" t="s">
        <v>127</v>
      </c>
      <c r="C155" s="20" t="s">
        <v>637</v>
      </c>
      <c r="D155" s="20" t="s">
        <v>692</v>
      </c>
      <c r="E155" s="20" t="s">
        <v>1844</v>
      </c>
      <c r="F155" s="20" t="s">
        <v>1845</v>
      </c>
      <c r="G155" s="21">
        <v>18.8</v>
      </c>
      <c r="H155" s="16">
        <v>24</v>
      </c>
      <c r="I155" s="16"/>
      <c r="J1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55" s="22"/>
      <c r="L155" s="23"/>
      <c r="M155" s="23">
        <f>SUM(Tabela174681012142230322681619252731333624210121416182426283038402481012141620222628303234362426810121424610122426244262628262681026286236[[#This Row],[Saldo no cartão]:[Recarga Pendente]])</f>
        <v>0</v>
      </c>
      <c r="N155" s="19">
        <f>Tabela174681012142230322681619252731333624210121416182426283038402481012141620222628303234362426810121424610122426244262628262681026286236[[#This Row],[Uso diário]]*2</f>
        <v>37.6</v>
      </c>
      <c r="O155" s="19">
        <f>Tabela174681012142230322681619252731333624210121416182426283038402481012141620222628303234362426810121424610122426244262628262681026286236[[#This Row],[Total Acumulado]]-P155</f>
        <v>-94</v>
      </c>
      <c r="P155" s="48">
        <f>Tabela174681012142230322681619252731333624210121416182426283038402481012141620222628303234362426810121424610122426244262628262681026286236[[#This Row],[Uso diário]]*5</f>
        <v>94</v>
      </c>
      <c r="Q1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5" s="25">
        <v>1</v>
      </c>
    </row>
    <row r="156" spans="1:20" s="26" customFormat="1" x14ac:dyDescent="0.25">
      <c r="A156" s="16">
        <v>229454</v>
      </c>
      <c r="B156" s="30" t="s">
        <v>1398</v>
      </c>
      <c r="C156" s="20" t="s">
        <v>637</v>
      </c>
      <c r="D156" s="20" t="s">
        <v>696</v>
      </c>
      <c r="E156" s="20" t="s">
        <v>1846</v>
      </c>
      <c r="F156" s="20" t="s">
        <v>1847</v>
      </c>
      <c r="G156" s="21">
        <v>18.8</v>
      </c>
      <c r="H156" s="16">
        <v>24</v>
      </c>
      <c r="I156" s="16"/>
      <c r="J1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56" s="22"/>
      <c r="L156" s="23"/>
      <c r="M156" s="23">
        <f>SUM(Tabela174681012142230322681619252731333624210121416182426283038402481012141620222628303234362426810121424610122426244262628262681026286236[[#This Row],[Saldo no cartão]:[Recarga Pendente]])</f>
        <v>0</v>
      </c>
      <c r="N156" s="19">
        <f>Tabela174681012142230322681619252731333624210121416182426283038402481012141620222628303234362426810121424610122426244262628262681026286236[[#This Row],[Uso diário]]*2</f>
        <v>37.6</v>
      </c>
      <c r="O156" s="19">
        <f>Tabela174681012142230322681619252731333624210121416182426283038402481012141620222628303234362426810121424610122426244262628262681026286236[[#This Row],[Total Acumulado]]-P156</f>
        <v>-94</v>
      </c>
      <c r="P156" s="48">
        <f>Tabela174681012142230322681619252731333624210121416182426283038402481012141620222628303234362426810121424610122426244262628262681026286236[[#This Row],[Uso diário]]*5</f>
        <v>94</v>
      </c>
      <c r="Q1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6" s="25">
        <v>1</v>
      </c>
    </row>
    <row r="157" spans="1:20" s="26" customFormat="1" x14ac:dyDescent="0.25">
      <c r="A157" s="16">
        <v>229456</v>
      </c>
      <c r="B157" s="30" t="s">
        <v>1147</v>
      </c>
      <c r="C157" s="20" t="s">
        <v>637</v>
      </c>
      <c r="D157" s="20" t="s">
        <v>696</v>
      </c>
      <c r="E157" s="20" t="s">
        <v>1848</v>
      </c>
      <c r="F157" s="20" t="s">
        <v>1849</v>
      </c>
      <c r="G157" s="21">
        <v>18.8</v>
      </c>
      <c r="H157" s="16">
        <v>27</v>
      </c>
      <c r="I157" s="16"/>
      <c r="J1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507.6</v>
      </c>
      <c r="K157" s="22"/>
      <c r="L157" s="23"/>
      <c r="M157" s="23">
        <f>SUM(Tabela174681012142230322681619252731333624210121416182426283038402481012141620222628303234362426810121424610122426244262628262681026286236[[#This Row],[Saldo no cartão]:[Recarga Pendente]])</f>
        <v>0</v>
      </c>
      <c r="N157" s="19">
        <f>Tabela174681012142230322681619252731333624210121416182426283038402481012141620222628303234362426810121424610122426244262628262681026286236[[#This Row],[Uso diário]]*2</f>
        <v>37.6</v>
      </c>
      <c r="O157" s="19">
        <f>Tabela174681012142230322681619252731333624210121416182426283038402481012141620222628303234362426810121424610122426244262628262681026286236[[#This Row],[Total Acumulado]]-P157</f>
        <v>-94</v>
      </c>
      <c r="P157" s="48">
        <f>Tabela174681012142230322681619252731333624210121416182426283038402481012141620222628303234362426810121424610122426244262628262681026286236[[#This Row],[Uso diário]]*5</f>
        <v>94</v>
      </c>
      <c r="Q1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507.6</v>
      </c>
      <c r="S1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7" s="25">
        <v>1</v>
      </c>
    </row>
    <row r="158" spans="1:20" s="26" customFormat="1" x14ac:dyDescent="0.25">
      <c r="A158" s="16">
        <v>229542</v>
      </c>
      <c r="B158" s="30" t="s">
        <v>1032</v>
      </c>
      <c r="C158" s="20" t="s">
        <v>637</v>
      </c>
      <c r="D158" s="20" t="s">
        <v>696</v>
      </c>
      <c r="E158" s="20" t="s">
        <v>1850</v>
      </c>
      <c r="F158" s="20" t="s">
        <v>1851</v>
      </c>
      <c r="G158" s="21">
        <v>18.8</v>
      </c>
      <c r="H158" s="16">
        <v>22</v>
      </c>
      <c r="I158" s="16">
        <v>1</v>
      </c>
      <c r="J1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58" s="22"/>
      <c r="L158" s="23"/>
      <c r="M158" s="23">
        <f>SUM(Tabela174681012142230322681619252731333624210121416182426283038402481012141620222628303234362426810121424610122426244262628262681026286236[[#This Row],[Saldo no cartão]:[Recarga Pendente]])</f>
        <v>0</v>
      </c>
      <c r="N158" s="19">
        <f>Tabela174681012142230322681619252731333624210121416182426283038402481012141620222628303234362426810121424610122426244262628262681026286236[[#This Row],[Uso diário]]*2</f>
        <v>37.6</v>
      </c>
      <c r="O158" s="19">
        <f>Tabela174681012142230322681619252731333624210121416182426283038402481012141620222628303234362426810121424610122426244262628262681026286236[[#This Row],[Total Acumulado]]-P158</f>
        <v>-94</v>
      </c>
      <c r="P158" s="48">
        <f>Tabela174681012142230322681619252731333624210121416182426283038402481012141620222628303234362426810121424610122426244262628262681026286236[[#This Row],[Uso diário]]*5</f>
        <v>94</v>
      </c>
      <c r="Q1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8" s="25">
        <v>1</v>
      </c>
    </row>
    <row r="159" spans="1:20" s="26" customFormat="1" x14ac:dyDescent="0.25">
      <c r="A159" s="16">
        <v>229616</v>
      </c>
      <c r="B159" s="30" t="s">
        <v>130</v>
      </c>
      <c r="C159" s="20" t="s">
        <v>637</v>
      </c>
      <c r="D159" s="20" t="s">
        <v>696</v>
      </c>
      <c r="E159" s="20" t="s">
        <v>1852</v>
      </c>
      <c r="F159" s="20" t="s">
        <v>1853</v>
      </c>
      <c r="G159" s="21">
        <v>18.8</v>
      </c>
      <c r="H159" s="16">
        <v>27</v>
      </c>
      <c r="I159" s="16">
        <v>5</v>
      </c>
      <c r="J1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59" s="22"/>
      <c r="L159" s="23"/>
      <c r="M159" s="23">
        <f>SUM(Tabela174681012142230322681619252731333624210121416182426283038402481012141620222628303234362426810121424610122426244262628262681026286236[[#This Row],[Saldo no cartão]:[Recarga Pendente]])</f>
        <v>0</v>
      </c>
      <c r="N159" s="19">
        <f>Tabela174681012142230322681619252731333624210121416182426283038402481012141620222628303234362426810121424610122426244262628262681026286236[[#This Row],[Uso diário]]*2</f>
        <v>37.6</v>
      </c>
      <c r="O159" s="19">
        <f>Tabela174681012142230322681619252731333624210121416182426283038402481012141620222628303234362426810121424610122426244262628262681026286236[[#This Row],[Total Acumulado]]-P159</f>
        <v>-94</v>
      </c>
      <c r="P159" s="48">
        <f>Tabela174681012142230322681619252731333624210121416182426283038402481012141620222628303234362426810121424610122426244262628262681026286236[[#This Row],[Uso diário]]*5</f>
        <v>94</v>
      </c>
      <c r="Q1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59" s="25">
        <v>1</v>
      </c>
    </row>
    <row r="160" spans="1:20" s="26" customFormat="1" x14ac:dyDescent="0.25">
      <c r="A160" s="16">
        <v>229644</v>
      </c>
      <c r="B160" s="30" t="s">
        <v>131</v>
      </c>
      <c r="C160" s="20" t="s">
        <v>637</v>
      </c>
      <c r="D160" s="20" t="s">
        <v>694</v>
      </c>
      <c r="E160" s="20" t="s">
        <v>1854</v>
      </c>
      <c r="F160" s="20" t="s">
        <v>1855</v>
      </c>
      <c r="G160" s="21">
        <v>13.7</v>
      </c>
      <c r="H160" s="16">
        <v>24</v>
      </c>
      <c r="I160" s="16">
        <v>3</v>
      </c>
      <c r="J1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287.7</v>
      </c>
      <c r="K160" s="22"/>
      <c r="L160" s="23"/>
      <c r="M160" s="23">
        <f>SUM(Tabela174681012142230322681619252731333624210121416182426283038402481012141620222628303234362426810121424610122426244262628262681026286236[[#This Row],[Saldo no cartão]:[Recarga Pendente]])</f>
        <v>0</v>
      </c>
      <c r="N160" s="19">
        <f>Tabela174681012142230322681619252731333624210121416182426283038402481012141620222628303234362426810121424610122426244262628262681026286236[[#This Row],[Uso diário]]*2</f>
        <v>27.4</v>
      </c>
      <c r="O160" s="19">
        <f>Tabela174681012142230322681619252731333624210121416182426283038402481012141620222628303234362426810121424610122426244262628262681026286236[[#This Row],[Total Acumulado]]-P160</f>
        <v>-68.5</v>
      </c>
      <c r="P160" s="48">
        <f>Tabela174681012142230322681619252731333624210121416182426283038402481012141620222628303234362426810121424610122426244262628262681026286236[[#This Row],[Uso diário]]*5</f>
        <v>68.5</v>
      </c>
      <c r="Q1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287.7</v>
      </c>
      <c r="S1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0" s="25">
        <v>1</v>
      </c>
    </row>
    <row r="161" spans="1:20" s="26" customFormat="1" x14ac:dyDescent="0.25">
      <c r="A161" s="16">
        <v>229795</v>
      </c>
      <c r="B161" s="30" t="s">
        <v>132</v>
      </c>
      <c r="C161" s="20" t="s">
        <v>637</v>
      </c>
      <c r="D161" s="20" t="s">
        <v>696</v>
      </c>
      <c r="E161" s="20" t="s">
        <v>1856</v>
      </c>
      <c r="F161" s="20" t="s">
        <v>1857</v>
      </c>
      <c r="G161" s="21">
        <v>18.8</v>
      </c>
      <c r="H161" s="16">
        <v>27</v>
      </c>
      <c r="I161" s="16">
        <v>6</v>
      </c>
      <c r="J1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61" s="22"/>
      <c r="L161" s="23"/>
      <c r="M161" s="23">
        <f>SUM(Tabela174681012142230322681619252731333624210121416182426283038402481012141620222628303234362426810121424610122426244262628262681026286236[[#This Row],[Saldo no cartão]:[Recarga Pendente]])</f>
        <v>0</v>
      </c>
      <c r="N161" s="19">
        <f>Tabela174681012142230322681619252731333624210121416182426283038402481012141620222628303234362426810121424610122426244262628262681026286236[[#This Row],[Uso diário]]*2</f>
        <v>37.6</v>
      </c>
      <c r="O161" s="19">
        <f>Tabela174681012142230322681619252731333624210121416182426283038402481012141620222628303234362426810121424610122426244262628262681026286236[[#This Row],[Total Acumulado]]-P161</f>
        <v>-94</v>
      </c>
      <c r="P161" s="48">
        <f>Tabela174681012142230322681619252731333624210121416182426283038402481012141620222628303234362426810121424610122426244262628262681026286236[[#This Row],[Uso diário]]*5</f>
        <v>94</v>
      </c>
      <c r="Q1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1" s="25">
        <v>1</v>
      </c>
    </row>
    <row r="162" spans="1:20" s="26" customFormat="1" x14ac:dyDescent="0.25">
      <c r="A162" s="16">
        <v>229926</v>
      </c>
      <c r="B162" s="30" t="s">
        <v>1399</v>
      </c>
      <c r="C162" s="20" t="s">
        <v>637</v>
      </c>
      <c r="D162" s="20" t="s">
        <v>807</v>
      </c>
      <c r="E162" s="20" t="s">
        <v>1858</v>
      </c>
      <c r="F162" s="20" t="s">
        <v>1859</v>
      </c>
      <c r="G162" s="21">
        <v>18.8</v>
      </c>
      <c r="H162" s="16">
        <v>26</v>
      </c>
      <c r="I162" s="16">
        <v>7</v>
      </c>
      <c r="J1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162" s="22"/>
      <c r="L162" s="23"/>
      <c r="M162" s="23">
        <f>SUM(Tabela174681012142230322681619252731333624210121416182426283038402481012141620222628303234362426810121424610122426244262628262681026286236[[#This Row],[Saldo no cartão]:[Recarga Pendente]])</f>
        <v>0</v>
      </c>
      <c r="N162" s="19">
        <f>Tabela174681012142230322681619252731333624210121416182426283038402481012141620222628303234362426810121424610122426244262628262681026286236[[#This Row],[Uso diário]]*2</f>
        <v>37.6</v>
      </c>
      <c r="O162" s="19">
        <f>Tabela174681012142230322681619252731333624210121416182426283038402481012141620222628303234362426810121424610122426244262628262681026286236[[#This Row],[Total Acumulado]]-P162</f>
        <v>-94</v>
      </c>
      <c r="P162" s="48">
        <f>Tabela174681012142230322681619252731333624210121416182426283038402481012141620222628303234362426810121424610122426244262628262681026286236[[#This Row],[Uso diário]]*5</f>
        <v>94</v>
      </c>
      <c r="Q1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1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2" s="25">
        <v>1</v>
      </c>
    </row>
    <row r="163" spans="1:20" s="26" customFormat="1" x14ac:dyDescent="0.25">
      <c r="A163" s="16">
        <v>229996</v>
      </c>
      <c r="B163" s="30" t="s">
        <v>133</v>
      </c>
      <c r="C163" s="20" t="s">
        <v>637</v>
      </c>
      <c r="D163" s="20" t="s">
        <v>696</v>
      </c>
      <c r="E163" s="20" t="s">
        <v>1860</v>
      </c>
      <c r="F163" s="20" t="s">
        <v>1861</v>
      </c>
      <c r="G163" s="21">
        <v>18.8</v>
      </c>
      <c r="H163" s="16">
        <v>27</v>
      </c>
      <c r="I163" s="16">
        <v>6</v>
      </c>
      <c r="J1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63" s="22"/>
      <c r="L163" s="23"/>
      <c r="M163" s="23">
        <f>SUM(Tabela174681012142230322681619252731333624210121416182426283038402481012141620222628303234362426810121424610122426244262628262681026286236[[#This Row],[Saldo no cartão]:[Recarga Pendente]])</f>
        <v>0</v>
      </c>
      <c r="N163" s="19">
        <f>Tabela174681012142230322681619252731333624210121416182426283038402481012141620222628303234362426810121424610122426244262628262681026286236[[#This Row],[Uso diário]]*2</f>
        <v>37.6</v>
      </c>
      <c r="O163" s="19">
        <f>Tabela174681012142230322681619252731333624210121416182426283038402481012141620222628303234362426810121424610122426244262628262681026286236[[#This Row],[Total Acumulado]]-P163</f>
        <v>-94</v>
      </c>
      <c r="P163" s="48">
        <f>Tabela174681012142230322681619252731333624210121416182426283038402481012141620222628303234362426810121424610122426244262628262681026286236[[#This Row],[Uso diário]]*5</f>
        <v>94</v>
      </c>
      <c r="Q1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3" s="25">
        <v>1</v>
      </c>
    </row>
    <row r="164" spans="1:20" s="26" customFormat="1" x14ac:dyDescent="0.25">
      <c r="A164" s="16">
        <v>229998</v>
      </c>
      <c r="B164" s="30" t="s">
        <v>134</v>
      </c>
      <c r="C164" s="20" t="s">
        <v>637</v>
      </c>
      <c r="D164" s="20" t="s">
        <v>696</v>
      </c>
      <c r="E164" s="20" t="s">
        <v>1862</v>
      </c>
      <c r="F164" s="20" t="s">
        <v>1863</v>
      </c>
      <c r="G164" s="21">
        <v>13.7</v>
      </c>
      <c r="H164" s="16">
        <v>27</v>
      </c>
      <c r="I164" s="16">
        <v>4</v>
      </c>
      <c r="J1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315.09999999999997</v>
      </c>
      <c r="K164" s="22"/>
      <c r="L164" s="23"/>
      <c r="M164" s="23">
        <f>SUM(Tabela174681012142230322681619252731333624210121416182426283038402481012141620222628303234362426810121424610122426244262628262681026286236[[#This Row],[Saldo no cartão]:[Recarga Pendente]])</f>
        <v>0</v>
      </c>
      <c r="N164" s="19">
        <f>Tabela174681012142230322681619252731333624210121416182426283038402481012141620222628303234362426810121424610122426244262628262681026286236[[#This Row],[Uso diário]]*2</f>
        <v>27.4</v>
      </c>
      <c r="O164" s="19">
        <f>Tabela174681012142230322681619252731333624210121416182426283038402481012141620222628303234362426810121424610122426244262628262681026286236[[#This Row],[Total Acumulado]]-P164</f>
        <v>-68.5</v>
      </c>
      <c r="P164" s="48">
        <f>Tabela174681012142230322681619252731333624210121416182426283038402481012141620222628303234362426810121424610122426244262628262681026286236[[#This Row],[Uso diário]]*5</f>
        <v>68.5</v>
      </c>
      <c r="Q1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315.09999999999997</v>
      </c>
      <c r="S1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4" s="25">
        <v>1</v>
      </c>
    </row>
    <row r="165" spans="1:20" s="26" customFormat="1" x14ac:dyDescent="0.25">
      <c r="A165" s="16">
        <v>230032</v>
      </c>
      <c r="B165" s="30" t="s">
        <v>135</v>
      </c>
      <c r="C165" s="20" t="s">
        <v>637</v>
      </c>
      <c r="D165" s="20" t="s">
        <v>807</v>
      </c>
      <c r="E165" s="20" t="s">
        <v>1864</v>
      </c>
      <c r="F165" s="20" t="s">
        <v>1865</v>
      </c>
      <c r="G165" s="21">
        <v>18.8</v>
      </c>
      <c r="H165" s="16">
        <v>27</v>
      </c>
      <c r="I165" s="16">
        <v>4</v>
      </c>
      <c r="J1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65" s="22"/>
      <c r="L165" s="23"/>
      <c r="M165" s="23">
        <f>SUM(Tabela174681012142230322681619252731333624210121416182426283038402481012141620222628303234362426810121424610122426244262628262681026286236[[#This Row],[Saldo no cartão]:[Recarga Pendente]])</f>
        <v>0</v>
      </c>
      <c r="N165" s="19">
        <f>Tabela174681012142230322681619252731333624210121416182426283038402481012141620222628303234362426810121424610122426244262628262681026286236[[#This Row],[Uso diário]]*2</f>
        <v>37.6</v>
      </c>
      <c r="O165" s="19">
        <f>Tabela174681012142230322681619252731333624210121416182426283038402481012141620222628303234362426810121424610122426244262628262681026286236[[#This Row],[Total Acumulado]]-P165</f>
        <v>-94</v>
      </c>
      <c r="P165" s="48">
        <f>Tabela174681012142230322681619252731333624210121416182426283038402481012141620222628303234362426810121424610122426244262628262681026286236[[#This Row],[Uso diário]]*5</f>
        <v>94</v>
      </c>
      <c r="Q1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5" s="25">
        <v>1</v>
      </c>
    </row>
    <row r="166" spans="1:20" s="26" customFormat="1" x14ac:dyDescent="0.25">
      <c r="A166" s="16">
        <v>230034</v>
      </c>
      <c r="B166" s="30" t="s">
        <v>1148</v>
      </c>
      <c r="C166" s="20" t="s">
        <v>637</v>
      </c>
      <c r="D166" s="20" t="s">
        <v>696</v>
      </c>
      <c r="E166" s="20" t="s">
        <v>1866</v>
      </c>
      <c r="F166" s="20" t="s">
        <v>1867</v>
      </c>
      <c r="G166" s="21">
        <v>13.4</v>
      </c>
      <c r="H166" s="16">
        <v>27</v>
      </c>
      <c r="I166" s="16">
        <v>9</v>
      </c>
      <c r="J1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241.20000000000002</v>
      </c>
      <c r="K166" s="22"/>
      <c r="L166" s="23"/>
      <c r="M166" s="23">
        <f>SUM(Tabela174681012142230322681619252731333624210121416182426283038402481012141620222628303234362426810121424610122426244262628262681026286236[[#This Row],[Saldo no cartão]:[Recarga Pendente]])</f>
        <v>0</v>
      </c>
      <c r="N166" s="19">
        <f>Tabela174681012142230322681619252731333624210121416182426283038402481012141620222628303234362426810121424610122426244262628262681026286236[[#This Row],[Uso diário]]*2</f>
        <v>26.8</v>
      </c>
      <c r="O166" s="19">
        <f>Tabela174681012142230322681619252731333624210121416182426283038402481012141620222628303234362426810121424610122426244262628262681026286236[[#This Row],[Total Acumulado]]-P166</f>
        <v>-67</v>
      </c>
      <c r="P166" s="48">
        <f>Tabela174681012142230322681619252731333624210121416182426283038402481012141620222628303234362426810121424610122426244262628262681026286236[[#This Row],[Uso diário]]*5</f>
        <v>67</v>
      </c>
      <c r="Q1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241.20000000000002</v>
      </c>
      <c r="S1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6" s="25">
        <v>1</v>
      </c>
    </row>
    <row r="167" spans="1:20" s="26" customFormat="1" x14ac:dyDescent="0.25">
      <c r="A167" s="16">
        <v>230181</v>
      </c>
      <c r="B167" s="30" t="s">
        <v>137</v>
      </c>
      <c r="C167" s="20" t="s">
        <v>637</v>
      </c>
      <c r="D167" s="20" t="s">
        <v>694</v>
      </c>
      <c r="E167" s="20" t="s">
        <v>1868</v>
      </c>
      <c r="F167" s="20" t="s">
        <v>1869</v>
      </c>
      <c r="G167" s="21">
        <v>13.7</v>
      </c>
      <c r="H167" s="16">
        <v>24</v>
      </c>
      <c r="I167" s="16">
        <v>2</v>
      </c>
      <c r="J1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301.39999999999998</v>
      </c>
      <c r="K167" s="22"/>
      <c r="L167" s="23">
        <v>13.7</v>
      </c>
      <c r="M167" s="23">
        <f>SUM(Tabela174681012142230322681619252731333624210121416182426283038402481012141620222628303234362426810121424610122426244262628262681026286236[[#This Row],[Saldo no cartão]:[Recarga Pendente]])</f>
        <v>13.7</v>
      </c>
      <c r="N167" s="19">
        <f>Tabela174681012142230322681619252731333624210121416182426283038402481012141620222628303234362426810121424610122426244262628262681026286236[[#This Row],[Uso diário]]*2</f>
        <v>27.4</v>
      </c>
      <c r="O167" s="19">
        <f>Tabela174681012142230322681619252731333624210121416182426283038402481012141620222628303234362426810121424610122426244262628262681026286236[[#This Row],[Total Acumulado]]-P167</f>
        <v>-54.8</v>
      </c>
      <c r="P167" s="48">
        <f>Tabela174681012142230322681619252731333624210121416182426283038402481012141620222628303234362426810121424610122426244262628262681026286236[[#This Row],[Uso diário]]*5</f>
        <v>68.5</v>
      </c>
      <c r="Q1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301.39999999999998</v>
      </c>
      <c r="S1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7" s="25">
        <v>1</v>
      </c>
    </row>
    <row r="168" spans="1:20" s="26" customFormat="1" x14ac:dyDescent="0.25">
      <c r="A168" s="16">
        <v>230182</v>
      </c>
      <c r="B168" s="30" t="s">
        <v>1400</v>
      </c>
      <c r="C168" s="20" t="s">
        <v>637</v>
      </c>
      <c r="D168" s="20" t="s">
        <v>807</v>
      </c>
      <c r="E168" s="20" t="s">
        <v>1870</v>
      </c>
      <c r="F168" s="20" t="s">
        <v>1871</v>
      </c>
      <c r="G168" s="21">
        <v>18.8</v>
      </c>
      <c r="H168" s="16">
        <v>24</v>
      </c>
      <c r="I168" s="16"/>
      <c r="J1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68" s="22"/>
      <c r="L168" s="23">
        <v>37.6</v>
      </c>
      <c r="M168" s="23">
        <f>SUM(Tabela174681012142230322681619252731333624210121416182426283038402481012141620222628303234362426810121424610122426244262628262681026286236[[#This Row],[Saldo no cartão]:[Recarga Pendente]])</f>
        <v>37.6</v>
      </c>
      <c r="N168" s="19">
        <f>Tabela174681012142230322681619252731333624210121416182426283038402481012141620222628303234362426810121424610122426244262628262681026286236[[#This Row],[Uso diário]]*2</f>
        <v>37.6</v>
      </c>
      <c r="O168" s="19">
        <f>Tabela174681012142230322681619252731333624210121416182426283038402481012141620222628303234362426810121424610122426244262628262681026286236[[#This Row],[Total Acumulado]]-P168</f>
        <v>-56.4</v>
      </c>
      <c r="P168" s="48">
        <f>Tabela174681012142230322681619252731333624210121416182426283038402481012141620222628303234362426810121424610122426244262628262681026286236[[#This Row],[Uso diário]]*5</f>
        <v>94</v>
      </c>
      <c r="Q1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8" s="25">
        <v>1</v>
      </c>
    </row>
    <row r="169" spans="1:20" s="26" customFormat="1" x14ac:dyDescent="0.25">
      <c r="A169" s="16">
        <v>230184</v>
      </c>
      <c r="B169" s="30" t="s">
        <v>138</v>
      </c>
      <c r="C169" s="20" t="s">
        <v>637</v>
      </c>
      <c r="D169" s="20" t="s">
        <v>694</v>
      </c>
      <c r="E169" s="20" t="s">
        <v>1872</v>
      </c>
      <c r="F169" s="20" t="s">
        <v>1873</v>
      </c>
      <c r="G169" s="21">
        <v>18.8</v>
      </c>
      <c r="H169" s="16">
        <v>24</v>
      </c>
      <c r="I169" s="16"/>
      <c r="J1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69" s="22"/>
      <c r="L169" s="23"/>
      <c r="M169" s="23">
        <f>SUM(Tabela174681012142230322681619252731333624210121416182426283038402481012141620222628303234362426810121424610122426244262628262681026286236[[#This Row],[Saldo no cartão]:[Recarga Pendente]])</f>
        <v>0</v>
      </c>
      <c r="N169" s="19">
        <f>Tabela174681012142230322681619252731333624210121416182426283038402481012141620222628303234362426810121424610122426244262628262681026286236[[#This Row],[Uso diário]]*2</f>
        <v>37.6</v>
      </c>
      <c r="O169" s="19">
        <f>Tabela174681012142230322681619252731333624210121416182426283038402481012141620222628303234362426810121424610122426244262628262681026286236[[#This Row],[Total Acumulado]]-P169</f>
        <v>-94</v>
      </c>
      <c r="P169" s="48">
        <f>Tabela174681012142230322681619252731333624210121416182426283038402481012141620222628303234362426810121424610122426244262628262681026286236[[#This Row],[Uso diário]]*5</f>
        <v>94</v>
      </c>
      <c r="Q1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69" s="25">
        <v>1</v>
      </c>
    </row>
    <row r="170" spans="1:20" s="26" customFormat="1" x14ac:dyDescent="0.25">
      <c r="A170" s="16">
        <v>230276</v>
      </c>
      <c r="B170" s="30" t="s">
        <v>1401</v>
      </c>
      <c r="C170" s="20" t="s">
        <v>637</v>
      </c>
      <c r="D170" s="20" t="s">
        <v>694</v>
      </c>
      <c r="E170" s="20" t="s">
        <v>1874</v>
      </c>
      <c r="F170" s="20" t="s">
        <v>1875</v>
      </c>
      <c r="G170" s="21">
        <v>18.8</v>
      </c>
      <c r="H170" s="16">
        <v>24</v>
      </c>
      <c r="I170" s="16">
        <v>1</v>
      </c>
      <c r="J1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70" s="22"/>
      <c r="L170" s="23"/>
      <c r="M170" s="23">
        <f>SUM(Tabela174681012142230322681619252731333624210121416182426283038402481012141620222628303234362426810121424610122426244262628262681026286236[[#This Row],[Saldo no cartão]:[Recarga Pendente]])</f>
        <v>0</v>
      </c>
      <c r="N170" s="19">
        <f>Tabela174681012142230322681619252731333624210121416182426283038402481012141620222628303234362426810121424610122426244262628262681026286236[[#This Row],[Uso diário]]*2</f>
        <v>37.6</v>
      </c>
      <c r="O170" s="19">
        <f>Tabela174681012142230322681619252731333624210121416182426283038402481012141620222628303234362426810121424610122426244262628262681026286236[[#This Row],[Total Acumulado]]-P170</f>
        <v>-94</v>
      </c>
      <c r="P170" s="48">
        <f>Tabela174681012142230322681619252731333624210121416182426283038402481012141620222628303234362426810121424610122426244262628262681026286236[[#This Row],[Uso diário]]*5</f>
        <v>94</v>
      </c>
      <c r="Q1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0" s="25">
        <v>1</v>
      </c>
    </row>
    <row r="171" spans="1:20" s="26" customFormat="1" x14ac:dyDescent="0.25">
      <c r="A171" s="16">
        <v>230333</v>
      </c>
      <c r="B171" s="30" t="s">
        <v>140</v>
      </c>
      <c r="C171" s="20" t="s">
        <v>637</v>
      </c>
      <c r="D171" s="20" t="s">
        <v>696</v>
      </c>
      <c r="E171" s="20" t="s">
        <v>1876</v>
      </c>
      <c r="F171" s="20" t="s">
        <v>1877</v>
      </c>
      <c r="G171" s="21">
        <v>18.8</v>
      </c>
      <c r="H171" s="16">
        <v>24</v>
      </c>
      <c r="I171" s="16"/>
      <c r="J1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71" s="22"/>
      <c r="L171" s="23"/>
      <c r="M171" s="23">
        <f>SUM(Tabela174681012142230322681619252731333624210121416182426283038402481012141620222628303234362426810121424610122426244262628262681026286236[[#This Row],[Saldo no cartão]:[Recarga Pendente]])</f>
        <v>0</v>
      </c>
      <c r="N171" s="19">
        <f>Tabela174681012142230322681619252731333624210121416182426283038402481012141620222628303234362426810121424610122426244262628262681026286236[[#This Row],[Uso diário]]*2</f>
        <v>37.6</v>
      </c>
      <c r="O171" s="19">
        <f>Tabela174681012142230322681619252731333624210121416182426283038402481012141620222628303234362426810121424610122426244262628262681026286236[[#This Row],[Total Acumulado]]-P171</f>
        <v>-94</v>
      </c>
      <c r="P171" s="48">
        <f>Tabela174681012142230322681619252731333624210121416182426283038402481012141620222628303234362426810121424610122426244262628262681026286236[[#This Row],[Uso diário]]*5</f>
        <v>94</v>
      </c>
      <c r="Q1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1" s="25">
        <v>1</v>
      </c>
    </row>
    <row r="172" spans="1:20" s="26" customFormat="1" x14ac:dyDescent="0.25">
      <c r="A172" s="16">
        <v>230589</v>
      </c>
      <c r="B172" s="30" t="s">
        <v>141</v>
      </c>
      <c r="C172" s="20" t="s">
        <v>637</v>
      </c>
      <c r="D172" s="20" t="s">
        <v>694</v>
      </c>
      <c r="E172" s="20" t="s">
        <v>1878</v>
      </c>
      <c r="F172" s="20" t="s">
        <v>1879</v>
      </c>
      <c r="G172" s="21">
        <v>18.8</v>
      </c>
      <c r="H172" s="16">
        <v>24</v>
      </c>
      <c r="I172" s="16">
        <v>1</v>
      </c>
      <c r="J1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72" s="22"/>
      <c r="L172" s="23"/>
      <c r="M172" s="23">
        <f>SUM(Tabela174681012142230322681619252731333624210121416182426283038402481012141620222628303234362426810121424610122426244262628262681026286236[[#This Row],[Saldo no cartão]:[Recarga Pendente]])</f>
        <v>0</v>
      </c>
      <c r="N172" s="19">
        <f>Tabela174681012142230322681619252731333624210121416182426283038402481012141620222628303234362426810121424610122426244262628262681026286236[[#This Row],[Uso diário]]*2</f>
        <v>37.6</v>
      </c>
      <c r="O172" s="19">
        <f>Tabela174681012142230322681619252731333624210121416182426283038402481012141620222628303234362426810121424610122426244262628262681026286236[[#This Row],[Total Acumulado]]-P172</f>
        <v>-94</v>
      </c>
      <c r="P172" s="48">
        <f>Tabela174681012142230322681619252731333624210121416182426283038402481012141620222628303234362426810121424610122426244262628262681026286236[[#This Row],[Uso diário]]*5</f>
        <v>94</v>
      </c>
      <c r="Q1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2" s="25">
        <v>1</v>
      </c>
    </row>
    <row r="173" spans="1:20" s="26" customFormat="1" x14ac:dyDescent="0.25">
      <c r="A173" s="16">
        <v>230961</v>
      </c>
      <c r="B173" s="30" t="s">
        <v>143</v>
      </c>
      <c r="C173" s="20" t="s">
        <v>637</v>
      </c>
      <c r="D173" s="20" t="s">
        <v>694</v>
      </c>
      <c r="E173" s="20" t="s">
        <v>1880</v>
      </c>
      <c r="F173" s="20" t="s">
        <v>1881</v>
      </c>
      <c r="G173" s="21">
        <v>18.8</v>
      </c>
      <c r="H173" s="16">
        <v>24</v>
      </c>
      <c r="I173" s="16">
        <v>9</v>
      </c>
      <c r="J1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173" s="22"/>
      <c r="L173" s="23"/>
      <c r="M173" s="23">
        <f>SUM(Tabela174681012142230322681619252731333624210121416182426283038402481012141620222628303234362426810121424610122426244262628262681026286236[[#This Row],[Saldo no cartão]:[Recarga Pendente]])</f>
        <v>0</v>
      </c>
      <c r="N173" s="19">
        <f>Tabela174681012142230322681619252731333624210121416182426283038402481012141620222628303234362426810121424610122426244262628262681026286236[[#This Row],[Uso diário]]*2</f>
        <v>37.6</v>
      </c>
      <c r="O173" s="19">
        <f>Tabela174681012142230322681619252731333624210121416182426283038402481012141620222628303234362426810121424610122426244262628262681026286236[[#This Row],[Total Acumulado]]-P173</f>
        <v>-94</v>
      </c>
      <c r="P173" s="48">
        <f>Tabela174681012142230322681619252731333624210121416182426283038402481012141620222628303234362426810121424610122426244262628262681026286236[[#This Row],[Uso diário]]*5</f>
        <v>94</v>
      </c>
      <c r="Q1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1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3" s="25">
        <v>1</v>
      </c>
    </row>
    <row r="174" spans="1:20" s="26" customFormat="1" x14ac:dyDescent="0.25">
      <c r="A174" s="16">
        <v>230962</v>
      </c>
      <c r="B174" s="30" t="s">
        <v>1402</v>
      </c>
      <c r="C174" s="20" t="s">
        <v>637</v>
      </c>
      <c r="D174" s="20" t="s">
        <v>693</v>
      </c>
      <c r="E174" s="20" t="s">
        <v>1882</v>
      </c>
      <c r="F174" s="20" t="s">
        <v>1883</v>
      </c>
      <c r="G174" s="21">
        <v>18.8</v>
      </c>
      <c r="H174" s="16">
        <v>24</v>
      </c>
      <c r="I174" s="16"/>
      <c r="J1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74" s="22"/>
      <c r="L174" s="23"/>
      <c r="M174" s="23">
        <f>SUM(Tabela174681012142230322681619252731333624210121416182426283038402481012141620222628303234362426810121424610122426244262628262681026286236[[#This Row],[Saldo no cartão]:[Recarga Pendente]])</f>
        <v>0</v>
      </c>
      <c r="N174" s="19">
        <f>Tabela174681012142230322681619252731333624210121416182426283038402481012141620222628303234362426810121424610122426244262628262681026286236[[#This Row],[Uso diário]]*2</f>
        <v>37.6</v>
      </c>
      <c r="O174" s="19">
        <f>Tabela174681012142230322681619252731333624210121416182426283038402481012141620222628303234362426810121424610122426244262628262681026286236[[#This Row],[Total Acumulado]]-P174</f>
        <v>-94</v>
      </c>
      <c r="P174" s="48">
        <f>Tabela174681012142230322681619252731333624210121416182426283038402481012141620222628303234362426810121424610122426244262628262681026286236[[#This Row],[Uso diário]]*5</f>
        <v>94</v>
      </c>
      <c r="Q1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4" s="25">
        <v>1</v>
      </c>
    </row>
    <row r="175" spans="1:20" s="26" customFormat="1" x14ac:dyDescent="0.25">
      <c r="A175" s="16">
        <v>230963</v>
      </c>
      <c r="B175" s="30" t="s">
        <v>1403</v>
      </c>
      <c r="C175" s="20" t="s">
        <v>637</v>
      </c>
      <c r="D175" s="20" t="s">
        <v>696</v>
      </c>
      <c r="E175" s="20" t="s">
        <v>1884</v>
      </c>
      <c r="F175" s="20" t="s">
        <v>1885</v>
      </c>
      <c r="G175" s="21">
        <v>18.8</v>
      </c>
      <c r="H175" s="16">
        <v>27</v>
      </c>
      <c r="I175" s="16">
        <v>2</v>
      </c>
      <c r="J1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75" s="22"/>
      <c r="L175" s="23"/>
      <c r="M175" s="23">
        <f>SUM(Tabela174681012142230322681619252731333624210121416182426283038402481012141620222628303234362426810121424610122426244262628262681026286236[[#This Row],[Saldo no cartão]:[Recarga Pendente]])</f>
        <v>0</v>
      </c>
      <c r="N175" s="19">
        <f>Tabela174681012142230322681619252731333624210121416182426283038402481012141620222628303234362426810121424610122426244262628262681026286236[[#This Row],[Uso diário]]*2</f>
        <v>37.6</v>
      </c>
      <c r="O175" s="19">
        <f>Tabela174681012142230322681619252731333624210121416182426283038402481012141620222628303234362426810121424610122426244262628262681026286236[[#This Row],[Total Acumulado]]-P175</f>
        <v>-94</v>
      </c>
      <c r="P175" s="48">
        <f>Tabela174681012142230322681619252731333624210121416182426283038402481012141620222628303234362426810121424610122426244262628262681026286236[[#This Row],[Uso diário]]*5</f>
        <v>94</v>
      </c>
      <c r="Q1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5" s="25">
        <v>1</v>
      </c>
    </row>
    <row r="176" spans="1:20" s="26" customFormat="1" x14ac:dyDescent="0.25">
      <c r="A176" s="16">
        <v>231184</v>
      </c>
      <c r="B176" s="30" t="s">
        <v>763</v>
      </c>
      <c r="C176" s="20" t="s">
        <v>637</v>
      </c>
      <c r="D176" s="20" t="s">
        <v>696</v>
      </c>
      <c r="E176" s="20" t="s">
        <v>1886</v>
      </c>
      <c r="F176" s="20" t="s">
        <v>1887</v>
      </c>
      <c r="G176" s="21">
        <v>18.8</v>
      </c>
      <c r="H176" s="16">
        <v>24</v>
      </c>
      <c r="I176" s="16"/>
      <c r="J1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76" s="22"/>
      <c r="L176" s="23"/>
      <c r="M176" s="23">
        <f>SUM(Tabela174681012142230322681619252731333624210121416182426283038402481012141620222628303234362426810121424610122426244262628262681026286236[[#This Row],[Saldo no cartão]:[Recarga Pendente]])</f>
        <v>0</v>
      </c>
      <c r="N176" s="19">
        <f>Tabela174681012142230322681619252731333624210121416182426283038402481012141620222628303234362426810121424610122426244262628262681026286236[[#This Row],[Uso diário]]*2</f>
        <v>37.6</v>
      </c>
      <c r="O176" s="19">
        <f>Tabela174681012142230322681619252731333624210121416182426283038402481012141620222628303234362426810121424610122426244262628262681026286236[[#This Row],[Total Acumulado]]-P176</f>
        <v>-94</v>
      </c>
      <c r="P176" s="48">
        <f>Tabela174681012142230322681619252731333624210121416182426283038402481012141620222628303234362426810121424610122426244262628262681026286236[[#This Row],[Uso diário]]*5</f>
        <v>94</v>
      </c>
      <c r="Q1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6" s="25">
        <v>1</v>
      </c>
    </row>
    <row r="177" spans="1:20" s="26" customFormat="1" x14ac:dyDescent="0.25">
      <c r="A177" s="16">
        <v>231431</v>
      </c>
      <c r="B177" s="30" t="s">
        <v>784</v>
      </c>
      <c r="C177" s="20" t="s">
        <v>637</v>
      </c>
      <c r="D177" s="20" t="s">
        <v>696</v>
      </c>
      <c r="E177" s="20" t="s">
        <v>1888</v>
      </c>
      <c r="F177" s="20" t="s">
        <v>1889</v>
      </c>
      <c r="G177" s="21">
        <v>18.8</v>
      </c>
      <c r="H177" s="16">
        <v>24</v>
      </c>
      <c r="I177" s="16"/>
      <c r="J1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77" s="22"/>
      <c r="L177" s="23"/>
      <c r="M177" s="23">
        <f>SUM(Tabela174681012142230322681619252731333624210121416182426283038402481012141620222628303234362426810121424610122426244262628262681026286236[[#This Row],[Saldo no cartão]:[Recarga Pendente]])</f>
        <v>0</v>
      </c>
      <c r="N177" s="19">
        <f>Tabela174681012142230322681619252731333624210121416182426283038402481012141620222628303234362426810121424610122426244262628262681026286236[[#This Row],[Uso diário]]*2</f>
        <v>37.6</v>
      </c>
      <c r="O177" s="19">
        <f>Tabela174681012142230322681619252731333624210121416182426283038402481012141620222628303234362426810121424610122426244262628262681026286236[[#This Row],[Total Acumulado]]-P177</f>
        <v>-94</v>
      </c>
      <c r="P177" s="48">
        <f>Tabela174681012142230322681619252731333624210121416182426283038402481012141620222628303234362426810121424610122426244262628262681026286236[[#This Row],[Uso diário]]*5</f>
        <v>94</v>
      </c>
      <c r="Q1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7" s="25">
        <v>1</v>
      </c>
    </row>
    <row r="178" spans="1:20" s="26" customFormat="1" x14ac:dyDescent="0.25">
      <c r="A178" s="16">
        <v>231523</v>
      </c>
      <c r="B178" s="30" t="s">
        <v>811</v>
      </c>
      <c r="C178" s="20" t="s">
        <v>637</v>
      </c>
      <c r="D178" s="20" t="s">
        <v>696</v>
      </c>
      <c r="E178" s="20" t="s">
        <v>1890</v>
      </c>
      <c r="F178" s="20" t="s">
        <v>1891</v>
      </c>
      <c r="G178" s="21">
        <v>18.8</v>
      </c>
      <c r="H178" s="16">
        <v>27</v>
      </c>
      <c r="I178" s="16">
        <v>5</v>
      </c>
      <c r="J1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78" s="22"/>
      <c r="L178" s="23"/>
      <c r="M178" s="23">
        <f>SUM(Tabela174681012142230322681619252731333624210121416182426283038402481012141620222628303234362426810121424610122426244262628262681026286236[[#This Row],[Saldo no cartão]:[Recarga Pendente]])</f>
        <v>0</v>
      </c>
      <c r="N178" s="19">
        <f>Tabela174681012142230322681619252731333624210121416182426283038402481012141620222628303234362426810121424610122426244262628262681026286236[[#This Row],[Uso diário]]*2</f>
        <v>37.6</v>
      </c>
      <c r="O178" s="19">
        <f>Tabela174681012142230322681619252731333624210121416182426283038402481012141620222628303234362426810121424610122426244262628262681026286236[[#This Row],[Total Acumulado]]-P178</f>
        <v>-94</v>
      </c>
      <c r="P178" s="48">
        <f>Tabela174681012142230322681619252731333624210121416182426283038402481012141620222628303234362426810121424610122426244262628262681026286236[[#This Row],[Uso diário]]*5</f>
        <v>94</v>
      </c>
      <c r="Q1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8" s="25">
        <v>1</v>
      </c>
    </row>
    <row r="179" spans="1:20" s="26" customFormat="1" x14ac:dyDescent="0.25">
      <c r="A179" s="16">
        <v>231558</v>
      </c>
      <c r="B179" s="30" t="s">
        <v>812</v>
      </c>
      <c r="C179" s="20" t="s">
        <v>637</v>
      </c>
      <c r="D179" s="20" t="s">
        <v>696</v>
      </c>
      <c r="E179" s="20" t="s">
        <v>1892</v>
      </c>
      <c r="F179" s="20" t="s">
        <v>1893</v>
      </c>
      <c r="G179" s="21">
        <v>13.7</v>
      </c>
      <c r="H179" s="16">
        <v>27</v>
      </c>
      <c r="I179" s="16">
        <v>6</v>
      </c>
      <c r="J1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287.7</v>
      </c>
      <c r="K179" s="22"/>
      <c r="L179" s="23"/>
      <c r="M179" s="23">
        <f>SUM(Tabela174681012142230322681619252731333624210121416182426283038402481012141620222628303234362426810121424610122426244262628262681026286236[[#This Row],[Saldo no cartão]:[Recarga Pendente]])</f>
        <v>0</v>
      </c>
      <c r="N179" s="19">
        <f>Tabela174681012142230322681619252731333624210121416182426283038402481012141620222628303234362426810121424610122426244262628262681026286236[[#This Row],[Uso diário]]*2</f>
        <v>27.4</v>
      </c>
      <c r="O179" s="19">
        <f>Tabela174681012142230322681619252731333624210121416182426283038402481012141620222628303234362426810121424610122426244262628262681026286236[[#This Row],[Total Acumulado]]-P179</f>
        <v>-68.5</v>
      </c>
      <c r="P179" s="48">
        <f>Tabela174681012142230322681619252731333624210121416182426283038402481012141620222628303234362426810121424610122426244262628262681026286236[[#This Row],[Uso diário]]*5</f>
        <v>68.5</v>
      </c>
      <c r="Q1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287.7</v>
      </c>
      <c r="S1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79" s="25">
        <v>1</v>
      </c>
    </row>
    <row r="180" spans="1:20" s="26" customFormat="1" x14ac:dyDescent="0.25">
      <c r="A180" s="16">
        <v>231584</v>
      </c>
      <c r="B180" s="30" t="s">
        <v>1149</v>
      </c>
      <c r="C180" s="20" t="s">
        <v>637</v>
      </c>
      <c r="D180" s="20" t="s">
        <v>696</v>
      </c>
      <c r="E180" s="20" t="s">
        <v>1894</v>
      </c>
      <c r="F180" s="20" t="s">
        <v>1895</v>
      </c>
      <c r="G180" s="21">
        <v>18.8</v>
      </c>
      <c r="H180" s="16">
        <v>24</v>
      </c>
      <c r="I180" s="16"/>
      <c r="J1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0" s="22"/>
      <c r="L180" s="23">
        <v>428.45</v>
      </c>
      <c r="M180" s="23">
        <f>SUM(Tabela174681012142230322681619252731333624210121416182426283038402481012141620222628303234362426810121424610122426244262628262681026286236[[#This Row],[Saldo no cartão]:[Recarga Pendente]])</f>
        <v>428.45</v>
      </c>
      <c r="N180" s="19">
        <f>Tabela174681012142230322681619252731333624210121416182426283038402481012141620222628303234362426810121424610122426244262628262681026286236[[#This Row],[Uso diário]]*2</f>
        <v>37.6</v>
      </c>
      <c r="O180" s="19">
        <f>Tabela174681012142230322681619252731333624210121416182426283038402481012141620222628303234362426810121424610122426244262628262681026286236[[#This Row],[Total Acumulado]]-P180</f>
        <v>334.45</v>
      </c>
      <c r="P180" s="48">
        <f>Tabela174681012142230322681619252731333624210121416182426283038402481012141620222628303234362426810121424610122426244262628262681026286236[[#This Row],[Uso diário]]*5</f>
        <v>94</v>
      </c>
      <c r="Q1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334.45</v>
      </c>
      <c r="R1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116.75000000000006</v>
      </c>
      <c r="S180" s="18" t="s">
        <v>11</v>
      </c>
      <c r="T180" s="25">
        <v>1</v>
      </c>
    </row>
    <row r="181" spans="1:20" s="26" customFormat="1" x14ac:dyDescent="0.25">
      <c r="A181" s="16">
        <v>231719</v>
      </c>
      <c r="B181" s="30" t="s">
        <v>813</v>
      </c>
      <c r="C181" s="20" t="s">
        <v>637</v>
      </c>
      <c r="D181" s="20" t="s">
        <v>696</v>
      </c>
      <c r="E181" s="20" t="s">
        <v>1896</v>
      </c>
      <c r="F181" s="20" t="s">
        <v>1897</v>
      </c>
      <c r="G181" s="21">
        <v>18.8</v>
      </c>
      <c r="H181" s="16">
        <v>24</v>
      </c>
      <c r="I181" s="16"/>
      <c r="J1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1" s="22"/>
      <c r="L181" s="23"/>
      <c r="M181" s="23">
        <f>SUM(Tabela174681012142230322681619252731333624210121416182426283038402481012141620222628303234362426810121424610122426244262628262681026286236[[#This Row],[Saldo no cartão]:[Recarga Pendente]])</f>
        <v>0</v>
      </c>
      <c r="N181" s="19">
        <f>Tabela174681012142230322681619252731333624210121416182426283038402481012141620222628303234362426810121424610122426244262628262681026286236[[#This Row],[Uso diário]]*2</f>
        <v>37.6</v>
      </c>
      <c r="O181" s="19">
        <f>Tabela174681012142230322681619252731333624210121416182426283038402481012141620222628303234362426810121424610122426244262628262681026286236[[#This Row],[Total Acumulado]]-P181</f>
        <v>-94</v>
      </c>
      <c r="P181" s="48">
        <f>Tabela174681012142230322681619252731333624210121416182426283038402481012141620222628303234362426810121424610122426244262628262681026286236[[#This Row],[Uso diário]]*5</f>
        <v>94</v>
      </c>
      <c r="Q1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1" s="25">
        <v>1</v>
      </c>
    </row>
    <row r="182" spans="1:20" s="26" customFormat="1" x14ac:dyDescent="0.25">
      <c r="A182" s="16">
        <v>231835</v>
      </c>
      <c r="B182" s="30" t="s">
        <v>814</v>
      </c>
      <c r="C182" s="20" t="s">
        <v>637</v>
      </c>
      <c r="D182" s="20" t="s">
        <v>696</v>
      </c>
      <c r="E182" s="20" t="s">
        <v>1898</v>
      </c>
      <c r="F182" s="20" t="s">
        <v>1899</v>
      </c>
      <c r="G182" s="21">
        <v>18.8</v>
      </c>
      <c r="H182" s="16">
        <v>24</v>
      </c>
      <c r="I182" s="16"/>
      <c r="J1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2" s="22"/>
      <c r="L182" s="23"/>
      <c r="M182" s="23">
        <f>SUM(Tabela174681012142230322681619252731333624210121416182426283038402481012141620222628303234362426810121424610122426244262628262681026286236[[#This Row],[Saldo no cartão]:[Recarga Pendente]])</f>
        <v>0</v>
      </c>
      <c r="N182" s="19">
        <f>Tabela174681012142230322681619252731333624210121416182426283038402481012141620222628303234362426810121424610122426244262628262681026286236[[#This Row],[Uso diário]]*2</f>
        <v>37.6</v>
      </c>
      <c r="O182" s="19">
        <f>Tabela174681012142230322681619252731333624210121416182426283038402481012141620222628303234362426810121424610122426244262628262681026286236[[#This Row],[Total Acumulado]]-P182</f>
        <v>-94</v>
      </c>
      <c r="P182" s="48">
        <f>Tabela174681012142230322681619252731333624210121416182426283038402481012141620222628303234362426810121424610122426244262628262681026286236[[#This Row],[Uso diário]]*5</f>
        <v>94</v>
      </c>
      <c r="Q1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2" s="25">
        <v>1</v>
      </c>
    </row>
    <row r="183" spans="1:20" s="26" customFormat="1" x14ac:dyDescent="0.25">
      <c r="A183" s="16">
        <v>231930</v>
      </c>
      <c r="B183" s="30" t="s">
        <v>1271</v>
      </c>
      <c r="C183" s="20" t="s">
        <v>637</v>
      </c>
      <c r="D183" s="20" t="s">
        <v>696</v>
      </c>
      <c r="E183" s="20" t="s">
        <v>1900</v>
      </c>
      <c r="F183" s="20" t="s">
        <v>1901</v>
      </c>
      <c r="G183" s="21">
        <v>18.8</v>
      </c>
      <c r="H183" s="16">
        <v>24</v>
      </c>
      <c r="I183" s="16"/>
      <c r="J1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3" s="22"/>
      <c r="L183" s="23">
        <v>357.2</v>
      </c>
      <c r="M183" s="23">
        <f>SUM(Tabela174681012142230322681619252731333624210121416182426283038402481012141620222628303234362426810121424610122426244262628262681026286236[[#This Row],[Saldo no cartão]:[Recarga Pendente]])</f>
        <v>357.2</v>
      </c>
      <c r="N183" s="19">
        <f>Tabela174681012142230322681619252731333624210121416182426283038402481012141620222628303234362426810121424610122426244262628262681026286236[[#This Row],[Uso diário]]*2</f>
        <v>37.6</v>
      </c>
      <c r="O183" s="19">
        <f>Tabela174681012142230322681619252731333624210121416182426283038402481012141620222628303234362426810121424610122426244262628262681026286236[[#This Row],[Total Acumulado]]-P183</f>
        <v>263.2</v>
      </c>
      <c r="P183" s="48">
        <f>Tabela174681012142230322681619252731333624210121416182426283038402481012141620222628303234362426810121424610122426244262628262681026286236[[#This Row],[Uso diário]]*5</f>
        <v>94</v>
      </c>
      <c r="Q1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263.2</v>
      </c>
      <c r="R1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188.00000000000006</v>
      </c>
      <c r="S183" s="18" t="s">
        <v>11</v>
      </c>
      <c r="T183" s="25">
        <v>1</v>
      </c>
    </row>
    <row r="184" spans="1:20" s="26" customFormat="1" x14ac:dyDescent="0.25">
      <c r="A184" s="16">
        <v>232038</v>
      </c>
      <c r="B184" s="30" t="s">
        <v>816</v>
      </c>
      <c r="C184" s="20" t="s">
        <v>637</v>
      </c>
      <c r="D184" s="20" t="s">
        <v>807</v>
      </c>
      <c r="E184" s="20" t="s">
        <v>1902</v>
      </c>
      <c r="F184" s="20" t="s">
        <v>1903</v>
      </c>
      <c r="G184" s="21">
        <v>18.8</v>
      </c>
      <c r="H184" s="16">
        <v>24</v>
      </c>
      <c r="I184" s="16"/>
      <c r="J1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4" s="22"/>
      <c r="L184" s="23"/>
      <c r="M184" s="23">
        <f>SUM(Tabela174681012142230322681619252731333624210121416182426283038402481012141620222628303234362426810121424610122426244262628262681026286236[[#This Row],[Saldo no cartão]:[Recarga Pendente]])</f>
        <v>0</v>
      </c>
      <c r="N184" s="19">
        <f>Tabela174681012142230322681619252731333624210121416182426283038402481012141620222628303234362426810121424610122426244262628262681026286236[[#This Row],[Uso diário]]*2</f>
        <v>37.6</v>
      </c>
      <c r="O184" s="19">
        <f>Tabela174681012142230322681619252731333624210121416182426283038402481012141620222628303234362426810121424610122426244262628262681026286236[[#This Row],[Total Acumulado]]-P184</f>
        <v>-94</v>
      </c>
      <c r="P184" s="48">
        <f>Tabela174681012142230322681619252731333624210121416182426283038402481012141620222628303234362426810121424610122426244262628262681026286236[[#This Row],[Uso diário]]*5</f>
        <v>94</v>
      </c>
      <c r="Q1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4" s="25">
        <v>1</v>
      </c>
    </row>
    <row r="185" spans="1:20" s="26" customFormat="1" x14ac:dyDescent="0.25">
      <c r="A185" s="16">
        <v>232338</v>
      </c>
      <c r="B185" s="30" t="s">
        <v>893</v>
      </c>
      <c r="C185" s="20" t="s">
        <v>637</v>
      </c>
      <c r="D185" s="20" t="s">
        <v>696</v>
      </c>
      <c r="E185" s="20" t="s">
        <v>1904</v>
      </c>
      <c r="F185" s="20" t="s">
        <v>1905</v>
      </c>
      <c r="G185" s="21">
        <v>18.8</v>
      </c>
      <c r="H185" s="16">
        <v>24</v>
      </c>
      <c r="I185" s="16"/>
      <c r="J1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5" s="22"/>
      <c r="L185" s="23"/>
      <c r="M185" s="23">
        <f>SUM(Tabela174681012142230322681619252731333624210121416182426283038402481012141620222628303234362426810121424610122426244262628262681026286236[[#This Row],[Saldo no cartão]:[Recarga Pendente]])</f>
        <v>0</v>
      </c>
      <c r="N185" s="19">
        <f>Tabela174681012142230322681619252731333624210121416182426283038402481012141620222628303234362426810121424610122426244262628262681026286236[[#This Row],[Uso diário]]*2</f>
        <v>37.6</v>
      </c>
      <c r="O185" s="19">
        <f>Tabela174681012142230322681619252731333624210121416182426283038402481012141620222628303234362426810121424610122426244262628262681026286236[[#This Row],[Total Acumulado]]-P185</f>
        <v>-94</v>
      </c>
      <c r="P185" s="48">
        <f>Tabela174681012142230322681619252731333624210121416182426283038402481012141620222628303234362426810121424610122426244262628262681026286236[[#This Row],[Uso diário]]*5</f>
        <v>94</v>
      </c>
      <c r="Q1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5" s="25">
        <v>1</v>
      </c>
    </row>
    <row r="186" spans="1:20" s="26" customFormat="1" x14ac:dyDescent="0.25">
      <c r="A186" s="16">
        <v>232339</v>
      </c>
      <c r="B186" s="30" t="s">
        <v>894</v>
      </c>
      <c r="C186" s="20" t="s">
        <v>637</v>
      </c>
      <c r="D186" s="20" t="s">
        <v>696</v>
      </c>
      <c r="E186" s="20" t="s">
        <v>1906</v>
      </c>
      <c r="F186" s="20" t="s">
        <v>1907</v>
      </c>
      <c r="G186" s="21">
        <v>18.8</v>
      </c>
      <c r="H186" s="16">
        <v>24</v>
      </c>
      <c r="I186" s="16"/>
      <c r="J1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86" s="22"/>
      <c r="L186" s="23"/>
      <c r="M186" s="23">
        <f>SUM(Tabela174681012142230322681619252731333624210121416182426283038402481012141620222628303234362426810121424610122426244262628262681026286236[[#This Row],[Saldo no cartão]:[Recarga Pendente]])</f>
        <v>0</v>
      </c>
      <c r="N186" s="19">
        <f>Tabela174681012142230322681619252731333624210121416182426283038402481012141620222628303234362426810121424610122426244262628262681026286236[[#This Row],[Uso diário]]*2</f>
        <v>37.6</v>
      </c>
      <c r="O186" s="19">
        <f>Tabela174681012142230322681619252731333624210121416182426283038402481012141620222628303234362426810121424610122426244262628262681026286236[[#This Row],[Total Acumulado]]-P186</f>
        <v>-94</v>
      </c>
      <c r="P186" s="48">
        <f>Tabela174681012142230322681619252731333624210121416182426283038402481012141620222628303234362426810121424610122426244262628262681026286236[[#This Row],[Uso diário]]*5</f>
        <v>94</v>
      </c>
      <c r="Q1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6" s="25">
        <v>1</v>
      </c>
    </row>
    <row r="187" spans="1:20" s="26" customFormat="1" x14ac:dyDescent="0.25">
      <c r="A187" s="16">
        <v>232422</v>
      </c>
      <c r="B187" s="30" t="s">
        <v>895</v>
      </c>
      <c r="C187" s="20" t="s">
        <v>637</v>
      </c>
      <c r="D187" s="20" t="s">
        <v>696</v>
      </c>
      <c r="E187" s="20" t="s">
        <v>1908</v>
      </c>
      <c r="F187" s="20" t="s">
        <v>1909</v>
      </c>
      <c r="G187" s="21">
        <v>18.8</v>
      </c>
      <c r="H187" s="16">
        <v>24</v>
      </c>
      <c r="I187" s="16">
        <v>4</v>
      </c>
      <c r="J1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187" s="22"/>
      <c r="L187" s="23"/>
      <c r="M187" s="23">
        <f>SUM(Tabela174681012142230322681619252731333624210121416182426283038402481012141620222628303234362426810121424610122426244262628262681026286236[[#This Row],[Saldo no cartão]:[Recarga Pendente]])</f>
        <v>0</v>
      </c>
      <c r="N187" s="19">
        <f>Tabela174681012142230322681619252731333624210121416182426283038402481012141620222628303234362426810121424610122426244262628262681026286236[[#This Row],[Uso diário]]*2</f>
        <v>37.6</v>
      </c>
      <c r="O187" s="19">
        <f>Tabela174681012142230322681619252731333624210121416182426283038402481012141620222628303234362426810121424610122426244262628262681026286236[[#This Row],[Total Acumulado]]-P187</f>
        <v>-94</v>
      </c>
      <c r="P187" s="48">
        <f>Tabela174681012142230322681619252731333624210121416182426283038402481012141620222628303234362426810121424610122426244262628262681026286236[[#This Row],[Uso diário]]*5</f>
        <v>94</v>
      </c>
      <c r="Q1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1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7" s="25">
        <v>1</v>
      </c>
    </row>
    <row r="188" spans="1:20" s="26" customFormat="1" x14ac:dyDescent="0.25">
      <c r="A188" s="16">
        <v>232587</v>
      </c>
      <c r="B188" s="30" t="s">
        <v>926</v>
      </c>
      <c r="C188" s="20" t="s">
        <v>637</v>
      </c>
      <c r="D188" s="20" t="s">
        <v>696</v>
      </c>
      <c r="E188" s="20" t="s">
        <v>1910</v>
      </c>
      <c r="F188" s="20" t="s">
        <v>1911</v>
      </c>
      <c r="G188" s="21">
        <v>18.8</v>
      </c>
      <c r="H188" s="16">
        <v>24</v>
      </c>
      <c r="I188" s="16">
        <v>3</v>
      </c>
      <c r="J1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88" s="22"/>
      <c r="L188" s="23"/>
      <c r="M188" s="23">
        <f>SUM(Tabela174681012142230322681619252731333624210121416182426283038402481012141620222628303234362426810121424610122426244262628262681026286236[[#This Row],[Saldo no cartão]:[Recarga Pendente]])</f>
        <v>0</v>
      </c>
      <c r="N188" s="19">
        <f>Tabela174681012142230322681619252731333624210121416182426283038402481012141620222628303234362426810121424610122426244262628262681026286236[[#This Row],[Uso diário]]*2</f>
        <v>37.6</v>
      </c>
      <c r="O188" s="19">
        <f>Tabela174681012142230322681619252731333624210121416182426283038402481012141620222628303234362426810121424610122426244262628262681026286236[[#This Row],[Total Acumulado]]-P188</f>
        <v>-94</v>
      </c>
      <c r="P188" s="48">
        <f>Tabela174681012142230322681619252731333624210121416182426283038402481012141620222628303234362426810121424610122426244262628262681026286236[[#This Row],[Uso diário]]*5</f>
        <v>94</v>
      </c>
      <c r="Q1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8" s="25">
        <v>1</v>
      </c>
    </row>
    <row r="189" spans="1:20" s="26" customFormat="1" x14ac:dyDescent="0.25">
      <c r="A189" s="16">
        <v>232620</v>
      </c>
      <c r="B189" s="30" t="s">
        <v>927</v>
      </c>
      <c r="C189" s="20" t="s">
        <v>637</v>
      </c>
      <c r="D189" s="20" t="s">
        <v>696</v>
      </c>
      <c r="E189" s="20" t="s">
        <v>1912</v>
      </c>
      <c r="F189" s="20" t="s">
        <v>1913</v>
      </c>
      <c r="G189" s="21">
        <v>18.8</v>
      </c>
      <c r="H189" s="16">
        <v>24</v>
      </c>
      <c r="I189" s="16">
        <v>2</v>
      </c>
      <c r="J1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89" s="22"/>
      <c r="L189" s="23"/>
      <c r="M189" s="23">
        <f>SUM(Tabela174681012142230322681619252731333624210121416182426283038402481012141620222628303234362426810121424610122426244262628262681026286236[[#This Row],[Saldo no cartão]:[Recarga Pendente]])</f>
        <v>0</v>
      </c>
      <c r="N189" s="19">
        <f>Tabela174681012142230322681619252731333624210121416182426283038402481012141620222628303234362426810121424610122426244262628262681026286236[[#This Row],[Uso diário]]*2</f>
        <v>37.6</v>
      </c>
      <c r="O189" s="19">
        <f>Tabela174681012142230322681619252731333624210121416182426283038402481012141620222628303234362426810121424610122426244262628262681026286236[[#This Row],[Total Acumulado]]-P189</f>
        <v>-94</v>
      </c>
      <c r="P189" s="48">
        <f>Tabela174681012142230322681619252731333624210121416182426283038402481012141620222628303234362426810121424610122426244262628262681026286236[[#This Row],[Uso diário]]*5</f>
        <v>94</v>
      </c>
      <c r="Q1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89" s="25">
        <v>1</v>
      </c>
    </row>
    <row r="190" spans="1:20" s="26" customFormat="1" x14ac:dyDescent="0.25">
      <c r="A190" s="16">
        <v>232705</v>
      </c>
      <c r="B190" s="30" t="s">
        <v>928</v>
      </c>
      <c r="C190" s="20" t="s">
        <v>637</v>
      </c>
      <c r="D190" s="20" t="s">
        <v>696</v>
      </c>
      <c r="E190" s="20" t="s">
        <v>1914</v>
      </c>
      <c r="F190" s="20" t="s">
        <v>1915</v>
      </c>
      <c r="G190" s="21">
        <v>18.8</v>
      </c>
      <c r="H190" s="16">
        <v>24</v>
      </c>
      <c r="I190" s="16"/>
      <c r="J1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190" s="22"/>
      <c r="L190" s="23"/>
      <c r="M190" s="23">
        <f>SUM(Tabela174681012142230322681619252731333624210121416182426283038402481012141620222628303234362426810121424610122426244262628262681026286236[[#This Row],[Saldo no cartão]:[Recarga Pendente]])</f>
        <v>0</v>
      </c>
      <c r="N190" s="19">
        <f>Tabela174681012142230322681619252731333624210121416182426283038402481012141620222628303234362426810121424610122426244262628262681026286236[[#This Row],[Uso diário]]*2</f>
        <v>37.6</v>
      </c>
      <c r="O190" s="19">
        <f>Tabela174681012142230322681619252731333624210121416182426283038402481012141620222628303234362426810121424610122426244262628262681026286236[[#This Row],[Total Acumulado]]-P190</f>
        <v>-94</v>
      </c>
      <c r="P190" s="48">
        <f>Tabela174681012142230322681619252731333624210121416182426283038402481012141620222628303234362426810121424610122426244262628262681026286236[[#This Row],[Uso diário]]*5</f>
        <v>94</v>
      </c>
      <c r="Q1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1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0" s="25">
        <v>1</v>
      </c>
    </row>
    <row r="191" spans="1:20" s="26" customFormat="1" x14ac:dyDescent="0.25">
      <c r="A191" s="16">
        <v>232706</v>
      </c>
      <c r="B191" s="30" t="s">
        <v>929</v>
      </c>
      <c r="C191" s="20" t="s">
        <v>637</v>
      </c>
      <c r="D191" s="20" t="s">
        <v>696</v>
      </c>
      <c r="E191" s="20" t="s">
        <v>1916</v>
      </c>
      <c r="F191" s="20" t="s">
        <v>1917</v>
      </c>
      <c r="G191" s="21">
        <v>18.8</v>
      </c>
      <c r="H191" s="16">
        <v>24</v>
      </c>
      <c r="I191" s="16">
        <v>6</v>
      </c>
      <c r="J1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338.40000000000003</v>
      </c>
      <c r="K191" s="22"/>
      <c r="L191" s="23"/>
      <c r="M191" s="23">
        <f>SUM(Tabela174681012142230322681619252731333624210121416182426283038402481012141620222628303234362426810121424610122426244262628262681026286236[[#This Row],[Saldo no cartão]:[Recarga Pendente]])</f>
        <v>0</v>
      </c>
      <c r="N191" s="19">
        <f>Tabela174681012142230322681619252731333624210121416182426283038402481012141620222628303234362426810121424610122426244262628262681026286236[[#This Row],[Uso diário]]*2</f>
        <v>37.6</v>
      </c>
      <c r="O191" s="19">
        <f>Tabela174681012142230322681619252731333624210121416182426283038402481012141620222628303234362426810121424610122426244262628262681026286236[[#This Row],[Total Acumulado]]-P191</f>
        <v>-94</v>
      </c>
      <c r="P191" s="48">
        <f>Tabela174681012142230322681619252731333624210121416182426283038402481012141620222628303234362426810121424610122426244262628262681026286236[[#This Row],[Uso diário]]*5</f>
        <v>94</v>
      </c>
      <c r="Q1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338.40000000000003</v>
      </c>
      <c r="S1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1" s="25">
        <v>1</v>
      </c>
    </row>
    <row r="192" spans="1:20" s="26" customFormat="1" x14ac:dyDescent="0.25">
      <c r="A192" s="16">
        <v>232707</v>
      </c>
      <c r="B192" s="30" t="s">
        <v>930</v>
      </c>
      <c r="C192" s="20" t="s">
        <v>637</v>
      </c>
      <c r="D192" s="20" t="s">
        <v>696</v>
      </c>
      <c r="E192" s="20" t="s">
        <v>1918</v>
      </c>
      <c r="F192" s="20" t="s">
        <v>1919</v>
      </c>
      <c r="G192" s="21">
        <v>18.8</v>
      </c>
      <c r="H192" s="16">
        <v>24</v>
      </c>
      <c r="I192" s="16">
        <v>1</v>
      </c>
      <c r="J1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92" s="22"/>
      <c r="L192" s="23">
        <v>18.8</v>
      </c>
      <c r="M192" s="23">
        <f>SUM(Tabela174681012142230322681619252731333624210121416182426283038402481012141620222628303234362426810121424610122426244262628262681026286236[[#This Row],[Saldo no cartão]:[Recarga Pendente]])</f>
        <v>18.8</v>
      </c>
      <c r="N192" s="19">
        <f>Tabela174681012142230322681619252731333624210121416182426283038402481012141620222628303234362426810121424610122426244262628262681026286236[[#This Row],[Uso diário]]*2</f>
        <v>37.6</v>
      </c>
      <c r="O192" s="19">
        <f>Tabela174681012142230322681619252731333624210121416182426283038402481012141620222628303234362426810121424610122426244262628262681026286236[[#This Row],[Total Acumulado]]-P192</f>
        <v>-75.2</v>
      </c>
      <c r="P192" s="48">
        <f>Tabela174681012142230322681619252731333624210121416182426283038402481012141620222628303234362426810121424610122426244262628262681026286236[[#This Row],[Uso diário]]*5</f>
        <v>94</v>
      </c>
      <c r="Q1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2" s="25">
        <v>1</v>
      </c>
    </row>
    <row r="193" spans="1:20" s="26" customFormat="1" x14ac:dyDescent="0.25">
      <c r="A193" s="16">
        <v>232708</v>
      </c>
      <c r="B193" s="30" t="s">
        <v>1404</v>
      </c>
      <c r="C193" s="20" t="s">
        <v>637</v>
      </c>
      <c r="D193" s="20" t="s">
        <v>696</v>
      </c>
      <c r="E193" s="20" t="s">
        <v>1920</v>
      </c>
      <c r="F193" s="20" t="s">
        <v>1921</v>
      </c>
      <c r="G193" s="21">
        <v>18.8</v>
      </c>
      <c r="H193" s="16">
        <v>27</v>
      </c>
      <c r="I193" s="16">
        <v>5</v>
      </c>
      <c r="J1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93" s="22"/>
      <c r="L193" s="23"/>
      <c r="M193" s="23">
        <f>SUM(Tabela174681012142230322681619252731333624210121416182426283038402481012141620222628303234362426810121424610122426244262628262681026286236[[#This Row],[Saldo no cartão]:[Recarga Pendente]])</f>
        <v>0</v>
      </c>
      <c r="N193" s="19">
        <f>Tabela174681012142230322681619252731333624210121416182426283038402481012141620222628303234362426810121424610122426244262628262681026286236[[#This Row],[Uso diário]]*2</f>
        <v>37.6</v>
      </c>
      <c r="O193" s="19">
        <f>Tabela174681012142230322681619252731333624210121416182426283038402481012141620222628303234362426810121424610122426244262628262681026286236[[#This Row],[Total Acumulado]]-P193</f>
        <v>-94</v>
      </c>
      <c r="P193" s="48">
        <f>Tabela174681012142230322681619252731333624210121416182426283038402481012141620222628303234362426810121424610122426244262628262681026286236[[#This Row],[Uso diário]]*5</f>
        <v>94</v>
      </c>
      <c r="Q1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3" s="25">
        <v>1</v>
      </c>
    </row>
    <row r="194" spans="1:20" s="26" customFormat="1" x14ac:dyDescent="0.25">
      <c r="A194" s="16">
        <v>232948</v>
      </c>
      <c r="B194" s="30" t="s">
        <v>960</v>
      </c>
      <c r="C194" s="20" t="s">
        <v>637</v>
      </c>
      <c r="D194" s="20" t="s">
        <v>696</v>
      </c>
      <c r="E194" s="20" t="s">
        <v>1922</v>
      </c>
      <c r="F194" s="20" t="s">
        <v>1923</v>
      </c>
      <c r="G194" s="21">
        <v>18.8</v>
      </c>
      <c r="H194" s="16">
        <v>24</v>
      </c>
      <c r="I194" s="16">
        <v>1</v>
      </c>
      <c r="J1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94" s="22"/>
      <c r="L194" s="23"/>
      <c r="M194" s="23">
        <f>SUM(Tabela174681012142230322681619252731333624210121416182426283038402481012141620222628303234362426810121424610122426244262628262681026286236[[#This Row],[Saldo no cartão]:[Recarga Pendente]])</f>
        <v>0</v>
      </c>
      <c r="N194" s="19">
        <f>Tabela174681012142230322681619252731333624210121416182426283038402481012141620222628303234362426810121424610122426244262628262681026286236[[#This Row],[Uso diário]]*2</f>
        <v>37.6</v>
      </c>
      <c r="O194" s="19">
        <f>Tabela174681012142230322681619252731333624210121416182426283038402481012141620222628303234362426810121424610122426244262628262681026286236[[#This Row],[Total Acumulado]]-P194</f>
        <v>-94</v>
      </c>
      <c r="P194" s="48">
        <f>Tabela174681012142230322681619252731333624210121416182426283038402481012141620222628303234362426810121424610122426244262628262681026286236[[#This Row],[Uso diário]]*5</f>
        <v>94</v>
      </c>
      <c r="Q1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4" s="25">
        <v>1</v>
      </c>
    </row>
    <row r="195" spans="1:20" s="26" customFormat="1" x14ac:dyDescent="0.25">
      <c r="A195" s="16">
        <v>232972</v>
      </c>
      <c r="B195" s="30" t="s">
        <v>961</v>
      </c>
      <c r="C195" s="20" t="s">
        <v>637</v>
      </c>
      <c r="D195" s="20" t="s">
        <v>696</v>
      </c>
      <c r="E195" s="20" t="s">
        <v>1924</v>
      </c>
      <c r="F195" s="20" t="s">
        <v>1925</v>
      </c>
      <c r="G195" s="21">
        <v>18.8</v>
      </c>
      <c r="H195" s="16">
        <v>24</v>
      </c>
      <c r="I195" s="16">
        <v>1</v>
      </c>
      <c r="J1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95" s="22"/>
      <c r="L195" s="23"/>
      <c r="M195" s="23">
        <f>SUM(Tabela174681012142230322681619252731333624210121416182426283038402481012141620222628303234362426810121424610122426244262628262681026286236[[#This Row],[Saldo no cartão]:[Recarga Pendente]])</f>
        <v>0</v>
      </c>
      <c r="N195" s="19">
        <f>Tabela174681012142230322681619252731333624210121416182426283038402481012141620222628303234362426810121424610122426244262628262681026286236[[#This Row],[Uso diário]]*2</f>
        <v>37.6</v>
      </c>
      <c r="O195" s="19">
        <f>Tabela174681012142230322681619252731333624210121416182426283038402481012141620222628303234362426810121424610122426244262628262681026286236[[#This Row],[Total Acumulado]]-P195</f>
        <v>-94</v>
      </c>
      <c r="P195" s="48">
        <f>Tabela174681012142230322681619252731333624210121416182426283038402481012141620222628303234362426810121424610122426244262628262681026286236[[#This Row],[Uso diário]]*5</f>
        <v>94</v>
      </c>
      <c r="Q1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5" s="25">
        <v>1</v>
      </c>
    </row>
    <row r="196" spans="1:20" s="26" customFormat="1" x14ac:dyDescent="0.25">
      <c r="A196" s="16">
        <v>233310</v>
      </c>
      <c r="B196" s="30" t="s">
        <v>1033</v>
      </c>
      <c r="C196" s="20" t="s">
        <v>637</v>
      </c>
      <c r="D196" s="20" t="s">
        <v>696</v>
      </c>
      <c r="E196" s="20" t="s">
        <v>1926</v>
      </c>
      <c r="F196" s="20" t="s">
        <v>1927</v>
      </c>
      <c r="G196" s="21">
        <v>18.8</v>
      </c>
      <c r="H196" s="16">
        <v>27</v>
      </c>
      <c r="I196" s="16">
        <v>14</v>
      </c>
      <c r="J1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196" s="22"/>
      <c r="L196" s="23"/>
      <c r="M196" s="23">
        <f>SUM(Tabela174681012142230322681619252731333624210121416182426283038402481012141620222628303234362426810121424610122426244262628262681026286236[[#This Row],[Saldo no cartão]:[Recarga Pendente]])</f>
        <v>0</v>
      </c>
      <c r="N196" s="19">
        <f>Tabela174681012142230322681619252731333624210121416182426283038402481012141620222628303234362426810121424610122426244262628262681026286236[[#This Row],[Uso diário]]*2</f>
        <v>37.6</v>
      </c>
      <c r="O196" s="19">
        <f>Tabela174681012142230322681619252731333624210121416182426283038402481012141620222628303234362426810121424610122426244262628262681026286236[[#This Row],[Total Acumulado]]-P196</f>
        <v>-94</v>
      </c>
      <c r="P196" s="48">
        <f>Tabela174681012142230322681619252731333624210121416182426283038402481012141620222628303234362426810121424610122426244262628262681026286236[[#This Row],[Uso diário]]*5</f>
        <v>94</v>
      </c>
      <c r="Q1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1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6" s="25">
        <v>1</v>
      </c>
    </row>
    <row r="197" spans="1:20" s="26" customFormat="1" x14ac:dyDescent="0.25">
      <c r="A197" s="16">
        <v>233311</v>
      </c>
      <c r="B197" s="30" t="s">
        <v>1034</v>
      </c>
      <c r="C197" s="20" t="s">
        <v>637</v>
      </c>
      <c r="D197" s="20" t="s">
        <v>696</v>
      </c>
      <c r="E197" s="20" t="s">
        <v>1928</v>
      </c>
      <c r="F197" s="20" t="s">
        <v>1929</v>
      </c>
      <c r="G197" s="21">
        <v>18.8</v>
      </c>
      <c r="H197" s="16">
        <v>24</v>
      </c>
      <c r="I197" s="16">
        <v>14</v>
      </c>
      <c r="J1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188</v>
      </c>
      <c r="K197" s="22"/>
      <c r="L197" s="23"/>
      <c r="M197" s="23">
        <f>SUM(Tabela174681012142230322681619252731333624210121416182426283038402481012141620222628303234362426810121424610122426244262628262681026286236[[#This Row],[Saldo no cartão]:[Recarga Pendente]])</f>
        <v>0</v>
      </c>
      <c r="N197" s="19">
        <f>Tabela174681012142230322681619252731333624210121416182426283038402481012141620222628303234362426810121424610122426244262628262681026286236[[#This Row],[Uso diário]]*2</f>
        <v>37.6</v>
      </c>
      <c r="O197" s="19">
        <f>Tabela174681012142230322681619252731333624210121416182426283038402481012141620222628303234362426810121424610122426244262628262681026286236[[#This Row],[Total Acumulado]]-P197</f>
        <v>-94</v>
      </c>
      <c r="P197" s="48">
        <f>Tabela174681012142230322681619252731333624210121416182426283038402481012141620222628303234362426810121424610122426244262628262681026286236[[#This Row],[Uso diário]]*5</f>
        <v>94</v>
      </c>
      <c r="Q1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188</v>
      </c>
      <c r="S1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7" s="25">
        <v>1</v>
      </c>
    </row>
    <row r="198" spans="1:20" s="26" customFormat="1" x14ac:dyDescent="0.25">
      <c r="A198" s="16">
        <v>233312</v>
      </c>
      <c r="B198" s="30" t="s">
        <v>1035</v>
      </c>
      <c r="C198" s="20" t="s">
        <v>637</v>
      </c>
      <c r="D198" s="20" t="s">
        <v>696</v>
      </c>
      <c r="E198" s="20" t="s">
        <v>1930</v>
      </c>
      <c r="F198" s="20" t="s">
        <v>1931</v>
      </c>
      <c r="G198" s="21">
        <v>13.4</v>
      </c>
      <c r="H198" s="16">
        <v>24</v>
      </c>
      <c r="I198" s="16">
        <v>1</v>
      </c>
      <c r="J1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198" s="22"/>
      <c r="L198" s="23">
        <v>13.4</v>
      </c>
      <c r="M198" s="23">
        <f>SUM(Tabela174681012142230322681619252731333624210121416182426283038402481012141620222628303234362426810121424610122426244262628262681026286236[[#This Row],[Saldo no cartão]:[Recarga Pendente]])</f>
        <v>13.4</v>
      </c>
      <c r="N198" s="19">
        <f>Tabela174681012142230322681619252731333624210121416182426283038402481012141620222628303234362426810121424610122426244262628262681026286236[[#This Row],[Uso diário]]*2</f>
        <v>26.8</v>
      </c>
      <c r="O198" s="19">
        <f>Tabela174681012142230322681619252731333624210121416182426283038402481012141620222628303234362426810121424610122426244262628262681026286236[[#This Row],[Total Acumulado]]-P198</f>
        <v>-53.6</v>
      </c>
      <c r="P198" s="48">
        <f>Tabela174681012142230322681619252731333624210121416182426283038402481012141620222628303234362426810121424610122426244262628262681026286236[[#This Row],[Uso diário]]*5</f>
        <v>67</v>
      </c>
      <c r="Q1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1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8" s="25">
        <v>1</v>
      </c>
    </row>
    <row r="199" spans="1:20" s="26" customFormat="1" x14ac:dyDescent="0.25">
      <c r="A199" s="16">
        <v>233484</v>
      </c>
      <c r="B199" s="30" t="s">
        <v>1036</v>
      </c>
      <c r="C199" s="20" t="s">
        <v>637</v>
      </c>
      <c r="D199" s="20" t="s">
        <v>696</v>
      </c>
      <c r="E199" s="20" t="s">
        <v>1932</v>
      </c>
      <c r="F199" s="20" t="s">
        <v>1933</v>
      </c>
      <c r="G199" s="21">
        <v>18.8</v>
      </c>
      <c r="H199" s="16">
        <v>24</v>
      </c>
      <c r="I199" s="16">
        <v>4</v>
      </c>
      <c r="J1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199" s="22"/>
      <c r="L199" s="23"/>
      <c r="M199" s="23">
        <f>SUM(Tabela174681012142230322681619252731333624210121416182426283038402481012141620222628303234362426810121424610122426244262628262681026286236[[#This Row],[Saldo no cartão]:[Recarga Pendente]])</f>
        <v>0</v>
      </c>
      <c r="N199" s="19">
        <f>Tabela174681012142230322681619252731333624210121416182426283038402481012141620222628303234362426810121424610122426244262628262681026286236[[#This Row],[Uso diário]]*2</f>
        <v>37.6</v>
      </c>
      <c r="O199" s="19">
        <f>Tabela174681012142230322681619252731333624210121416182426283038402481012141620222628303234362426810121424610122426244262628262681026286236[[#This Row],[Total Acumulado]]-P199</f>
        <v>-94</v>
      </c>
      <c r="P199" s="48">
        <f>Tabela174681012142230322681619252731333624210121416182426283038402481012141620222628303234362426810121424610122426244262628262681026286236[[#This Row],[Uso diário]]*5</f>
        <v>94</v>
      </c>
      <c r="Q1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1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99" s="25">
        <v>1</v>
      </c>
    </row>
    <row r="200" spans="1:20" s="26" customFormat="1" x14ac:dyDescent="0.25">
      <c r="A200" s="16">
        <v>233545</v>
      </c>
      <c r="B200" s="30" t="s">
        <v>1037</v>
      </c>
      <c r="C200" s="20" t="s">
        <v>637</v>
      </c>
      <c r="D200" s="20" t="s">
        <v>696</v>
      </c>
      <c r="E200" s="20" t="s">
        <v>1934</v>
      </c>
      <c r="F200" s="20" t="s">
        <v>1935</v>
      </c>
      <c r="G200" s="21">
        <v>18.8</v>
      </c>
      <c r="H200" s="16">
        <v>27</v>
      </c>
      <c r="I200" s="16"/>
      <c r="J2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507.6</v>
      </c>
      <c r="K200" s="22"/>
      <c r="L200" s="23"/>
      <c r="M200" s="23">
        <f>SUM(Tabela174681012142230322681619252731333624210121416182426283038402481012141620222628303234362426810121424610122426244262628262681026286236[[#This Row],[Saldo no cartão]:[Recarga Pendente]])</f>
        <v>0</v>
      </c>
      <c r="N200" s="19">
        <f>Tabela174681012142230322681619252731333624210121416182426283038402481012141620222628303234362426810121424610122426244262628262681026286236[[#This Row],[Uso diário]]*2</f>
        <v>37.6</v>
      </c>
      <c r="O200" s="19">
        <f>Tabela174681012142230322681619252731333624210121416182426283038402481012141620222628303234362426810121424610122426244262628262681026286236[[#This Row],[Total Acumulado]]-P200</f>
        <v>-94</v>
      </c>
      <c r="P200" s="48">
        <f>Tabela174681012142230322681619252731333624210121416182426283038402481012141620222628303234362426810121424610122426244262628262681026286236[[#This Row],[Uso diário]]*5</f>
        <v>94</v>
      </c>
      <c r="Q2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507.6</v>
      </c>
      <c r="S2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0" s="25">
        <v>1</v>
      </c>
    </row>
    <row r="201" spans="1:20" s="26" customFormat="1" x14ac:dyDescent="0.25">
      <c r="A201" s="16">
        <v>233881</v>
      </c>
      <c r="B201" s="30" t="s">
        <v>1038</v>
      </c>
      <c r="C201" s="20" t="s">
        <v>637</v>
      </c>
      <c r="D201" s="20" t="s">
        <v>696</v>
      </c>
      <c r="E201" s="20" t="s">
        <v>1936</v>
      </c>
      <c r="F201" s="20" t="s">
        <v>1937</v>
      </c>
      <c r="G201" s="21">
        <v>18.8</v>
      </c>
      <c r="H201" s="16">
        <v>27</v>
      </c>
      <c r="I201" s="16">
        <v>8</v>
      </c>
      <c r="J2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201" s="22"/>
      <c r="L201" s="23"/>
      <c r="M201" s="23">
        <f>SUM(Tabela174681012142230322681619252731333624210121416182426283038402481012141620222628303234362426810121424610122426244262628262681026286236[[#This Row],[Saldo no cartão]:[Recarga Pendente]])</f>
        <v>0</v>
      </c>
      <c r="N201" s="19">
        <f>Tabela174681012142230322681619252731333624210121416182426283038402481012141620222628303234362426810121424610122426244262628262681026286236[[#This Row],[Uso diário]]*2</f>
        <v>37.6</v>
      </c>
      <c r="O201" s="19">
        <f>Tabela174681012142230322681619252731333624210121416182426283038402481012141620222628303234362426810121424610122426244262628262681026286236[[#This Row],[Total Acumulado]]-P201</f>
        <v>-94</v>
      </c>
      <c r="P201" s="48">
        <f>Tabela174681012142230322681619252731333624210121416182426283038402481012141620222628303234362426810121424610122426244262628262681026286236[[#This Row],[Uso diário]]*5</f>
        <v>94</v>
      </c>
      <c r="Q2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2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1" s="25">
        <v>1</v>
      </c>
    </row>
    <row r="202" spans="1:20" s="26" customFormat="1" x14ac:dyDescent="0.25">
      <c r="A202" s="16">
        <v>234204</v>
      </c>
      <c r="B202" s="30" t="s">
        <v>1272</v>
      </c>
      <c r="C202" s="20" t="s">
        <v>637</v>
      </c>
      <c r="D202" s="20" t="s">
        <v>696</v>
      </c>
      <c r="E202" s="20" t="s">
        <v>1938</v>
      </c>
      <c r="F202" s="20" t="s">
        <v>1939</v>
      </c>
      <c r="G202" s="21">
        <v>13.7</v>
      </c>
      <c r="H202" s="16">
        <v>24</v>
      </c>
      <c r="I202" s="16"/>
      <c r="J2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328.79999999999995</v>
      </c>
      <c r="K202" s="22"/>
      <c r="L202" s="23"/>
      <c r="M202" s="23">
        <f>SUM(Tabela174681012142230322681619252731333624210121416182426283038402481012141620222628303234362426810121424610122426244262628262681026286236[[#This Row],[Saldo no cartão]:[Recarga Pendente]])</f>
        <v>0</v>
      </c>
      <c r="N202" s="19">
        <f>Tabela174681012142230322681619252731333624210121416182426283038402481012141620222628303234362426810121424610122426244262628262681026286236[[#This Row],[Uso diário]]*2</f>
        <v>27.4</v>
      </c>
      <c r="O202" s="19">
        <f>Tabela174681012142230322681619252731333624210121416182426283038402481012141620222628303234362426810121424610122426244262628262681026286236[[#This Row],[Total Acumulado]]-P202</f>
        <v>-68.5</v>
      </c>
      <c r="P202" s="48">
        <f>Tabela174681012142230322681619252731333624210121416182426283038402481012141620222628303234362426810121424610122426244262628262681026286236[[#This Row],[Uso diário]]*5</f>
        <v>68.5</v>
      </c>
      <c r="Q2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328.79999999999995</v>
      </c>
      <c r="S2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2" s="25">
        <v>1</v>
      </c>
    </row>
    <row r="203" spans="1:20" s="26" customFormat="1" x14ac:dyDescent="0.25">
      <c r="A203" s="16">
        <v>234393</v>
      </c>
      <c r="B203" s="30" t="s">
        <v>1274</v>
      </c>
      <c r="C203" s="20" t="s">
        <v>637</v>
      </c>
      <c r="D203" s="20" t="s">
        <v>696</v>
      </c>
      <c r="E203" s="20" t="s">
        <v>1940</v>
      </c>
      <c r="F203" s="20" t="s">
        <v>1941</v>
      </c>
      <c r="G203" s="21">
        <v>18.8</v>
      </c>
      <c r="H203" s="16">
        <v>24</v>
      </c>
      <c r="I203" s="16"/>
      <c r="J2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03" s="22"/>
      <c r="L203" s="23"/>
      <c r="M203" s="23">
        <f>SUM(Tabela174681012142230322681619252731333624210121416182426283038402481012141620222628303234362426810121424610122426244262628262681026286236[[#This Row],[Saldo no cartão]:[Recarga Pendente]])</f>
        <v>0</v>
      </c>
      <c r="N203" s="19">
        <f>Tabela174681012142230322681619252731333624210121416182426283038402481012141620222628303234362426810121424610122426244262628262681026286236[[#This Row],[Uso diário]]*2</f>
        <v>37.6</v>
      </c>
      <c r="O203" s="19">
        <f>Tabela174681012142230322681619252731333624210121416182426283038402481012141620222628303234362426810121424610122426244262628262681026286236[[#This Row],[Total Acumulado]]-P203</f>
        <v>-94</v>
      </c>
      <c r="P203" s="48">
        <f>Tabela174681012142230322681619252731333624210121416182426283038402481012141620222628303234362426810121424610122426244262628262681026286236[[#This Row],[Uso diário]]*5</f>
        <v>94</v>
      </c>
      <c r="Q2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3" s="25">
        <v>1</v>
      </c>
    </row>
    <row r="204" spans="1:20" s="26" customFormat="1" x14ac:dyDescent="0.25">
      <c r="A204" s="16">
        <v>234413</v>
      </c>
      <c r="B204" s="30" t="s">
        <v>1275</v>
      </c>
      <c r="C204" s="20" t="s">
        <v>637</v>
      </c>
      <c r="D204" s="20" t="s">
        <v>696</v>
      </c>
      <c r="E204" s="20" t="s">
        <v>1942</v>
      </c>
      <c r="F204" s="20" t="s">
        <v>1943</v>
      </c>
      <c r="G204" s="21">
        <v>13.4</v>
      </c>
      <c r="H204" s="16">
        <v>24</v>
      </c>
      <c r="I204" s="16">
        <v>2</v>
      </c>
      <c r="J2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04" s="22"/>
      <c r="L204" s="23"/>
      <c r="M204" s="23">
        <f>SUM(Tabela174681012142230322681619252731333624210121416182426283038402481012141620222628303234362426810121424610122426244262628262681026286236[[#This Row],[Saldo no cartão]:[Recarga Pendente]])</f>
        <v>0</v>
      </c>
      <c r="N204" s="19">
        <f>Tabela174681012142230322681619252731333624210121416182426283038402481012141620222628303234362426810121424610122426244262628262681026286236[[#This Row],[Uso diário]]*2</f>
        <v>26.8</v>
      </c>
      <c r="O204" s="19">
        <f>Tabela174681012142230322681619252731333624210121416182426283038402481012141620222628303234362426810121424610122426244262628262681026286236[[#This Row],[Total Acumulado]]-P204</f>
        <v>-67</v>
      </c>
      <c r="P204" s="48">
        <f>Tabela174681012142230322681619252731333624210121416182426283038402481012141620222628303234362426810121424610122426244262628262681026286236[[#This Row],[Uso diário]]*5</f>
        <v>67</v>
      </c>
      <c r="Q2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4" s="25">
        <v>1</v>
      </c>
    </row>
    <row r="205" spans="1:20" s="26" customFormat="1" x14ac:dyDescent="0.25">
      <c r="A205" s="16">
        <v>234541</v>
      </c>
      <c r="B205" s="30" t="s">
        <v>1305</v>
      </c>
      <c r="C205" s="20" t="s">
        <v>637</v>
      </c>
      <c r="D205" s="20" t="s">
        <v>696</v>
      </c>
      <c r="E205" s="20" t="s">
        <v>1944</v>
      </c>
      <c r="F205" s="20" t="s">
        <v>1945</v>
      </c>
      <c r="G205" s="21">
        <v>13.4</v>
      </c>
      <c r="H205" s="16">
        <v>24</v>
      </c>
      <c r="I205" s="16"/>
      <c r="J2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205" s="22"/>
      <c r="L205" s="23"/>
      <c r="M205" s="23">
        <f>SUM(Tabela174681012142230322681619252731333624210121416182426283038402481012141620222628303234362426810121424610122426244262628262681026286236[[#This Row],[Saldo no cartão]:[Recarga Pendente]])</f>
        <v>0</v>
      </c>
      <c r="N205" s="19">
        <f>Tabela174681012142230322681619252731333624210121416182426283038402481012141620222628303234362426810121424610122426244262628262681026286236[[#This Row],[Uso diário]]*2</f>
        <v>26.8</v>
      </c>
      <c r="O205" s="19">
        <f>Tabela174681012142230322681619252731333624210121416182426283038402481012141620222628303234362426810121424610122426244262628262681026286236[[#This Row],[Total Acumulado]]-P205</f>
        <v>-67</v>
      </c>
      <c r="P205" s="48">
        <f>Tabela174681012142230322681619252731333624210121416182426283038402481012141620222628303234362426810121424610122426244262628262681026286236[[#This Row],[Uso diário]]*5</f>
        <v>67</v>
      </c>
      <c r="Q2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2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5" s="25">
        <v>1</v>
      </c>
    </row>
    <row r="206" spans="1:20" s="26" customFormat="1" x14ac:dyDescent="0.25">
      <c r="A206" s="16">
        <v>234693</v>
      </c>
      <c r="B206" s="30" t="s">
        <v>1341</v>
      </c>
      <c r="C206" s="20" t="s">
        <v>637</v>
      </c>
      <c r="D206" s="20" t="s">
        <v>696</v>
      </c>
      <c r="E206" s="20" t="s">
        <v>1946</v>
      </c>
      <c r="F206" s="20" t="s">
        <v>1947</v>
      </c>
      <c r="G206" s="21">
        <v>13.4</v>
      </c>
      <c r="H206" s="16">
        <v>24</v>
      </c>
      <c r="I206" s="16">
        <v>2</v>
      </c>
      <c r="J2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06" s="22"/>
      <c r="L206" s="23">
        <v>11.9</v>
      </c>
      <c r="M206" s="23">
        <f>SUM(Tabela174681012142230322681619252731333624210121416182426283038402481012141620222628303234362426810121424610122426244262628262681026286236[[#This Row],[Saldo no cartão]:[Recarga Pendente]])</f>
        <v>11.9</v>
      </c>
      <c r="N206" s="19">
        <f>Tabela174681012142230322681619252731333624210121416182426283038402481012141620222628303234362426810121424610122426244262628262681026286236[[#This Row],[Uso diário]]*2</f>
        <v>26.8</v>
      </c>
      <c r="O206" s="19">
        <f>Tabela174681012142230322681619252731333624210121416182426283038402481012141620222628303234362426810121424610122426244262628262681026286236[[#This Row],[Total Acumulado]]-P206</f>
        <v>-55.1</v>
      </c>
      <c r="P206" s="48">
        <f>Tabela174681012142230322681619252731333624210121416182426283038402481012141620222628303234362426810121424610122426244262628262681026286236[[#This Row],[Uso diário]]*5</f>
        <v>67</v>
      </c>
      <c r="Q2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6" s="25">
        <v>1</v>
      </c>
    </row>
    <row r="207" spans="1:20" s="26" customFormat="1" x14ac:dyDescent="0.25">
      <c r="A207" s="16">
        <v>234739</v>
      </c>
      <c r="B207" s="30" t="s">
        <v>1342</v>
      </c>
      <c r="C207" s="20" t="s">
        <v>637</v>
      </c>
      <c r="D207" s="20" t="s">
        <v>696</v>
      </c>
      <c r="E207" s="20" t="s">
        <v>1948</v>
      </c>
      <c r="F207" s="20">
        <v>0</v>
      </c>
      <c r="G207" s="21">
        <v>15.4</v>
      </c>
      <c r="H207" s="16">
        <v>24</v>
      </c>
      <c r="I207" s="16"/>
      <c r="J2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369.6</v>
      </c>
      <c r="K207" s="22"/>
      <c r="L207" s="23"/>
      <c r="M207" s="23">
        <f>SUM(Tabela174681012142230322681619252731333624210121416182426283038402481012141620222628303234362426810121424610122426244262628262681026286236[[#This Row],[Saldo no cartão]:[Recarga Pendente]])</f>
        <v>0</v>
      </c>
      <c r="N207" s="19">
        <f>Tabela174681012142230322681619252731333624210121416182426283038402481012141620222628303234362426810121424610122426244262628262681026286236[[#This Row],[Uso diário]]*2</f>
        <v>30.8</v>
      </c>
      <c r="O207" s="19">
        <f>Tabela174681012142230322681619252731333624210121416182426283038402481012141620222628303234362426810121424610122426244262628262681026286236[[#This Row],[Total Acumulado]]-P207</f>
        <v>-77</v>
      </c>
      <c r="P207" s="48">
        <f>Tabela174681012142230322681619252731333624210121416182426283038402481012141620222628303234362426810121424610122426244262628262681026286236[[#This Row],[Uso diário]]*5</f>
        <v>77</v>
      </c>
      <c r="Q2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369.6</v>
      </c>
      <c r="S2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7" s="25">
        <v>1</v>
      </c>
    </row>
    <row r="208" spans="1:20" s="26" customFormat="1" x14ac:dyDescent="0.25">
      <c r="A208" s="16">
        <v>234740</v>
      </c>
      <c r="B208" s="30" t="s">
        <v>1343</v>
      </c>
      <c r="C208" s="20" t="s">
        <v>637</v>
      </c>
      <c r="D208" s="20" t="s">
        <v>696</v>
      </c>
      <c r="E208" s="20" t="s">
        <v>1949</v>
      </c>
      <c r="F208" s="20" t="s">
        <v>1950</v>
      </c>
      <c r="G208" s="21">
        <v>18.8</v>
      </c>
      <c r="H208" s="16">
        <v>24</v>
      </c>
      <c r="I208" s="16"/>
      <c r="J2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08" s="22"/>
      <c r="L208" s="23"/>
      <c r="M208" s="23">
        <f>SUM(Tabela174681012142230322681619252731333624210121416182426283038402481012141620222628303234362426810121424610122426244262628262681026286236[[#This Row],[Saldo no cartão]:[Recarga Pendente]])</f>
        <v>0</v>
      </c>
      <c r="N208" s="19">
        <f>Tabela174681012142230322681619252731333624210121416182426283038402481012141620222628303234362426810121424610122426244262628262681026286236[[#This Row],[Uso diário]]*2</f>
        <v>37.6</v>
      </c>
      <c r="O208" s="19">
        <f>Tabela174681012142230322681619252731333624210121416182426283038402481012141620222628303234362426810121424610122426244262628262681026286236[[#This Row],[Total Acumulado]]-P208</f>
        <v>-94</v>
      </c>
      <c r="P208" s="48">
        <f>Tabela174681012142230322681619252731333624210121416182426283038402481012141620222628303234362426810121424610122426244262628262681026286236[[#This Row],[Uso diário]]*5</f>
        <v>94</v>
      </c>
      <c r="Q2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8" s="25">
        <v>1</v>
      </c>
    </row>
    <row r="209" spans="1:20" s="26" customFormat="1" x14ac:dyDescent="0.25">
      <c r="A209" s="16">
        <v>234801</v>
      </c>
      <c r="B209" s="30" t="s">
        <v>1344</v>
      </c>
      <c r="C209" s="20" t="s">
        <v>637</v>
      </c>
      <c r="D209" s="20" t="s">
        <v>696</v>
      </c>
      <c r="E209" s="20" t="s">
        <v>1951</v>
      </c>
      <c r="F209" s="20" t="s">
        <v>1952</v>
      </c>
      <c r="G209" s="21">
        <v>18.8</v>
      </c>
      <c r="H209" s="16">
        <v>24</v>
      </c>
      <c r="I209" s="16">
        <v>1</v>
      </c>
      <c r="J2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209" s="22"/>
      <c r="L209" s="23"/>
      <c r="M209" s="23">
        <f>SUM(Tabela174681012142230322681619252731333624210121416182426283038402481012141620222628303234362426810121424610122426244262628262681026286236[[#This Row],[Saldo no cartão]:[Recarga Pendente]])</f>
        <v>0</v>
      </c>
      <c r="N209" s="19">
        <f>Tabela174681012142230322681619252731333624210121416182426283038402481012141620222628303234362426810121424610122426244262628262681026286236[[#This Row],[Uso diário]]*2</f>
        <v>37.6</v>
      </c>
      <c r="O209" s="19">
        <f>Tabela174681012142230322681619252731333624210121416182426283038402481012141620222628303234362426810121424610122426244262628262681026286236[[#This Row],[Total Acumulado]]-P209</f>
        <v>-94</v>
      </c>
      <c r="P209" s="48">
        <f>Tabela174681012142230322681619252731333624210121416182426283038402481012141620222628303234362426810121424610122426244262628262681026286236[[#This Row],[Uso diário]]*5</f>
        <v>94</v>
      </c>
      <c r="Q2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2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09" s="25">
        <v>1</v>
      </c>
    </row>
    <row r="210" spans="1:20" s="26" customFormat="1" x14ac:dyDescent="0.25">
      <c r="A210" s="16">
        <v>234831</v>
      </c>
      <c r="B210" s="30" t="s">
        <v>1405</v>
      </c>
      <c r="C210" s="20" t="s">
        <v>637</v>
      </c>
      <c r="D210" s="20" t="s">
        <v>696</v>
      </c>
      <c r="E210" s="20" t="s">
        <v>1953</v>
      </c>
      <c r="F210" s="20" t="s">
        <v>1954</v>
      </c>
      <c r="G210" s="21">
        <v>18.8</v>
      </c>
      <c r="H210" s="16">
        <v>27</v>
      </c>
      <c r="I210" s="16">
        <v>2</v>
      </c>
      <c r="J2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10" s="22"/>
      <c r="L210" s="23">
        <v>94</v>
      </c>
      <c r="M210" s="23">
        <f>SUM(Tabela174681012142230322681619252731333624210121416182426283038402481012141620222628303234362426810121424610122426244262628262681026286236[[#This Row],[Saldo no cartão]:[Recarga Pendente]])</f>
        <v>94</v>
      </c>
      <c r="N210" s="19">
        <f>Tabela174681012142230322681619252731333624210121416182426283038402481012141620222628303234362426810121424610122426244262628262681026286236[[#This Row],[Uso diário]]*2</f>
        <v>37.6</v>
      </c>
      <c r="O210" s="19">
        <f>Tabela174681012142230322681619252731333624210121416182426283038402481012141620222628303234362426810121424610122426244262628262681026286236[[#This Row],[Total Acumulado]]-P210</f>
        <v>0</v>
      </c>
      <c r="P210" s="48">
        <f>Tabela174681012142230322681619252731333624210121416182426283038402481012141620222628303234362426810121424610122426244262628262681026286236[[#This Row],[Uso diário]]*5</f>
        <v>94</v>
      </c>
      <c r="Q2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0" s="25">
        <v>1</v>
      </c>
    </row>
    <row r="211" spans="1:20" s="26" customFormat="1" x14ac:dyDescent="0.25">
      <c r="A211" s="16">
        <v>234833</v>
      </c>
      <c r="B211" s="30" t="s">
        <v>1406</v>
      </c>
      <c r="C211" s="20" t="s">
        <v>637</v>
      </c>
      <c r="D211" s="20" t="s">
        <v>696</v>
      </c>
      <c r="E211" s="20" t="s">
        <v>1955</v>
      </c>
      <c r="F211" s="20" t="s">
        <v>1956</v>
      </c>
      <c r="G211" s="21">
        <v>15.4</v>
      </c>
      <c r="H211" s="16">
        <v>24</v>
      </c>
      <c r="I211" s="16"/>
      <c r="J2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369.6</v>
      </c>
      <c r="K211" s="22"/>
      <c r="L211" s="23"/>
      <c r="M211" s="23">
        <f>SUM(Tabela174681012142230322681619252731333624210121416182426283038402481012141620222628303234362426810121424610122426244262628262681026286236[[#This Row],[Saldo no cartão]:[Recarga Pendente]])</f>
        <v>0</v>
      </c>
      <c r="N211" s="19">
        <f>Tabela174681012142230322681619252731333624210121416182426283038402481012141620222628303234362426810121424610122426244262628262681026286236[[#This Row],[Uso diário]]*2</f>
        <v>30.8</v>
      </c>
      <c r="O211" s="19">
        <f>Tabela174681012142230322681619252731333624210121416182426283038402481012141620222628303234362426810121424610122426244262628262681026286236[[#This Row],[Total Acumulado]]-P211</f>
        <v>-77</v>
      </c>
      <c r="P211" s="48">
        <f>Tabela174681012142230322681619252731333624210121416182426283038402481012141620222628303234362426810121424610122426244262628262681026286236[[#This Row],[Uso diário]]*5</f>
        <v>77</v>
      </c>
      <c r="Q2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369.6</v>
      </c>
      <c r="S2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1" s="25">
        <v>1</v>
      </c>
    </row>
    <row r="212" spans="1:20" s="26" customFormat="1" x14ac:dyDescent="0.25">
      <c r="A212" s="16">
        <v>234835</v>
      </c>
      <c r="B212" s="30" t="s">
        <v>1407</v>
      </c>
      <c r="C212" s="20" t="s">
        <v>637</v>
      </c>
      <c r="D212" s="20" t="s">
        <v>696</v>
      </c>
      <c r="E212" s="20" t="s">
        <v>1957</v>
      </c>
      <c r="F212" s="20" t="s">
        <v>1958</v>
      </c>
      <c r="G212" s="21">
        <v>18.8</v>
      </c>
      <c r="H212" s="16">
        <v>24</v>
      </c>
      <c r="I212" s="16"/>
      <c r="J2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12" s="22"/>
      <c r="L212" s="23">
        <v>94</v>
      </c>
      <c r="M212" s="23">
        <f>SUM(Tabela174681012142230322681619252731333624210121416182426283038402481012141620222628303234362426810121424610122426244262628262681026286236[[#This Row],[Saldo no cartão]:[Recarga Pendente]])</f>
        <v>94</v>
      </c>
      <c r="N212" s="19">
        <f>Tabela174681012142230322681619252731333624210121416182426283038402481012141620222628303234362426810121424610122426244262628262681026286236[[#This Row],[Uso diário]]*2</f>
        <v>37.6</v>
      </c>
      <c r="O212" s="19">
        <f>Tabela174681012142230322681619252731333624210121416182426283038402481012141620222628303234362426810121424610122426244262628262681026286236[[#This Row],[Total Acumulado]]-P212</f>
        <v>0</v>
      </c>
      <c r="P212" s="48">
        <f>Tabela174681012142230322681619252731333624210121416182426283038402481012141620222628303234362426810121424610122426244262628262681026286236[[#This Row],[Uso diário]]*5</f>
        <v>94</v>
      </c>
      <c r="Q2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2" s="25">
        <v>1</v>
      </c>
    </row>
    <row r="213" spans="1:20" s="26" customFormat="1" x14ac:dyDescent="0.25">
      <c r="A213" s="16">
        <v>234894</v>
      </c>
      <c r="B213" s="30" t="s">
        <v>1408</v>
      </c>
      <c r="C213" s="20" t="s">
        <v>637</v>
      </c>
      <c r="D213" s="20" t="s">
        <v>696</v>
      </c>
      <c r="E213" s="20" t="s">
        <v>1959</v>
      </c>
      <c r="F213" s="20" t="s">
        <v>1960</v>
      </c>
      <c r="G213" s="21">
        <v>18.8</v>
      </c>
      <c r="H213" s="16">
        <v>24</v>
      </c>
      <c r="I213" s="16"/>
      <c r="J2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13" s="22"/>
      <c r="L213" s="23"/>
      <c r="M213" s="23">
        <f>SUM(Tabela174681012142230322681619252731333624210121416182426283038402481012141620222628303234362426810121424610122426244262628262681026286236[[#This Row],[Saldo no cartão]:[Recarga Pendente]])</f>
        <v>0</v>
      </c>
      <c r="N213" s="19">
        <f>Tabela174681012142230322681619252731333624210121416182426283038402481012141620222628303234362426810121424610122426244262628262681026286236[[#This Row],[Uso diário]]*2</f>
        <v>37.6</v>
      </c>
      <c r="O213" s="19">
        <f>Tabela174681012142230322681619252731333624210121416182426283038402481012141620222628303234362426810121424610122426244262628262681026286236[[#This Row],[Total Acumulado]]-P213</f>
        <v>-94</v>
      </c>
      <c r="P213" s="48">
        <f>Tabela174681012142230322681619252731333624210121416182426283038402481012141620222628303234362426810121424610122426244262628262681026286236[[#This Row],[Uso diário]]*5</f>
        <v>94</v>
      </c>
      <c r="Q2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3" s="25">
        <v>1</v>
      </c>
    </row>
    <row r="214" spans="1:20" s="26" customFormat="1" x14ac:dyDescent="0.25">
      <c r="A214" s="16">
        <v>234895</v>
      </c>
      <c r="B214" s="30" t="s">
        <v>1409</v>
      </c>
      <c r="C214" s="20" t="s">
        <v>637</v>
      </c>
      <c r="D214" s="20" t="s">
        <v>696</v>
      </c>
      <c r="E214" s="20" t="s">
        <v>1961</v>
      </c>
      <c r="F214" s="20" t="s">
        <v>1962</v>
      </c>
      <c r="G214" s="21">
        <v>18.8</v>
      </c>
      <c r="H214" s="16">
        <v>27</v>
      </c>
      <c r="I214" s="16"/>
      <c r="J2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507.6</v>
      </c>
      <c r="K214" s="22"/>
      <c r="L214" s="23"/>
      <c r="M214" s="23">
        <f>SUM(Tabela174681012142230322681619252731333624210121416182426283038402481012141620222628303234362426810121424610122426244262628262681026286236[[#This Row],[Saldo no cartão]:[Recarga Pendente]])</f>
        <v>0</v>
      </c>
      <c r="N214" s="19">
        <f>Tabela174681012142230322681619252731333624210121416182426283038402481012141620222628303234362426810121424610122426244262628262681026286236[[#This Row],[Uso diário]]*2</f>
        <v>37.6</v>
      </c>
      <c r="O214" s="19">
        <f>Tabela174681012142230322681619252731333624210121416182426283038402481012141620222628303234362426810121424610122426244262628262681026286236[[#This Row],[Total Acumulado]]-P214</f>
        <v>-94</v>
      </c>
      <c r="P214" s="48">
        <f>Tabela174681012142230322681619252731333624210121416182426283038402481012141620222628303234362426810121424610122426244262628262681026286236[[#This Row],[Uso diário]]*5</f>
        <v>94</v>
      </c>
      <c r="Q2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507.6</v>
      </c>
      <c r="S2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4" s="25">
        <v>1</v>
      </c>
    </row>
    <row r="215" spans="1:20" s="26" customFormat="1" x14ac:dyDescent="0.25">
      <c r="A215" s="16">
        <v>234965</v>
      </c>
      <c r="B215" s="30" t="s">
        <v>1410</v>
      </c>
      <c r="C215" s="20" t="s">
        <v>637</v>
      </c>
      <c r="D215" s="20" t="s">
        <v>696</v>
      </c>
      <c r="E215" s="20" t="s">
        <v>1963</v>
      </c>
      <c r="F215" s="20">
        <v>0</v>
      </c>
      <c r="G215" s="21">
        <v>18.8</v>
      </c>
      <c r="H215" s="16">
        <v>24</v>
      </c>
      <c r="I215" s="16"/>
      <c r="J2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15" s="22"/>
      <c r="L215" s="23"/>
      <c r="M215" s="23">
        <f>SUM(Tabela174681012142230322681619252731333624210121416182426283038402481012141620222628303234362426810121424610122426244262628262681026286236[[#This Row],[Saldo no cartão]:[Recarga Pendente]])</f>
        <v>0</v>
      </c>
      <c r="N215" s="19">
        <f>Tabela174681012142230322681619252731333624210121416182426283038402481012141620222628303234362426810121424610122426244262628262681026286236[[#This Row],[Uso diário]]*2</f>
        <v>37.6</v>
      </c>
      <c r="O215" s="19">
        <f>Tabela174681012142230322681619252731333624210121416182426283038402481012141620222628303234362426810121424610122426244262628262681026286236[[#This Row],[Total Acumulado]]-P215</f>
        <v>-94</v>
      </c>
      <c r="P215" s="48">
        <f>Tabela174681012142230322681619252731333624210121416182426283038402481012141620222628303234362426810121424610122426244262628262681026286236[[#This Row],[Uso diário]]*5</f>
        <v>94</v>
      </c>
      <c r="Q2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5" s="25">
        <v>1</v>
      </c>
    </row>
    <row r="216" spans="1:20" s="26" customFormat="1" x14ac:dyDescent="0.25">
      <c r="A216" s="16">
        <v>234967</v>
      </c>
      <c r="B216" s="30" t="s">
        <v>1411</v>
      </c>
      <c r="C216" s="20" t="s">
        <v>637</v>
      </c>
      <c r="D216" s="20" t="s">
        <v>696</v>
      </c>
      <c r="E216" s="20" t="s">
        <v>1964</v>
      </c>
      <c r="F216" s="20" t="s">
        <v>1965</v>
      </c>
      <c r="G216" s="21">
        <v>18.8</v>
      </c>
      <c r="H216" s="16">
        <v>24</v>
      </c>
      <c r="I216" s="16"/>
      <c r="J2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16" s="22"/>
      <c r="L216" s="23"/>
      <c r="M216" s="23">
        <f>SUM(Tabela174681012142230322681619252731333624210121416182426283038402481012141620222628303234362426810121424610122426244262628262681026286236[[#This Row],[Saldo no cartão]:[Recarga Pendente]])</f>
        <v>0</v>
      </c>
      <c r="N216" s="19">
        <f>Tabela174681012142230322681619252731333624210121416182426283038402481012141620222628303234362426810121424610122426244262628262681026286236[[#This Row],[Uso diário]]*2</f>
        <v>37.6</v>
      </c>
      <c r="O216" s="19">
        <f>Tabela174681012142230322681619252731333624210121416182426283038402481012141620222628303234362426810121424610122426244262628262681026286236[[#This Row],[Total Acumulado]]-P216</f>
        <v>-94</v>
      </c>
      <c r="P216" s="48">
        <f>Tabela174681012142230322681619252731333624210121416182426283038402481012141620222628303234362426810121424610122426244262628262681026286236[[#This Row],[Uso diário]]*5</f>
        <v>94</v>
      </c>
      <c r="Q2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6" s="25">
        <v>1</v>
      </c>
    </row>
    <row r="217" spans="1:20" s="26" customFormat="1" x14ac:dyDescent="0.25">
      <c r="A217" s="16">
        <v>235052</v>
      </c>
      <c r="B217" s="30" t="s">
        <v>1412</v>
      </c>
      <c r="C217" s="20" t="s">
        <v>637</v>
      </c>
      <c r="D217" s="20" t="s">
        <v>696</v>
      </c>
      <c r="E217" s="20" t="s">
        <v>1966</v>
      </c>
      <c r="F217" s="20">
        <v>0</v>
      </c>
      <c r="G217" s="21">
        <v>13.4</v>
      </c>
      <c r="H217" s="16">
        <v>24</v>
      </c>
      <c r="I217" s="16"/>
      <c r="J2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217" s="22"/>
      <c r="L217" s="23"/>
      <c r="M217" s="23">
        <f>SUM(Tabela174681012142230322681619252731333624210121416182426283038402481012141620222628303234362426810121424610122426244262628262681026286236[[#This Row],[Saldo no cartão]:[Recarga Pendente]])</f>
        <v>0</v>
      </c>
      <c r="N217" s="19">
        <f>Tabela174681012142230322681619252731333624210121416182426283038402481012141620222628303234362426810121424610122426244262628262681026286236[[#This Row],[Uso diário]]*2</f>
        <v>26.8</v>
      </c>
      <c r="O217" s="19">
        <f>Tabela174681012142230322681619252731333624210121416182426283038402481012141620222628303234362426810121424610122426244262628262681026286236[[#This Row],[Total Acumulado]]-P217</f>
        <v>-67</v>
      </c>
      <c r="P217" s="48">
        <f>Tabela174681012142230322681619252731333624210121416182426283038402481012141620222628303234362426810121424610122426244262628262681026286236[[#This Row],[Uso diário]]*5</f>
        <v>67</v>
      </c>
      <c r="Q2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2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7" s="25">
        <v>1</v>
      </c>
    </row>
    <row r="218" spans="1:20" s="26" customFormat="1" x14ac:dyDescent="0.25">
      <c r="A218" s="16">
        <v>235085</v>
      </c>
      <c r="B218" s="30" t="s">
        <v>1413</v>
      </c>
      <c r="C218" s="20" t="s">
        <v>637</v>
      </c>
      <c r="D218" s="20" t="s">
        <v>696</v>
      </c>
      <c r="E218" s="20" t="s">
        <v>1967</v>
      </c>
      <c r="F218" s="20" t="s">
        <v>1968</v>
      </c>
      <c r="G218" s="21">
        <v>18.8</v>
      </c>
      <c r="H218" s="16">
        <v>24</v>
      </c>
      <c r="I218" s="16"/>
      <c r="J2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18" s="22"/>
      <c r="L218" s="23"/>
      <c r="M218" s="23">
        <f>SUM(Tabela174681012142230322681619252731333624210121416182426283038402481012141620222628303234362426810121424610122426244262628262681026286236[[#This Row],[Saldo no cartão]:[Recarga Pendente]])</f>
        <v>0</v>
      </c>
      <c r="N218" s="19">
        <f>Tabela174681012142230322681619252731333624210121416182426283038402481012141620222628303234362426810121424610122426244262628262681026286236[[#This Row],[Uso diário]]*2</f>
        <v>37.6</v>
      </c>
      <c r="O218" s="19">
        <f>Tabela174681012142230322681619252731333624210121416182426283038402481012141620222628303234362426810121424610122426244262628262681026286236[[#This Row],[Total Acumulado]]-P218</f>
        <v>-94</v>
      </c>
      <c r="P218" s="48">
        <f>Tabela174681012142230322681619252731333624210121416182426283038402481012141620222628303234362426810121424610122426244262628262681026286236[[#This Row],[Uso diário]]*5</f>
        <v>94</v>
      </c>
      <c r="Q2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8" s="25">
        <v>1</v>
      </c>
    </row>
    <row r="219" spans="1:20" s="26" customFormat="1" x14ac:dyDescent="0.25">
      <c r="A219" s="16">
        <v>20574</v>
      </c>
      <c r="B219" s="30" t="s">
        <v>144</v>
      </c>
      <c r="C219" s="20" t="s">
        <v>638</v>
      </c>
      <c r="D219" s="20" t="s">
        <v>691</v>
      </c>
      <c r="E219" s="20" t="s">
        <v>1969</v>
      </c>
      <c r="F219" s="20" t="s">
        <v>1970</v>
      </c>
      <c r="G219" s="21">
        <v>18.8</v>
      </c>
      <c r="H219" s="16">
        <v>22</v>
      </c>
      <c r="I219" s="16"/>
      <c r="J2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19" s="22"/>
      <c r="L219" s="23"/>
      <c r="M219" s="23">
        <f>SUM(Tabela174681012142230322681619252731333624210121416182426283038402481012141620222628303234362426810121424610122426244262628262681026286236[[#This Row],[Saldo no cartão]:[Recarga Pendente]])</f>
        <v>0</v>
      </c>
      <c r="N219" s="19">
        <f>Tabela174681012142230322681619252731333624210121416182426283038402481012141620222628303234362426810121424610122426244262628262681026286236[[#This Row],[Uso diário]]*2</f>
        <v>37.6</v>
      </c>
      <c r="O219" s="19">
        <f>Tabela174681012142230322681619252731333624210121416182426283038402481012141620222628303234362426810121424610122426244262628262681026286236[[#This Row],[Total Acumulado]]-P219</f>
        <v>-94</v>
      </c>
      <c r="P219" s="48">
        <f>Tabela174681012142230322681619252731333624210121416182426283038402481012141620222628303234362426810121424610122426244262628262681026286236[[#This Row],[Uso diário]]*5</f>
        <v>94</v>
      </c>
      <c r="Q2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19" s="25">
        <v>1</v>
      </c>
    </row>
    <row r="220" spans="1:20" s="26" customFormat="1" x14ac:dyDescent="0.25">
      <c r="A220" s="16">
        <v>205867</v>
      </c>
      <c r="B220" s="30" t="s">
        <v>1150</v>
      </c>
      <c r="C220" s="20" t="s">
        <v>638</v>
      </c>
      <c r="D220" s="20" t="s">
        <v>691</v>
      </c>
      <c r="E220" s="20" t="s">
        <v>1971</v>
      </c>
      <c r="F220" s="20" t="s">
        <v>1972</v>
      </c>
      <c r="G220" s="21">
        <v>10</v>
      </c>
      <c r="H220" s="16">
        <v>22</v>
      </c>
      <c r="I220" s="16"/>
      <c r="J2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220" s="22"/>
      <c r="L220" s="23"/>
      <c r="M220" s="23">
        <f>SUM(Tabela174681012142230322681619252731333624210121416182426283038402481012141620222628303234362426810121424610122426244262628262681026286236[[#This Row],[Saldo no cartão]:[Recarga Pendente]])</f>
        <v>0</v>
      </c>
      <c r="N220" s="19">
        <f>Tabela174681012142230322681619252731333624210121416182426283038402481012141620222628303234362426810121424610122426244262628262681026286236[[#This Row],[Uso diário]]*2</f>
        <v>20</v>
      </c>
      <c r="O220" s="19">
        <f>Tabela174681012142230322681619252731333624210121416182426283038402481012141620222628303234362426810121424610122426244262628262681026286236[[#This Row],[Total Acumulado]]-P220</f>
        <v>-50</v>
      </c>
      <c r="P220" s="48">
        <f>Tabela174681012142230322681619252731333624210121416182426283038402481012141620222628303234362426810121424610122426244262628262681026286236[[#This Row],[Uso diário]]*5</f>
        <v>50</v>
      </c>
      <c r="Q2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2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0" s="25">
        <v>1</v>
      </c>
    </row>
    <row r="221" spans="1:20" s="26" customFormat="1" x14ac:dyDescent="0.25">
      <c r="A221" s="16">
        <v>215192</v>
      </c>
      <c r="B221" s="30" t="s">
        <v>145</v>
      </c>
      <c r="C221" s="20" t="s">
        <v>638</v>
      </c>
      <c r="D221" s="20" t="s">
        <v>691</v>
      </c>
      <c r="E221" s="20" t="s">
        <v>1973</v>
      </c>
      <c r="F221" s="20" t="s">
        <v>1974</v>
      </c>
      <c r="G221" s="21">
        <v>18.8</v>
      </c>
      <c r="H221" s="16">
        <v>22</v>
      </c>
      <c r="I221" s="16"/>
      <c r="J2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21" s="22"/>
      <c r="L221" s="23"/>
      <c r="M221" s="23">
        <f>SUM(Tabela174681012142230322681619252731333624210121416182426283038402481012141620222628303234362426810121424610122426244262628262681026286236[[#This Row],[Saldo no cartão]:[Recarga Pendente]])</f>
        <v>0</v>
      </c>
      <c r="N221" s="19">
        <f>Tabela174681012142230322681619252731333624210121416182426283038402481012141620222628303234362426810121424610122426244262628262681026286236[[#This Row],[Uso diário]]*2</f>
        <v>37.6</v>
      </c>
      <c r="O221" s="19">
        <f>Tabela174681012142230322681619252731333624210121416182426283038402481012141620222628303234362426810121424610122426244262628262681026286236[[#This Row],[Total Acumulado]]-P221</f>
        <v>-94</v>
      </c>
      <c r="P221" s="48">
        <f>Tabela174681012142230322681619252731333624210121416182426283038402481012141620222628303234362426810121424610122426244262628262681026286236[[#This Row],[Uso diário]]*5</f>
        <v>94</v>
      </c>
      <c r="Q2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1" s="25">
        <v>1</v>
      </c>
    </row>
    <row r="222" spans="1:20" s="26" customFormat="1" x14ac:dyDescent="0.25">
      <c r="A222" s="16">
        <v>218269</v>
      </c>
      <c r="B222" s="30" t="s">
        <v>146</v>
      </c>
      <c r="C222" s="20" t="s">
        <v>638</v>
      </c>
      <c r="D222" s="20" t="s">
        <v>694</v>
      </c>
      <c r="E222" s="20" t="s">
        <v>1975</v>
      </c>
      <c r="F222" s="20" t="s">
        <v>1976</v>
      </c>
      <c r="G222" s="21">
        <v>18.8</v>
      </c>
      <c r="H222" s="16">
        <v>22</v>
      </c>
      <c r="I222" s="16">
        <v>1</v>
      </c>
      <c r="J2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222" s="22"/>
      <c r="L222" s="23"/>
      <c r="M222" s="23">
        <f>SUM(Tabela174681012142230322681619252731333624210121416182426283038402481012141620222628303234362426810121424610122426244262628262681026286236[[#This Row],[Saldo no cartão]:[Recarga Pendente]])</f>
        <v>0</v>
      </c>
      <c r="N222" s="19">
        <f>Tabela174681012142230322681619252731333624210121416182426283038402481012141620222628303234362426810121424610122426244262628262681026286236[[#This Row],[Uso diário]]*2</f>
        <v>37.6</v>
      </c>
      <c r="O222" s="19">
        <f>Tabela174681012142230322681619252731333624210121416182426283038402481012141620222628303234362426810121424610122426244262628262681026286236[[#This Row],[Total Acumulado]]-P222</f>
        <v>-94</v>
      </c>
      <c r="P222" s="48">
        <f>Tabela174681012142230322681619252731333624210121416182426283038402481012141620222628303234362426810121424610122426244262628262681026286236[[#This Row],[Uso diário]]*5</f>
        <v>94</v>
      </c>
      <c r="Q2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2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2" s="25">
        <v>1</v>
      </c>
    </row>
    <row r="223" spans="1:20" s="26" customFormat="1" x14ac:dyDescent="0.25">
      <c r="A223" s="16">
        <v>219779</v>
      </c>
      <c r="B223" s="30" t="s">
        <v>1414</v>
      </c>
      <c r="C223" s="20" t="s">
        <v>638</v>
      </c>
      <c r="D223" s="20" t="s">
        <v>691</v>
      </c>
      <c r="E223" s="20" t="s">
        <v>1977</v>
      </c>
      <c r="F223" s="20" t="s">
        <v>1978</v>
      </c>
      <c r="G223" s="21">
        <v>18.8</v>
      </c>
      <c r="H223" s="16">
        <v>24</v>
      </c>
      <c r="I223" s="16"/>
      <c r="J2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23" s="22"/>
      <c r="L223" s="23">
        <v>18.8</v>
      </c>
      <c r="M223" s="23">
        <f>SUM(Tabela174681012142230322681619252731333624210121416182426283038402481012141620222628303234362426810121424610122426244262628262681026286236[[#This Row],[Saldo no cartão]:[Recarga Pendente]])</f>
        <v>18.8</v>
      </c>
      <c r="N223" s="19">
        <f>Tabela174681012142230322681619252731333624210121416182426283038402481012141620222628303234362426810121424610122426244262628262681026286236[[#This Row],[Uso diário]]*2</f>
        <v>37.6</v>
      </c>
      <c r="O223" s="19">
        <f>Tabela174681012142230322681619252731333624210121416182426283038402481012141620222628303234362426810121424610122426244262628262681026286236[[#This Row],[Total Acumulado]]-P223</f>
        <v>-75.2</v>
      </c>
      <c r="P223" s="48">
        <f>Tabela174681012142230322681619252731333624210121416182426283038402481012141620222628303234362426810121424610122426244262628262681026286236[[#This Row],[Uso diário]]*5</f>
        <v>94</v>
      </c>
      <c r="Q2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3" s="25">
        <v>1</v>
      </c>
    </row>
    <row r="224" spans="1:20" s="26" customFormat="1" x14ac:dyDescent="0.25">
      <c r="A224" s="16">
        <v>221900</v>
      </c>
      <c r="B224" s="30" t="s">
        <v>147</v>
      </c>
      <c r="C224" s="20" t="s">
        <v>638</v>
      </c>
      <c r="D224" s="20" t="s">
        <v>691</v>
      </c>
      <c r="E224" s="20" t="s">
        <v>1979</v>
      </c>
      <c r="F224" s="20" t="s">
        <v>1980</v>
      </c>
      <c r="G224" s="21">
        <v>18.8</v>
      </c>
      <c r="H224" s="16">
        <v>22</v>
      </c>
      <c r="I224" s="16">
        <v>1</v>
      </c>
      <c r="J2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224" s="22"/>
      <c r="L224" s="23"/>
      <c r="M224" s="23">
        <f>SUM(Tabela174681012142230322681619252731333624210121416182426283038402481012141620222628303234362426810121424610122426244262628262681026286236[[#This Row],[Saldo no cartão]:[Recarga Pendente]])</f>
        <v>0</v>
      </c>
      <c r="N224" s="19">
        <f>Tabela174681012142230322681619252731333624210121416182426283038402481012141620222628303234362426810121424610122426244262628262681026286236[[#This Row],[Uso diário]]*2</f>
        <v>37.6</v>
      </c>
      <c r="O224" s="19">
        <f>Tabela174681012142230322681619252731333624210121416182426283038402481012141620222628303234362426810121424610122426244262628262681026286236[[#This Row],[Total Acumulado]]-P224</f>
        <v>-94</v>
      </c>
      <c r="P224" s="48">
        <f>Tabela174681012142230322681619252731333624210121416182426283038402481012141620222628303234362426810121424610122426244262628262681026286236[[#This Row],[Uso diário]]*5</f>
        <v>94</v>
      </c>
      <c r="Q2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2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4" s="25">
        <v>1</v>
      </c>
    </row>
    <row r="225" spans="1:20" s="26" customFormat="1" x14ac:dyDescent="0.25">
      <c r="A225" s="16">
        <v>226946</v>
      </c>
      <c r="B225" s="30" t="s">
        <v>1040</v>
      </c>
      <c r="C225" s="20" t="s">
        <v>638</v>
      </c>
      <c r="D225" s="20" t="s">
        <v>696</v>
      </c>
      <c r="E225" s="20" t="s">
        <v>1981</v>
      </c>
      <c r="F225" s="20" t="s">
        <v>1982</v>
      </c>
      <c r="G225" s="21">
        <v>13.4</v>
      </c>
      <c r="H225" s="16">
        <v>22</v>
      </c>
      <c r="I225" s="16"/>
      <c r="J2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25" s="22"/>
      <c r="L225" s="23"/>
      <c r="M225" s="23">
        <f>SUM(Tabela174681012142230322681619252731333624210121416182426283038402481012141620222628303234362426810121424610122426244262628262681026286236[[#This Row],[Saldo no cartão]:[Recarga Pendente]])</f>
        <v>0</v>
      </c>
      <c r="N225" s="19">
        <f>Tabela174681012142230322681619252731333624210121416182426283038402481012141620222628303234362426810121424610122426244262628262681026286236[[#This Row],[Uso diário]]*2</f>
        <v>26.8</v>
      </c>
      <c r="O225" s="19">
        <f>Tabela174681012142230322681619252731333624210121416182426283038402481012141620222628303234362426810121424610122426244262628262681026286236[[#This Row],[Total Acumulado]]-P225</f>
        <v>-67</v>
      </c>
      <c r="P225" s="48">
        <f>Tabela174681012142230322681619252731333624210121416182426283038402481012141620222628303234362426810121424610122426244262628262681026286236[[#This Row],[Uso diário]]*5</f>
        <v>67</v>
      </c>
      <c r="Q2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5" s="25">
        <v>1</v>
      </c>
    </row>
    <row r="226" spans="1:20" s="26" customFormat="1" x14ac:dyDescent="0.25">
      <c r="A226" s="16">
        <v>228426</v>
      </c>
      <c r="B226" s="30" t="s">
        <v>122</v>
      </c>
      <c r="C226" s="20" t="s">
        <v>638</v>
      </c>
      <c r="D226" s="20" t="s">
        <v>696</v>
      </c>
      <c r="E226" s="20" t="s">
        <v>1983</v>
      </c>
      <c r="F226" s="20" t="s">
        <v>1984</v>
      </c>
      <c r="G226" s="21">
        <v>18.8</v>
      </c>
      <c r="H226" s="16">
        <v>22</v>
      </c>
      <c r="I226" s="16"/>
      <c r="J2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26" s="22"/>
      <c r="L226" s="23"/>
      <c r="M226" s="23">
        <f>SUM(Tabela174681012142230322681619252731333624210121416182426283038402481012141620222628303234362426810121424610122426244262628262681026286236[[#This Row],[Saldo no cartão]:[Recarga Pendente]])</f>
        <v>0</v>
      </c>
      <c r="N226" s="19">
        <f>Tabela174681012142230322681619252731333624210121416182426283038402481012141620222628303234362426810121424610122426244262628262681026286236[[#This Row],[Uso diário]]*2</f>
        <v>37.6</v>
      </c>
      <c r="O226" s="19">
        <f>Tabela174681012142230322681619252731333624210121416182426283038402481012141620222628303234362426810121424610122426244262628262681026286236[[#This Row],[Total Acumulado]]-P226</f>
        <v>-94</v>
      </c>
      <c r="P226" s="48">
        <f>Tabela174681012142230322681619252731333624210121416182426283038402481012141620222628303234362426810121424610122426244262628262681026286236[[#This Row],[Uso diário]]*5</f>
        <v>94</v>
      </c>
      <c r="Q2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6" s="25">
        <v>1</v>
      </c>
    </row>
    <row r="227" spans="1:20" s="26" customFormat="1" x14ac:dyDescent="0.25">
      <c r="A227" s="16">
        <v>230763</v>
      </c>
      <c r="B227" s="30" t="s">
        <v>142</v>
      </c>
      <c r="C227" s="20" t="s">
        <v>638</v>
      </c>
      <c r="D227" s="20" t="s">
        <v>696</v>
      </c>
      <c r="E227" s="20" t="s">
        <v>1985</v>
      </c>
      <c r="F227" s="20" t="s">
        <v>1986</v>
      </c>
      <c r="G227" s="21">
        <v>18.8</v>
      </c>
      <c r="H227" s="16">
        <v>22</v>
      </c>
      <c r="I227" s="16">
        <v>5</v>
      </c>
      <c r="J2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319.60000000000002</v>
      </c>
      <c r="K227" s="22"/>
      <c r="L227" s="23"/>
      <c r="M227" s="23">
        <f>SUM(Tabela174681012142230322681619252731333624210121416182426283038402481012141620222628303234362426810121424610122426244262628262681026286236[[#This Row],[Saldo no cartão]:[Recarga Pendente]])</f>
        <v>0</v>
      </c>
      <c r="N227" s="19">
        <f>Tabela174681012142230322681619252731333624210121416182426283038402481012141620222628303234362426810121424610122426244262628262681026286236[[#This Row],[Uso diário]]*2</f>
        <v>37.6</v>
      </c>
      <c r="O227" s="19">
        <f>Tabela174681012142230322681619252731333624210121416182426283038402481012141620222628303234362426810121424610122426244262628262681026286236[[#This Row],[Total Acumulado]]-P227</f>
        <v>-94</v>
      </c>
      <c r="P227" s="48">
        <f>Tabela174681012142230322681619252731333624210121416182426283038402481012141620222628303234362426810121424610122426244262628262681026286236[[#This Row],[Uso diário]]*5</f>
        <v>94</v>
      </c>
      <c r="Q2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319.60000000000002</v>
      </c>
      <c r="S2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7" s="25">
        <v>1</v>
      </c>
    </row>
    <row r="228" spans="1:20" s="26" customFormat="1" x14ac:dyDescent="0.25">
      <c r="A228" s="16">
        <v>222165</v>
      </c>
      <c r="B228" s="30" t="s">
        <v>1041</v>
      </c>
      <c r="C228" s="20" t="s">
        <v>1123</v>
      </c>
      <c r="D228" s="20" t="s">
        <v>1126</v>
      </c>
      <c r="E228" s="20" t="s">
        <v>1987</v>
      </c>
      <c r="F228" s="20" t="s">
        <v>1988</v>
      </c>
      <c r="G228" s="21">
        <v>13.4</v>
      </c>
      <c r="H228" s="16">
        <v>22</v>
      </c>
      <c r="I228" s="16">
        <v>10</v>
      </c>
      <c r="J2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160.80000000000001</v>
      </c>
      <c r="K228" s="22"/>
      <c r="L228" s="23"/>
      <c r="M228" s="23">
        <f>SUM(Tabela174681012142230322681619252731333624210121416182426283038402481012141620222628303234362426810121424610122426244262628262681026286236[[#This Row],[Saldo no cartão]:[Recarga Pendente]])</f>
        <v>0</v>
      </c>
      <c r="N228" s="19">
        <f>Tabela174681012142230322681619252731333624210121416182426283038402481012141620222628303234362426810121424610122426244262628262681026286236[[#This Row],[Uso diário]]*2</f>
        <v>26.8</v>
      </c>
      <c r="O228" s="19">
        <f>Tabela174681012142230322681619252731333624210121416182426283038402481012141620222628303234362426810121424610122426244262628262681026286236[[#This Row],[Total Acumulado]]-P228</f>
        <v>-67</v>
      </c>
      <c r="P228" s="48">
        <f>Tabela174681012142230322681619252731333624210121416182426283038402481012141620222628303234362426810121424610122426244262628262681026286236[[#This Row],[Uso diário]]*5</f>
        <v>67</v>
      </c>
      <c r="Q2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160.80000000000001</v>
      </c>
      <c r="S2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28" s="25">
        <v>1</v>
      </c>
    </row>
    <row r="229" spans="1:20" s="26" customFormat="1" ht="22.5" x14ac:dyDescent="0.25">
      <c r="A229" s="16">
        <v>225012</v>
      </c>
      <c r="B229" s="30" t="s">
        <v>148</v>
      </c>
      <c r="C229" s="20" t="s">
        <v>639</v>
      </c>
      <c r="D229" s="20" t="s">
        <v>699</v>
      </c>
      <c r="E229" s="20" t="s">
        <v>1989</v>
      </c>
      <c r="F229" s="20" t="s">
        <v>1990</v>
      </c>
      <c r="G229" s="21">
        <v>18.8</v>
      </c>
      <c r="H229" s="16">
        <v>22</v>
      </c>
      <c r="I229" s="16">
        <v>3</v>
      </c>
      <c r="J2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229" s="22"/>
      <c r="L229" s="23">
        <v>640.15</v>
      </c>
      <c r="M229" s="23">
        <f>SUM(Tabela174681012142230322681619252731333624210121416182426283038402481012141620222628303234362426810121424610122426244262628262681026286236[[#This Row],[Saldo no cartão]:[Recarga Pendente]])</f>
        <v>640.15</v>
      </c>
      <c r="N229" s="19">
        <f>Tabela174681012142230322681619252731333624210121416182426283038402481012141620222628303234362426810121424610122426244262628262681026286236[[#This Row],[Uso diário]]*2</f>
        <v>37.6</v>
      </c>
      <c r="O229" s="19">
        <f>Tabela174681012142230322681619252731333624210121416182426283038402481012141620222628303234362426810121424610122426244262628262681026286236[[#This Row],[Total Acumulado]]-P229</f>
        <v>546.15</v>
      </c>
      <c r="P229" s="48">
        <f>Tabela174681012142230322681619252731333624210121416182426283038402481012141620222628303234362426810121424610122426244262628262681026286236[[#This Row],[Uso diário]]*5</f>
        <v>94</v>
      </c>
      <c r="Q2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546.15</v>
      </c>
      <c r="R2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229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229" s="25">
        <v>1</v>
      </c>
    </row>
    <row r="230" spans="1:20" s="26" customFormat="1" x14ac:dyDescent="0.25">
      <c r="A230" s="16">
        <v>233023</v>
      </c>
      <c r="B230" s="30" t="s">
        <v>962</v>
      </c>
      <c r="C230" s="20" t="s">
        <v>639</v>
      </c>
      <c r="D230" s="20" t="s">
        <v>1019</v>
      </c>
      <c r="E230" s="20" t="s">
        <v>1991</v>
      </c>
      <c r="F230" s="20" t="s">
        <v>1992</v>
      </c>
      <c r="G230" s="21">
        <v>18.8</v>
      </c>
      <c r="H230" s="16">
        <v>22</v>
      </c>
      <c r="I230" s="16"/>
      <c r="J2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30" s="22"/>
      <c r="L230" s="23">
        <v>53.55</v>
      </c>
      <c r="M230" s="23">
        <f>SUM(Tabela174681012142230322681619252731333624210121416182426283038402481012141620222628303234362426810121424610122426244262628262681026286236[[#This Row],[Saldo no cartão]:[Recarga Pendente]])</f>
        <v>53.55</v>
      </c>
      <c r="N230" s="19">
        <f>Tabela174681012142230322681619252731333624210121416182426283038402481012141620222628303234362426810121424610122426244262628262681026286236[[#This Row],[Uso diário]]*2</f>
        <v>37.6</v>
      </c>
      <c r="O230" s="19">
        <f>Tabela174681012142230322681619252731333624210121416182426283038402481012141620222628303234362426810121424610122426244262628262681026286236[[#This Row],[Total Acumulado]]-P230</f>
        <v>-40.450000000000003</v>
      </c>
      <c r="P230" s="48">
        <f>Tabela174681012142230322681619252731333624210121416182426283038402481012141620222628303234362426810121424610122426244262628262681026286236[[#This Row],[Uso diário]]*5</f>
        <v>94</v>
      </c>
      <c r="Q2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0" s="25">
        <v>1</v>
      </c>
    </row>
    <row r="231" spans="1:20" s="26" customFormat="1" x14ac:dyDescent="0.25">
      <c r="A231" s="16">
        <v>226945</v>
      </c>
      <c r="B231" s="30" t="s">
        <v>1039</v>
      </c>
      <c r="C231" s="20" t="s">
        <v>640</v>
      </c>
      <c r="D231" s="20" t="s">
        <v>701</v>
      </c>
      <c r="E231" s="20" t="s">
        <v>1993</v>
      </c>
      <c r="F231" s="20" t="s">
        <v>1994</v>
      </c>
      <c r="G231" s="21">
        <v>18.8</v>
      </c>
      <c r="H231" s="16">
        <v>26</v>
      </c>
      <c r="I231" s="16">
        <v>1</v>
      </c>
      <c r="J2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31" s="22"/>
      <c r="L231" s="23">
        <v>18.8</v>
      </c>
      <c r="M231" s="23">
        <f>SUM(Tabela174681012142230322681619252731333624210121416182426283038402481012141620222628303234362426810121424610122426244262628262681026286236[[#This Row],[Saldo no cartão]:[Recarga Pendente]])</f>
        <v>18.8</v>
      </c>
      <c r="N231" s="19">
        <f>Tabela174681012142230322681619252731333624210121416182426283038402481012141620222628303234362426810121424610122426244262628262681026286236[[#This Row],[Uso diário]]*2</f>
        <v>37.6</v>
      </c>
      <c r="O231" s="19">
        <f>Tabela174681012142230322681619252731333624210121416182426283038402481012141620222628303234362426810121424610122426244262628262681026286236[[#This Row],[Total Acumulado]]-P231</f>
        <v>-75.2</v>
      </c>
      <c r="P231" s="48">
        <f>Tabela174681012142230322681619252731333624210121416182426283038402481012141620222628303234362426810121424610122426244262628262681026286236[[#This Row],[Uso diário]]*5</f>
        <v>94</v>
      </c>
      <c r="Q2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1" s="25">
        <v>1</v>
      </c>
    </row>
    <row r="232" spans="1:20" s="26" customFormat="1" x14ac:dyDescent="0.25">
      <c r="A232" s="16">
        <v>229497</v>
      </c>
      <c r="B232" s="30" t="s">
        <v>403</v>
      </c>
      <c r="C232" s="20" t="s">
        <v>640</v>
      </c>
      <c r="D232" s="20" t="s">
        <v>701</v>
      </c>
      <c r="E232" s="20" t="s">
        <v>1995</v>
      </c>
      <c r="F232" s="20" t="s">
        <v>1996</v>
      </c>
      <c r="G232" s="21">
        <v>18.8</v>
      </c>
      <c r="H232" s="16">
        <v>26</v>
      </c>
      <c r="I232" s="16"/>
      <c r="J2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32" s="22"/>
      <c r="L232" s="23">
        <v>18.8</v>
      </c>
      <c r="M232" s="23">
        <f>SUM(Tabela174681012142230322681619252731333624210121416182426283038402481012141620222628303234362426810121424610122426244262628262681026286236[[#This Row],[Saldo no cartão]:[Recarga Pendente]])</f>
        <v>18.8</v>
      </c>
      <c r="N232" s="19">
        <f>Tabela174681012142230322681619252731333624210121416182426283038402481012141620222628303234362426810121424610122426244262628262681026286236[[#This Row],[Uso diário]]*2</f>
        <v>37.6</v>
      </c>
      <c r="O232" s="19">
        <f>Tabela174681012142230322681619252731333624210121416182426283038402481012141620222628303234362426810121424610122426244262628262681026286236[[#This Row],[Total Acumulado]]-P232</f>
        <v>-75.2</v>
      </c>
      <c r="P232" s="48">
        <f>Tabela174681012142230322681619252731333624210121416182426283038402481012141620222628303234362426810121424610122426244262628262681026286236[[#This Row],[Uso diário]]*5</f>
        <v>94</v>
      </c>
      <c r="Q2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2" s="25">
        <v>1</v>
      </c>
    </row>
    <row r="233" spans="1:20" s="26" customFormat="1" x14ac:dyDescent="0.25">
      <c r="A233" s="16">
        <v>230916</v>
      </c>
      <c r="B233" s="30" t="s">
        <v>149</v>
      </c>
      <c r="C233" s="20" t="s">
        <v>640</v>
      </c>
      <c r="D233" s="20" t="s">
        <v>701</v>
      </c>
      <c r="E233" s="20" t="s">
        <v>1997</v>
      </c>
      <c r="F233" s="20" t="s">
        <v>1998</v>
      </c>
      <c r="G233" s="21">
        <v>18.8</v>
      </c>
      <c r="H233" s="16">
        <v>26</v>
      </c>
      <c r="I233" s="16">
        <v>3</v>
      </c>
      <c r="J2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233" s="22"/>
      <c r="L233" s="23"/>
      <c r="M233" s="23">
        <f>SUM(Tabela174681012142230322681619252731333624210121416182426283038402481012141620222628303234362426810121424610122426244262628262681026286236[[#This Row],[Saldo no cartão]:[Recarga Pendente]])</f>
        <v>0</v>
      </c>
      <c r="N233" s="19">
        <f>Tabela174681012142230322681619252731333624210121416182426283038402481012141620222628303234362426810121424610122426244262628262681026286236[[#This Row],[Uso diário]]*2</f>
        <v>37.6</v>
      </c>
      <c r="O233" s="19">
        <f>Tabela174681012142230322681619252731333624210121416182426283038402481012141620222628303234362426810121424610122426244262628262681026286236[[#This Row],[Total Acumulado]]-P233</f>
        <v>-94</v>
      </c>
      <c r="P233" s="48">
        <f>Tabela174681012142230322681619252731333624210121416182426283038402481012141620222628303234362426810121424610122426244262628262681026286236[[#This Row],[Uso diário]]*5</f>
        <v>94</v>
      </c>
      <c r="Q2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2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3" s="25">
        <v>1</v>
      </c>
    </row>
    <row r="234" spans="1:20" s="26" customFormat="1" x14ac:dyDescent="0.25">
      <c r="A234" s="16">
        <v>231268</v>
      </c>
      <c r="B234" s="30" t="s">
        <v>785</v>
      </c>
      <c r="C234" s="20" t="s">
        <v>640</v>
      </c>
      <c r="D234" s="20" t="s">
        <v>700</v>
      </c>
      <c r="E234" s="20" t="s">
        <v>1999</v>
      </c>
      <c r="F234" s="20" t="s">
        <v>2000</v>
      </c>
      <c r="G234" s="21">
        <v>18.8</v>
      </c>
      <c r="H234" s="16">
        <v>26</v>
      </c>
      <c r="I234" s="16">
        <v>9</v>
      </c>
      <c r="J2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319.60000000000002</v>
      </c>
      <c r="K234" s="22"/>
      <c r="L234" s="23"/>
      <c r="M234" s="23">
        <f>SUM(Tabela174681012142230322681619252731333624210121416182426283038402481012141620222628303234362426810121424610122426244262628262681026286236[[#This Row],[Saldo no cartão]:[Recarga Pendente]])</f>
        <v>0</v>
      </c>
      <c r="N234" s="19">
        <f>Tabela174681012142230322681619252731333624210121416182426283038402481012141620222628303234362426810121424610122426244262628262681026286236[[#This Row],[Uso diário]]*2</f>
        <v>37.6</v>
      </c>
      <c r="O234" s="19">
        <f>Tabela174681012142230322681619252731333624210121416182426283038402481012141620222628303234362426810121424610122426244262628262681026286236[[#This Row],[Total Acumulado]]-P234</f>
        <v>-94</v>
      </c>
      <c r="P234" s="48">
        <f>Tabela174681012142230322681619252731333624210121416182426283038402481012141620222628303234362426810121424610122426244262628262681026286236[[#This Row],[Uso diário]]*5</f>
        <v>94</v>
      </c>
      <c r="Q2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319.60000000000002</v>
      </c>
      <c r="S2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4" s="25">
        <v>1</v>
      </c>
    </row>
    <row r="235" spans="1:20" s="26" customFormat="1" x14ac:dyDescent="0.25">
      <c r="A235" s="16">
        <v>232663</v>
      </c>
      <c r="B235" s="30" t="s">
        <v>931</v>
      </c>
      <c r="C235" s="20" t="s">
        <v>640</v>
      </c>
      <c r="D235" s="20" t="s">
        <v>703</v>
      </c>
      <c r="E235" s="20" t="s">
        <v>2001</v>
      </c>
      <c r="F235" s="20" t="s">
        <v>2002</v>
      </c>
      <c r="G235" s="21">
        <v>18.8</v>
      </c>
      <c r="H235" s="16">
        <v>26</v>
      </c>
      <c r="I235" s="16"/>
      <c r="J2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35" s="22"/>
      <c r="L235" s="23"/>
      <c r="M235" s="23">
        <f>SUM(Tabela174681012142230322681619252731333624210121416182426283038402481012141620222628303234362426810121424610122426244262628262681026286236[[#This Row],[Saldo no cartão]:[Recarga Pendente]])</f>
        <v>0</v>
      </c>
      <c r="N235" s="19">
        <f>Tabela174681012142230322681619252731333624210121416182426283038402481012141620222628303234362426810121424610122426244262628262681026286236[[#This Row],[Uso diário]]*2</f>
        <v>37.6</v>
      </c>
      <c r="O235" s="19">
        <f>Tabela174681012142230322681619252731333624210121416182426283038402481012141620222628303234362426810121424610122426244262628262681026286236[[#This Row],[Total Acumulado]]-P235</f>
        <v>-94</v>
      </c>
      <c r="P235" s="48">
        <f>Tabela174681012142230322681619252731333624210121416182426283038402481012141620222628303234362426810121424610122426244262628262681026286236[[#This Row],[Uso diário]]*5</f>
        <v>94</v>
      </c>
      <c r="Q2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5" s="25">
        <v>1</v>
      </c>
    </row>
    <row r="236" spans="1:20" s="26" customFormat="1" x14ac:dyDescent="0.25">
      <c r="A236" s="16">
        <v>234286</v>
      </c>
      <c r="B236" s="30" t="s">
        <v>1151</v>
      </c>
      <c r="C236" s="20" t="s">
        <v>640</v>
      </c>
      <c r="D236" s="20" t="s">
        <v>703</v>
      </c>
      <c r="E236" s="20" t="s">
        <v>2003</v>
      </c>
      <c r="F236" s="20" t="s">
        <v>2004</v>
      </c>
      <c r="G236" s="21">
        <v>18.8</v>
      </c>
      <c r="H236" s="16">
        <v>26</v>
      </c>
      <c r="I236" s="16"/>
      <c r="J2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36" s="22"/>
      <c r="L236" s="23">
        <v>18.8</v>
      </c>
      <c r="M236" s="23">
        <f>SUM(Tabela174681012142230322681619252731333624210121416182426283038402481012141620222628303234362426810121424610122426244262628262681026286236[[#This Row],[Saldo no cartão]:[Recarga Pendente]])</f>
        <v>18.8</v>
      </c>
      <c r="N236" s="19">
        <f>Tabela174681012142230322681619252731333624210121416182426283038402481012141620222628303234362426810121424610122426244262628262681026286236[[#This Row],[Uso diário]]*2</f>
        <v>37.6</v>
      </c>
      <c r="O236" s="19">
        <f>Tabela174681012142230322681619252731333624210121416182426283038402481012141620222628303234362426810121424610122426244262628262681026286236[[#This Row],[Total Acumulado]]-P236</f>
        <v>-75.2</v>
      </c>
      <c r="P236" s="48">
        <f>Tabela174681012142230322681619252731333624210121416182426283038402481012141620222628303234362426810121424610122426244262628262681026286236[[#This Row],[Uso diário]]*5</f>
        <v>94</v>
      </c>
      <c r="Q2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6" s="25">
        <v>1</v>
      </c>
    </row>
    <row r="237" spans="1:20" s="26" customFormat="1" x14ac:dyDescent="0.25">
      <c r="A237" s="16">
        <v>234300</v>
      </c>
      <c r="B237" s="30" t="s">
        <v>1276</v>
      </c>
      <c r="C237" s="20" t="s">
        <v>640</v>
      </c>
      <c r="D237" s="20" t="s">
        <v>701</v>
      </c>
      <c r="E237" s="20" t="s">
        <v>2005</v>
      </c>
      <c r="F237" s="20" t="s">
        <v>2006</v>
      </c>
      <c r="G237" s="21">
        <v>13.4</v>
      </c>
      <c r="H237" s="16">
        <v>26</v>
      </c>
      <c r="I237" s="16">
        <v>4</v>
      </c>
      <c r="J2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37" s="22"/>
      <c r="L237" s="23"/>
      <c r="M237" s="23">
        <f>SUM(Tabela174681012142230322681619252731333624210121416182426283038402481012141620222628303234362426810121424610122426244262628262681026286236[[#This Row],[Saldo no cartão]:[Recarga Pendente]])</f>
        <v>0</v>
      </c>
      <c r="N237" s="19">
        <f>Tabela174681012142230322681619252731333624210121416182426283038402481012141620222628303234362426810121424610122426244262628262681026286236[[#This Row],[Uso diário]]*2</f>
        <v>26.8</v>
      </c>
      <c r="O237" s="19">
        <f>Tabela174681012142230322681619252731333624210121416182426283038402481012141620222628303234362426810121424610122426244262628262681026286236[[#This Row],[Total Acumulado]]-P237</f>
        <v>-67</v>
      </c>
      <c r="P237" s="48">
        <f>Tabela174681012142230322681619252731333624210121416182426283038402481012141620222628303234362426810121424610122426244262628262681026286236[[#This Row],[Uso diário]]*5</f>
        <v>67</v>
      </c>
      <c r="Q2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7" s="25">
        <v>1</v>
      </c>
    </row>
    <row r="238" spans="1:20" s="26" customFormat="1" x14ac:dyDescent="0.25">
      <c r="A238" s="16">
        <v>234760</v>
      </c>
      <c r="B238" s="30" t="s">
        <v>1345</v>
      </c>
      <c r="C238" s="20" t="s">
        <v>640</v>
      </c>
      <c r="D238" s="20" t="s">
        <v>701</v>
      </c>
      <c r="E238" s="20" t="s">
        <v>2007</v>
      </c>
      <c r="F238" s="20" t="s">
        <v>2008</v>
      </c>
      <c r="G238" s="21">
        <v>18.8</v>
      </c>
      <c r="H238" s="16">
        <v>5</v>
      </c>
      <c r="I238" s="16"/>
      <c r="J2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94</v>
      </c>
      <c r="K238" s="22"/>
      <c r="L238" s="23"/>
      <c r="M238" s="23">
        <f>SUM(Tabela174681012142230322681619252731333624210121416182426283038402481012141620222628303234362426810121424610122426244262628262681026286236[[#This Row],[Saldo no cartão]:[Recarga Pendente]])</f>
        <v>0</v>
      </c>
      <c r="N238" s="19">
        <f>Tabela174681012142230322681619252731333624210121416182426283038402481012141620222628303234362426810121424610122426244262628262681026286236[[#This Row],[Uso diário]]*2</f>
        <v>37.6</v>
      </c>
      <c r="O238" s="19">
        <f>Tabela174681012142230322681619252731333624210121416182426283038402481012141620222628303234362426810121424610122426244262628262681026286236[[#This Row],[Total Acumulado]]-P238</f>
        <v>-94</v>
      </c>
      <c r="P238" s="48">
        <f>Tabela174681012142230322681619252731333624210121416182426283038402481012141620222628303234362426810121424610122426244262628262681026286236[[#This Row],[Uso diário]]*5</f>
        <v>94</v>
      </c>
      <c r="Q2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94</v>
      </c>
      <c r="S2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8" s="25">
        <v>1</v>
      </c>
    </row>
    <row r="239" spans="1:20" s="26" customFormat="1" x14ac:dyDescent="0.25">
      <c r="A239" s="16">
        <v>234893</v>
      </c>
      <c r="B239" s="30" t="s">
        <v>1415</v>
      </c>
      <c r="C239" s="20" t="s">
        <v>640</v>
      </c>
      <c r="D239" s="20" t="s">
        <v>701</v>
      </c>
      <c r="E239" s="20" t="s">
        <v>2009</v>
      </c>
      <c r="F239" s="20" t="s">
        <v>2010</v>
      </c>
      <c r="G239" s="21">
        <v>18.8</v>
      </c>
      <c r="H239" s="16">
        <v>26</v>
      </c>
      <c r="I239" s="16"/>
      <c r="J2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39" s="22"/>
      <c r="L239" s="23">
        <v>94</v>
      </c>
      <c r="M239" s="23">
        <f>SUM(Tabela174681012142230322681619252731333624210121416182426283038402481012141620222628303234362426810121424610122426244262628262681026286236[[#This Row],[Saldo no cartão]:[Recarga Pendente]])</f>
        <v>94</v>
      </c>
      <c r="N239" s="19">
        <f>Tabela174681012142230322681619252731333624210121416182426283038402481012141620222628303234362426810121424610122426244262628262681026286236[[#This Row],[Uso diário]]*2</f>
        <v>37.6</v>
      </c>
      <c r="O239" s="19">
        <f>Tabela174681012142230322681619252731333624210121416182426283038402481012141620222628303234362426810121424610122426244262628262681026286236[[#This Row],[Total Acumulado]]-P239</f>
        <v>0</v>
      </c>
      <c r="P239" s="48">
        <f>Tabela174681012142230322681619252731333624210121416182426283038402481012141620222628303234362426810121424610122426244262628262681026286236[[#This Row],[Uso diário]]*5</f>
        <v>94</v>
      </c>
      <c r="Q2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39" s="25">
        <v>1</v>
      </c>
    </row>
    <row r="240" spans="1:20" s="26" customFormat="1" x14ac:dyDescent="0.25">
      <c r="A240" s="16">
        <v>224996</v>
      </c>
      <c r="B240" s="30" t="s">
        <v>172</v>
      </c>
      <c r="C240" s="20" t="s">
        <v>1124</v>
      </c>
      <c r="D240" s="20" t="s">
        <v>1127</v>
      </c>
      <c r="E240" s="20" t="s">
        <v>2011</v>
      </c>
      <c r="F240" s="20" t="s">
        <v>2012</v>
      </c>
      <c r="G240" s="21">
        <v>18.8</v>
      </c>
      <c r="H240" s="16">
        <v>26</v>
      </c>
      <c r="I240" s="16"/>
      <c r="J2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40" s="22"/>
      <c r="L240" s="23"/>
      <c r="M240" s="23">
        <f>SUM(Tabela174681012142230322681619252731333624210121416182426283038402481012141620222628303234362426810121424610122426244262628262681026286236[[#This Row],[Saldo no cartão]:[Recarga Pendente]])</f>
        <v>0</v>
      </c>
      <c r="N240" s="19">
        <f>Tabela174681012142230322681619252731333624210121416182426283038402481012141620222628303234362426810121424610122426244262628262681026286236[[#This Row],[Uso diário]]*2</f>
        <v>37.6</v>
      </c>
      <c r="O240" s="19">
        <f>Tabela174681012142230322681619252731333624210121416182426283038402481012141620222628303234362426810121424610122426244262628262681026286236[[#This Row],[Total Acumulado]]-P240</f>
        <v>-94</v>
      </c>
      <c r="P240" s="48">
        <f>Tabela174681012142230322681619252731333624210121416182426283038402481012141620222628303234362426810121424610122426244262628262681026286236[[#This Row],[Uso diário]]*5</f>
        <v>94</v>
      </c>
      <c r="Q2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0" s="25">
        <v>1</v>
      </c>
    </row>
    <row r="241" spans="1:20" s="26" customFormat="1" x14ac:dyDescent="0.25">
      <c r="A241" s="16">
        <v>205832</v>
      </c>
      <c r="B241" s="30" t="s">
        <v>150</v>
      </c>
      <c r="C241" s="20" t="s">
        <v>641</v>
      </c>
      <c r="D241" s="20" t="s">
        <v>705</v>
      </c>
      <c r="E241" s="20" t="s">
        <v>2013</v>
      </c>
      <c r="F241" s="20" t="s">
        <v>2014</v>
      </c>
      <c r="G241" s="21">
        <v>18.8</v>
      </c>
      <c r="H241" s="16">
        <v>26</v>
      </c>
      <c r="I241" s="16">
        <v>2</v>
      </c>
      <c r="J2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41" s="22"/>
      <c r="L241" s="23">
        <v>37.6</v>
      </c>
      <c r="M241" s="23">
        <f>SUM(Tabela174681012142230322681619252731333624210121416182426283038402481012141620222628303234362426810121424610122426244262628262681026286236[[#This Row],[Saldo no cartão]:[Recarga Pendente]])</f>
        <v>37.6</v>
      </c>
      <c r="N241" s="19">
        <f>Tabela174681012142230322681619252731333624210121416182426283038402481012141620222628303234362426810121424610122426244262628262681026286236[[#This Row],[Uso diário]]*2</f>
        <v>37.6</v>
      </c>
      <c r="O241" s="19">
        <f>Tabela174681012142230322681619252731333624210121416182426283038402481012141620222628303234362426810121424610122426244262628262681026286236[[#This Row],[Total Acumulado]]-P241</f>
        <v>-56.4</v>
      </c>
      <c r="P241" s="48">
        <f>Tabela174681012142230322681619252731333624210121416182426283038402481012141620222628303234362426810121424610122426244262628262681026286236[[#This Row],[Uso diário]]*5</f>
        <v>94</v>
      </c>
      <c r="Q2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1" s="25">
        <v>1</v>
      </c>
    </row>
    <row r="242" spans="1:20" s="26" customFormat="1" x14ac:dyDescent="0.25">
      <c r="A242" s="16">
        <v>213247</v>
      </c>
      <c r="B242" s="30" t="s">
        <v>151</v>
      </c>
      <c r="C242" s="20" t="s">
        <v>641</v>
      </c>
      <c r="D242" s="20" t="s">
        <v>705</v>
      </c>
      <c r="E242" s="20" t="s">
        <v>2015</v>
      </c>
      <c r="F242" s="20" t="s">
        <v>2016</v>
      </c>
      <c r="G242" s="21">
        <v>18.8</v>
      </c>
      <c r="H242" s="16">
        <v>26</v>
      </c>
      <c r="I242" s="16"/>
      <c r="J2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42" s="22"/>
      <c r="L242" s="23"/>
      <c r="M242" s="23">
        <f>SUM(Tabela174681012142230322681619252731333624210121416182426283038402481012141620222628303234362426810121424610122426244262628262681026286236[[#This Row],[Saldo no cartão]:[Recarga Pendente]])</f>
        <v>0</v>
      </c>
      <c r="N242" s="19">
        <f>Tabela174681012142230322681619252731333624210121416182426283038402481012141620222628303234362426810121424610122426244262628262681026286236[[#This Row],[Uso diário]]*2</f>
        <v>37.6</v>
      </c>
      <c r="O242" s="19">
        <f>Tabela174681012142230322681619252731333624210121416182426283038402481012141620222628303234362426810121424610122426244262628262681026286236[[#This Row],[Total Acumulado]]-P242</f>
        <v>-94</v>
      </c>
      <c r="P242" s="48">
        <f>Tabela174681012142230322681619252731333624210121416182426283038402481012141620222628303234362426810121424610122426244262628262681026286236[[#This Row],[Uso diário]]*5</f>
        <v>94</v>
      </c>
      <c r="Q2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2" s="25">
        <v>1</v>
      </c>
    </row>
    <row r="243" spans="1:20" s="26" customFormat="1" x14ac:dyDescent="0.25">
      <c r="A243" s="16">
        <v>213358</v>
      </c>
      <c r="B243" s="30" t="s">
        <v>152</v>
      </c>
      <c r="C243" s="20" t="s">
        <v>641</v>
      </c>
      <c r="D243" s="20" t="s">
        <v>704</v>
      </c>
      <c r="E243" s="20" t="s">
        <v>2017</v>
      </c>
      <c r="F243" s="20" t="s">
        <v>2018</v>
      </c>
      <c r="G243" s="21">
        <v>18.8</v>
      </c>
      <c r="H243" s="16">
        <v>26</v>
      </c>
      <c r="I243" s="16">
        <v>2</v>
      </c>
      <c r="J2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43" s="22"/>
      <c r="L243" s="23">
        <v>18.8</v>
      </c>
      <c r="M243" s="23">
        <f>SUM(Tabela174681012142230322681619252731333624210121416182426283038402481012141620222628303234362426810121424610122426244262628262681026286236[[#This Row],[Saldo no cartão]:[Recarga Pendente]])</f>
        <v>18.8</v>
      </c>
      <c r="N243" s="19">
        <f>Tabela174681012142230322681619252731333624210121416182426283038402481012141620222628303234362426810121424610122426244262628262681026286236[[#This Row],[Uso diário]]*2</f>
        <v>37.6</v>
      </c>
      <c r="O243" s="19">
        <f>Tabela174681012142230322681619252731333624210121416182426283038402481012141620222628303234362426810121424610122426244262628262681026286236[[#This Row],[Total Acumulado]]-P243</f>
        <v>-75.2</v>
      </c>
      <c r="P243" s="48">
        <f>Tabela174681012142230322681619252731333624210121416182426283038402481012141620222628303234362426810121424610122426244262628262681026286236[[#This Row],[Uso diário]]*5</f>
        <v>94</v>
      </c>
      <c r="Q2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3" s="25">
        <v>1</v>
      </c>
    </row>
    <row r="244" spans="1:20" s="26" customFormat="1" x14ac:dyDescent="0.25">
      <c r="A244" s="16">
        <v>215659</v>
      </c>
      <c r="B244" s="30" t="s">
        <v>153</v>
      </c>
      <c r="C244" s="20" t="s">
        <v>641</v>
      </c>
      <c r="D244" s="20" t="s">
        <v>705</v>
      </c>
      <c r="E244" s="20" t="s">
        <v>2019</v>
      </c>
      <c r="F244" s="20" t="s">
        <v>2020</v>
      </c>
      <c r="G244" s="21">
        <v>18.8</v>
      </c>
      <c r="H244" s="16">
        <v>26</v>
      </c>
      <c r="I244" s="16">
        <v>2</v>
      </c>
      <c r="J2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44" s="22"/>
      <c r="L244" s="23">
        <v>18.8</v>
      </c>
      <c r="M244" s="23">
        <f>SUM(Tabela174681012142230322681619252731333624210121416182426283038402481012141620222628303234362426810121424610122426244262628262681026286236[[#This Row],[Saldo no cartão]:[Recarga Pendente]])</f>
        <v>18.8</v>
      </c>
      <c r="N244" s="19">
        <f>Tabela174681012142230322681619252731333624210121416182426283038402481012141620222628303234362426810121424610122426244262628262681026286236[[#This Row],[Uso diário]]*2</f>
        <v>37.6</v>
      </c>
      <c r="O244" s="19">
        <f>Tabela174681012142230322681619252731333624210121416182426283038402481012141620222628303234362426810121424610122426244262628262681026286236[[#This Row],[Total Acumulado]]-P244</f>
        <v>-75.2</v>
      </c>
      <c r="P244" s="48">
        <f>Tabela174681012142230322681619252731333624210121416182426283038402481012141620222628303234362426810121424610122426244262628262681026286236[[#This Row],[Uso diário]]*5</f>
        <v>94</v>
      </c>
      <c r="Q2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4" s="25">
        <v>1</v>
      </c>
    </row>
    <row r="245" spans="1:20" s="26" customFormat="1" x14ac:dyDescent="0.25">
      <c r="A245" s="16">
        <v>218149</v>
      </c>
      <c r="B245" s="30" t="s">
        <v>1152</v>
      </c>
      <c r="C245" s="20" t="s">
        <v>641</v>
      </c>
      <c r="D245" s="20" t="s">
        <v>705</v>
      </c>
      <c r="E245" s="20" t="s">
        <v>2021</v>
      </c>
      <c r="F245" s="20" t="s">
        <v>2022</v>
      </c>
      <c r="G245" s="21">
        <v>18.8</v>
      </c>
      <c r="H245" s="16">
        <v>26</v>
      </c>
      <c r="I245" s="16">
        <v>2</v>
      </c>
      <c r="J2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45" s="22"/>
      <c r="L245" s="23">
        <v>18.8</v>
      </c>
      <c r="M245" s="23">
        <f>SUM(Tabela174681012142230322681619252731333624210121416182426283038402481012141620222628303234362426810121424610122426244262628262681026286236[[#This Row],[Saldo no cartão]:[Recarga Pendente]])</f>
        <v>18.8</v>
      </c>
      <c r="N245" s="19">
        <f>Tabela174681012142230322681619252731333624210121416182426283038402481012141620222628303234362426810121424610122426244262628262681026286236[[#This Row],[Uso diário]]*2</f>
        <v>37.6</v>
      </c>
      <c r="O245" s="19">
        <f>Tabela174681012142230322681619252731333624210121416182426283038402481012141620222628303234362426810121424610122426244262628262681026286236[[#This Row],[Total Acumulado]]-P245</f>
        <v>-75.2</v>
      </c>
      <c r="P245" s="48">
        <f>Tabela174681012142230322681619252731333624210121416182426283038402481012141620222628303234362426810121424610122426244262628262681026286236[[#This Row],[Uso diário]]*5</f>
        <v>94</v>
      </c>
      <c r="Q2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5" s="25">
        <v>1</v>
      </c>
    </row>
    <row r="246" spans="1:20" s="26" customFormat="1" x14ac:dyDescent="0.25">
      <c r="A246" s="16">
        <v>218151</v>
      </c>
      <c r="B246" s="30" t="s">
        <v>154</v>
      </c>
      <c r="C246" s="20" t="s">
        <v>641</v>
      </c>
      <c r="D246" s="20" t="s">
        <v>705</v>
      </c>
      <c r="E246" s="20" t="s">
        <v>2023</v>
      </c>
      <c r="F246" s="20" t="s">
        <v>2024</v>
      </c>
      <c r="G246" s="21">
        <v>13.4</v>
      </c>
      <c r="H246" s="16">
        <v>26</v>
      </c>
      <c r="I246" s="16">
        <v>1</v>
      </c>
      <c r="J2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246" s="22"/>
      <c r="L246" s="23"/>
      <c r="M246" s="23">
        <f>SUM(Tabela174681012142230322681619252731333624210121416182426283038402481012141620222628303234362426810121424610122426244262628262681026286236[[#This Row],[Saldo no cartão]:[Recarga Pendente]])</f>
        <v>0</v>
      </c>
      <c r="N246" s="19">
        <f>Tabela174681012142230322681619252731333624210121416182426283038402481012141620222628303234362426810121424610122426244262628262681026286236[[#This Row],[Uso diário]]*2</f>
        <v>26.8</v>
      </c>
      <c r="O246" s="19">
        <f>Tabela174681012142230322681619252731333624210121416182426283038402481012141620222628303234362426810121424610122426244262628262681026286236[[#This Row],[Total Acumulado]]-P246</f>
        <v>-67</v>
      </c>
      <c r="P246" s="48">
        <f>Tabela174681012142230322681619252731333624210121416182426283038402481012141620222628303234362426810121424610122426244262628262681026286236[[#This Row],[Uso diário]]*5</f>
        <v>67</v>
      </c>
      <c r="Q2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2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6" s="25">
        <v>1</v>
      </c>
    </row>
    <row r="247" spans="1:20" s="26" customFormat="1" x14ac:dyDescent="0.25">
      <c r="A247" s="16">
        <v>218373</v>
      </c>
      <c r="B247" s="30" t="s">
        <v>1416</v>
      </c>
      <c r="C247" s="20" t="s">
        <v>641</v>
      </c>
      <c r="D247" s="20" t="s">
        <v>704</v>
      </c>
      <c r="E247" s="20" t="s">
        <v>2025</v>
      </c>
      <c r="F247" s="20" t="s">
        <v>2026</v>
      </c>
      <c r="G247" s="21">
        <v>18.8</v>
      </c>
      <c r="H247" s="16">
        <v>26</v>
      </c>
      <c r="I247" s="16"/>
      <c r="J2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47" s="22"/>
      <c r="L247" s="23"/>
      <c r="M247" s="23">
        <f>SUM(Tabela174681012142230322681619252731333624210121416182426283038402481012141620222628303234362426810121424610122426244262628262681026286236[[#This Row],[Saldo no cartão]:[Recarga Pendente]])</f>
        <v>0</v>
      </c>
      <c r="N247" s="19">
        <f>Tabela174681012142230322681619252731333624210121416182426283038402481012141620222628303234362426810121424610122426244262628262681026286236[[#This Row],[Uso diário]]*2</f>
        <v>37.6</v>
      </c>
      <c r="O247" s="19">
        <f>Tabela174681012142230322681619252731333624210121416182426283038402481012141620222628303234362426810121424610122426244262628262681026286236[[#This Row],[Total Acumulado]]-P247</f>
        <v>-94</v>
      </c>
      <c r="P247" s="48">
        <f>Tabela174681012142230322681619252731333624210121416182426283038402481012141620222628303234362426810121424610122426244262628262681026286236[[#This Row],[Uso diário]]*5</f>
        <v>94</v>
      </c>
      <c r="Q2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7" s="25">
        <v>1</v>
      </c>
    </row>
    <row r="248" spans="1:20" s="26" customFormat="1" x14ac:dyDescent="0.25">
      <c r="A248" s="16">
        <v>219187</v>
      </c>
      <c r="B248" s="30" t="s">
        <v>170</v>
      </c>
      <c r="C248" s="20" t="s">
        <v>641</v>
      </c>
      <c r="D248" s="20" t="s">
        <v>704</v>
      </c>
      <c r="E248" s="20" t="s">
        <v>2027</v>
      </c>
      <c r="F248" s="20" t="s">
        <v>2028</v>
      </c>
      <c r="G248" s="21">
        <v>18.8</v>
      </c>
      <c r="H248" s="16">
        <v>26</v>
      </c>
      <c r="I248" s="16">
        <v>3</v>
      </c>
      <c r="J2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248" s="22"/>
      <c r="L248" s="23"/>
      <c r="M248" s="23">
        <f>SUM(Tabela174681012142230322681619252731333624210121416182426283038402481012141620222628303234362426810121424610122426244262628262681026286236[[#This Row],[Saldo no cartão]:[Recarga Pendente]])</f>
        <v>0</v>
      </c>
      <c r="N248" s="19">
        <f>Tabela174681012142230322681619252731333624210121416182426283038402481012141620222628303234362426810121424610122426244262628262681026286236[[#This Row],[Uso diário]]*2</f>
        <v>37.6</v>
      </c>
      <c r="O248" s="19">
        <f>Tabela174681012142230322681619252731333624210121416182426283038402481012141620222628303234362426810121424610122426244262628262681026286236[[#This Row],[Total Acumulado]]-P248</f>
        <v>-94</v>
      </c>
      <c r="P248" s="48">
        <f>Tabela174681012142230322681619252731333624210121416182426283038402481012141620222628303234362426810121424610122426244262628262681026286236[[#This Row],[Uso diário]]*5</f>
        <v>94</v>
      </c>
      <c r="Q2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2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8" s="25">
        <v>1</v>
      </c>
    </row>
    <row r="249" spans="1:20" s="26" customFormat="1" x14ac:dyDescent="0.25">
      <c r="A249" s="16">
        <v>219273</v>
      </c>
      <c r="B249" s="30" t="s">
        <v>155</v>
      </c>
      <c r="C249" s="20" t="s">
        <v>641</v>
      </c>
      <c r="D249" s="20" t="s">
        <v>705</v>
      </c>
      <c r="E249" s="20" t="s">
        <v>2029</v>
      </c>
      <c r="F249" s="20" t="s">
        <v>2030</v>
      </c>
      <c r="G249" s="21">
        <v>18.8</v>
      </c>
      <c r="H249" s="16">
        <v>26</v>
      </c>
      <c r="I249" s="16">
        <v>2</v>
      </c>
      <c r="J2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49" s="22"/>
      <c r="L249" s="23">
        <v>37.6</v>
      </c>
      <c r="M249" s="23">
        <f>SUM(Tabela174681012142230322681619252731333624210121416182426283038402481012141620222628303234362426810121424610122426244262628262681026286236[[#This Row],[Saldo no cartão]:[Recarga Pendente]])</f>
        <v>37.6</v>
      </c>
      <c r="N249" s="19">
        <f>Tabela174681012142230322681619252731333624210121416182426283038402481012141620222628303234362426810121424610122426244262628262681026286236[[#This Row],[Uso diário]]*2</f>
        <v>37.6</v>
      </c>
      <c r="O249" s="19">
        <f>Tabela174681012142230322681619252731333624210121416182426283038402481012141620222628303234362426810121424610122426244262628262681026286236[[#This Row],[Total Acumulado]]-P249</f>
        <v>-56.4</v>
      </c>
      <c r="P249" s="48">
        <f>Tabela174681012142230322681619252731333624210121416182426283038402481012141620222628303234362426810121424610122426244262628262681026286236[[#This Row],[Uso diário]]*5</f>
        <v>94</v>
      </c>
      <c r="Q2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49" s="25">
        <v>1</v>
      </c>
    </row>
    <row r="250" spans="1:20" s="26" customFormat="1" x14ac:dyDescent="0.25">
      <c r="A250" s="16">
        <v>220950</v>
      </c>
      <c r="B250" s="30" t="s">
        <v>61</v>
      </c>
      <c r="C250" s="20" t="s">
        <v>641</v>
      </c>
      <c r="D250" s="20" t="s">
        <v>704</v>
      </c>
      <c r="E250" s="20" t="s">
        <v>2031</v>
      </c>
      <c r="F250" s="20" t="s">
        <v>2032</v>
      </c>
      <c r="G250" s="21">
        <v>13.4</v>
      </c>
      <c r="H250" s="16">
        <v>26</v>
      </c>
      <c r="I250" s="16">
        <v>1</v>
      </c>
      <c r="J2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250" s="22"/>
      <c r="L250" s="23">
        <v>13.4</v>
      </c>
      <c r="M250" s="23">
        <f>SUM(Tabela174681012142230322681619252731333624210121416182426283038402481012141620222628303234362426810121424610122426244262628262681026286236[[#This Row],[Saldo no cartão]:[Recarga Pendente]])</f>
        <v>13.4</v>
      </c>
      <c r="N250" s="19">
        <f>Tabela174681012142230322681619252731333624210121416182426283038402481012141620222628303234362426810121424610122426244262628262681026286236[[#This Row],[Uso diário]]*2</f>
        <v>26.8</v>
      </c>
      <c r="O250" s="19">
        <f>Tabela174681012142230322681619252731333624210121416182426283038402481012141620222628303234362426810121424610122426244262628262681026286236[[#This Row],[Total Acumulado]]-P250</f>
        <v>-53.6</v>
      </c>
      <c r="P250" s="48">
        <f>Tabela174681012142230322681619252731333624210121416182426283038402481012141620222628303234362426810121424610122426244262628262681026286236[[#This Row],[Uso diário]]*5</f>
        <v>67</v>
      </c>
      <c r="Q2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2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0" s="25">
        <v>1</v>
      </c>
    </row>
    <row r="251" spans="1:20" s="26" customFormat="1" x14ac:dyDescent="0.25">
      <c r="A251" s="16">
        <v>221946</v>
      </c>
      <c r="B251" s="30" t="s">
        <v>156</v>
      </c>
      <c r="C251" s="20" t="s">
        <v>641</v>
      </c>
      <c r="D251" s="20" t="s">
        <v>704</v>
      </c>
      <c r="E251" s="20" t="s">
        <v>2033</v>
      </c>
      <c r="F251" s="20" t="s">
        <v>2034</v>
      </c>
      <c r="G251" s="21">
        <v>18.8</v>
      </c>
      <c r="H251" s="16">
        <v>26</v>
      </c>
      <c r="I251" s="16">
        <v>5</v>
      </c>
      <c r="J2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251" s="22"/>
      <c r="L251" s="23"/>
      <c r="M251" s="23">
        <f>SUM(Tabela174681012142230322681619252731333624210121416182426283038402481012141620222628303234362426810121424610122426244262628262681026286236[[#This Row],[Saldo no cartão]:[Recarga Pendente]])</f>
        <v>0</v>
      </c>
      <c r="N251" s="19">
        <f>Tabela174681012142230322681619252731333624210121416182426283038402481012141620222628303234362426810121424610122426244262628262681026286236[[#This Row],[Uso diário]]*2</f>
        <v>37.6</v>
      </c>
      <c r="O251" s="19">
        <f>Tabela174681012142230322681619252731333624210121416182426283038402481012141620222628303234362426810121424610122426244262628262681026286236[[#This Row],[Total Acumulado]]-P251</f>
        <v>-94</v>
      </c>
      <c r="P251" s="48">
        <f>Tabela174681012142230322681619252731333624210121416182426283038402481012141620222628303234362426810121424610122426244262628262681026286236[[#This Row],[Uso diário]]*5</f>
        <v>94</v>
      </c>
      <c r="Q2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2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1" s="25">
        <v>1</v>
      </c>
    </row>
    <row r="252" spans="1:20" s="26" customFormat="1" x14ac:dyDescent="0.25">
      <c r="A252" s="16">
        <v>222231</v>
      </c>
      <c r="B252" s="30" t="s">
        <v>1417</v>
      </c>
      <c r="C252" s="20" t="s">
        <v>641</v>
      </c>
      <c r="D252" s="20" t="s">
        <v>705</v>
      </c>
      <c r="E252" s="20" t="s">
        <v>2035</v>
      </c>
      <c r="F252" s="20" t="s">
        <v>2036</v>
      </c>
      <c r="G252" s="21">
        <v>18.8</v>
      </c>
      <c r="H252" s="16">
        <v>26</v>
      </c>
      <c r="I252" s="16">
        <v>1</v>
      </c>
      <c r="J2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52" s="22"/>
      <c r="L252" s="23">
        <v>37.6</v>
      </c>
      <c r="M252" s="23">
        <f>SUM(Tabela174681012142230322681619252731333624210121416182426283038402481012141620222628303234362426810121424610122426244262628262681026286236[[#This Row],[Saldo no cartão]:[Recarga Pendente]])</f>
        <v>37.6</v>
      </c>
      <c r="N252" s="19">
        <f>Tabela174681012142230322681619252731333624210121416182426283038402481012141620222628303234362426810121424610122426244262628262681026286236[[#This Row],[Uso diário]]*2</f>
        <v>37.6</v>
      </c>
      <c r="O252" s="19">
        <f>Tabela174681012142230322681619252731333624210121416182426283038402481012141620222628303234362426810121424610122426244262628262681026286236[[#This Row],[Total Acumulado]]-P252</f>
        <v>-56.4</v>
      </c>
      <c r="P252" s="48">
        <f>Tabela174681012142230322681619252731333624210121416182426283038402481012141620222628303234362426810121424610122426244262628262681026286236[[#This Row],[Uso diário]]*5</f>
        <v>94</v>
      </c>
      <c r="Q2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2" s="25">
        <v>1</v>
      </c>
    </row>
    <row r="253" spans="1:20" s="26" customFormat="1" x14ac:dyDescent="0.25">
      <c r="A253" s="16">
        <v>222718</v>
      </c>
      <c r="B253" s="30" t="s">
        <v>1153</v>
      </c>
      <c r="C253" s="20" t="s">
        <v>641</v>
      </c>
      <c r="D253" s="20" t="s">
        <v>705</v>
      </c>
      <c r="E253" s="20" t="s">
        <v>2037</v>
      </c>
      <c r="F253" s="20" t="s">
        <v>2038</v>
      </c>
      <c r="G253" s="21">
        <v>18.8</v>
      </c>
      <c r="H253" s="16">
        <v>26</v>
      </c>
      <c r="I253" s="16">
        <v>2</v>
      </c>
      <c r="J2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253" s="22"/>
      <c r="L253" s="23">
        <v>56.4</v>
      </c>
      <c r="M253" s="23">
        <f>SUM(Tabela174681012142230322681619252731333624210121416182426283038402481012141620222628303234362426810121424610122426244262628262681026286236[[#This Row],[Saldo no cartão]:[Recarga Pendente]])</f>
        <v>56.4</v>
      </c>
      <c r="N253" s="19">
        <f>Tabela174681012142230322681619252731333624210121416182426283038402481012141620222628303234362426810121424610122426244262628262681026286236[[#This Row],[Uso diário]]*2</f>
        <v>37.6</v>
      </c>
      <c r="O253" s="19">
        <f>Tabela174681012142230322681619252731333624210121416182426283038402481012141620222628303234362426810121424610122426244262628262681026286236[[#This Row],[Total Acumulado]]-P253</f>
        <v>-37.6</v>
      </c>
      <c r="P253" s="48">
        <f>Tabela174681012142230322681619252731333624210121416182426283038402481012141620222628303234362426810121424610122426244262628262681026286236[[#This Row],[Uso diário]]*5</f>
        <v>94</v>
      </c>
      <c r="Q2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2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3" s="25">
        <v>1</v>
      </c>
    </row>
    <row r="254" spans="1:20" s="26" customFormat="1" x14ac:dyDescent="0.25">
      <c r="A254" s="16">
        <v>223048</v>
      </c>
      <c r="B254" s="30" t="s">
        <v>157</v>
      </c>
      <c r="C254" s="20" t="s">
        <v>641</v>
      </c>
      <c r="D254" s="20" t="s">
        <v>705</v>
      </c>
      <c r="E254" s="20" t="s">
        <v>2039</v>
      </c>
      <c r="F254" s="20" t="s">
        <v>2040</v>
      </c>
      <c r="G254" s="21">
        <v>18.8</v>
      </c>
      <c r="H254" s="16">
        <v>26</v>
      </c>
      <c r="I254" s="16">
        <v>1</v>
      </c>
      <c r="J2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54" s="22"/>
      <c r="L254" s="23">
        <v>18.8</v>
      </c>
      <c r="M254" s="23">
        <f>SUM(Tabela174681012142230322681619252731333624210121416182426283038402481012141620222628303234362426810121424610122426244262628262681026286236[[#This Row],[Saldo no cartão]:[Recarga Pendente]])</f>
        <v>18.8</v>
      </c>
      <c r="N254" s="19">
        <f>Tabela174681012142230322681619252731333624210121416182426283038402481012141620222628303234362426810121424610122426244262628262681026286236[[#This Row],[Uso diário]]*2</f>
        <v>37.6</v>
      </c>
      <c r="O254" s="19">
        <f>Tabela174681012142230322681619252731333624210121416182426283038402481012141620222628303234362426810121424610122426244262628262681026286236[[#This Row],[Total Acumulado]]-P254</f>
        <v>-75.2</v>
      </c>
      <c r="P254" s="48">
        <f>Tabela174681012142230322681619252731333624210121416182426283038402481012141620222628303234362426810121424610122426244262628262681026286236[[#This Row],[Uso diário]]*5</f>
        <v>94</v>
      </c>
      <c r="Q2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4" s="25">
        <v>1</v>
      </c>
    </row>
    <row r="255" spans="1:20" s="26" customFormat="1" x14ac:dyDescent="0.25">
      <c r="A255" s="16">
        <v>223715</v>
      </c>
      <c r="B255" s="30" t="s">
        <v>158</v>
      </c>
      <c r="C255" s="20" t="s">
        <v>641</v>
      </c>
      <c r="D255" s="20" t="s">
        <v>705</v>
      </c>
      <c r="E255" s="20" t="s">
        <v>2041</v>
      </c>
      <c r="F255" s="20" t="s">
        <v>2042</v>
      </c>
      <c r="G255" s="21">
        <v>18.8</v>
      </c>
      <c r="H255" s="16">
        <v>26</v>
      </c>
      <c r="I255" s="16">
        <v>1</v>
      </c>
      <c r="J2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55" s="22"/>
      <c r="L255" s="23"/>
      <c r="M255" s="23">
        <f>SUM(Tabela174681012142230322681619252731333624210121416182426283038402481012141620222628303234362426810121424610122426244262628262681026286236[[#This Row],[Saldo no cartão]:[Recarga Pendente]])</f>
        <v>0</v>
      </c>
      <c r="N255" s="19">
        <f>Tabela174681012142230322681619252731333624210121416182426283038402481012141620222628303234362426810121424610122426244262628262681026286236[[#This Row],[Uso diário]]*2</f>
        <v>37.6</v>
      </c>
      <c r="O255" s="19">
        <f>Tabela174681012142230322681619252731333624210121416182426283038402481012141620222628303234362426810121424610122426244262628262681026286236[[#This Row],[Total Acumulado]]-P255</f>
        <v>-94</v>
      </c>
      <c r="P255" s="48">
        <f>Tabela174681012142230322681619252731333624210121416182426283038402481012141620222628303234362426810121424610122426244262628262681026286236[[#This Row],[Uso diário]]*5</f>
        <v>94</v>
      </c>
      <c r="Q2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5" s="25">
        <v>1</v>
      </c>
    </row>
    <row r="256" spans="1:20" s="26" customFormat="1" x14ac:dyDescent="0.25">
      <c r="A256" s="16">
        <v>223935</v>
      </c>
      <c r="B256" s="30" t="s">
        <v>159</v>
      </c>
      <c r="C256" s="20" t="s">
        <v>641</v>
      </c>
      <c r="D256" s="20" t="s">
        <v>705</v>
      </c>
      <c r="E256" s="20" t="s">
        <v>2043</v>
      </c>
      <c r="F256" s="20" t="s">
        <v>2044</v>
      </c>
      <c r="G256" s="21">
        <v>18.8</v>
      </c>
      <c r="H256" s="16">
        <v>26</v>
      </c>
      <c r="I256" s="16">
        <v>1</v>
      </c>
      <c r="J2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56" s="22"/>
      <c r="L256" s="23"/>
      <c r="M256" s="23">
        <f>SUM(Tabela174681012142230322681619252731333624210121416182426283038402481012141620222628303234362426810121424610122426244262628262681026286236[[#This Row],[Saldo no cartão]:[Recarga Pendente]])</f>
        <v>0</v>
      </c>
      <c r="N256" s="19">
        <f>Tabela174681012142230322681619252731333624210121416182426283038402481012141620222628303234362426810121424610122426244262628262681026286236[[#This Row],[Uso diário]]*2</f>
        <v>37.6</v>
      </c>
      <c r="O256" s="19">
        <f>Tabela174681012142230322681619252731333624210121416182426283038402481012141620222628303234362426810121424610122426244262628262681026286236[[#This Row],[Total Acumulado]]-P256</f>
        <v>-94</v>
      </c>
      <c r="P256" s="48">
        <f>Tabela174681012142230322681619252731333624210121416182426283038402481012141620222628303234362426810121424610122426244262628262681026286236[[#This Row],[Uso diário]]*5</f>
        <v>94</v>
      </c>
      <c r="Q2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6" s="25">
        <v>1</v>
      </c>
    </row>
    <row r="257" spans="1:20" s="26" customFormat="1" x14ac:dyDescent="0.25">
      <c r="A257" s="16">
        <v>226381</v>
      </c>
      <c r="B257" s="30" t="s">
        <v>160</v>
      </c>
      <c r="C257" s="20" t="s">
        <v>641</v>
      </c>
      <c r="D257" s="20" t="s">
        <v>704</v>
      </c>
      <c r="E257" s="20" t="s">
        <v>2045</v>
      </c>
      <c r="F257" s="20" t="s">
        <v>2046</v>
      </c>
      <c r="G257" s="21">
        <v>10</v>
      </c>
      <c r="H257" s="16">
        <v>26</v>
      </c>
      <c r="I257" s="16">
        <v>1</v>
      </c>
      <c r="J2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257" s="22"/>
      <c r="L257" s="23"/>
      <c r="M257" s="23">
        <f>SUM(Tabela174681012142230322681619252731333624210121416182426283038402481012141620222628303234362426810121424610122426244262628262681026286236[[#This Row],[Saldo no cartão]:[Recarga Pendente]])</f>
        <v>0</v>
      </c>
      <c r="N257" s="19">
        <f>Tabela174681012142230322681619252731333624210121416182426283038402481012141620222628303234362426810121424610122426244262628262681026286236[[#This Row],[Uso diário]]*2</f>
        <v>20</v>
      </c>
      <c r="O257" s="19">
        <f>Tabela174681012142230322681619252731333624210121416182426283038402481012141620222628303234362426810121424610122426244262628262681026286236[[#This Row],[Total Acumulado]]-P257</f>
        <v>-50</v>
      </c>
      <c r="P257" s="48">
        <f>Tabela174681012142230322681619252731333624210121416182426283038402481012141620222628303234362426810121424610122426244262628262681026286236[[#This Row],[Uso diário]]*5</f>
        <v>50</v>
      </c>
      <c r="Q2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2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7" s="25">
        <v>1</v>
      </c>
    </row>
    <row r="258" spans="1:20" s="26" customFormat="1" x14ac:dyDescent="0.25">
      <c r="A258" s="16">
        <v>231237</v>
      </c>
      <c r="B258" s="30" t="s">
        <v>789</v>
      </c>
      <c r="C258" s="20" t="s">
        <v>641</v>
      </c>
      <c r="D258" s="20" t="s">
        <v>704</v>
      </c>
      <c r="E258" s="20" t="s">
        <v>2047</v>
      </c>
      <c r="F258" s="20" t="s">
        <v>2048</v>
      </c>
      <c r="G258" s="21">
        <v>13.4</v>
      </c>
      <c r="H258" s="16">
        <v>11</v>
      </c>
      <c r="I258" s="16"/>
      <c r="J2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147.4</v>
      </c>
      <c r="K258" s="22"/>
      <c r="L258" s="23"/>
      <c r="M258" s="23">
        <f>SUM(Tabela174681012142230322681619252731333624210121416182426283038402481012141620222628303234362426810121424610122426244262628262681026286236[[#This Row],[Saldo no cartão]:[Recarga Pendente]])</f>
        <v>0</v>
      </c>
      <c r="N258" s="19">
        <f>Tabela174681012142230322681619252731333624210121416182426283038402481012141620222628303234362426810121424610122426244262628262681026286236[[#This Row],[Uso diário]]*2</f>
        <v>26.8</v>
      </c>
      <c r="O258" s="19">
        <f>Tabela174681012142230322681619252731333624210121416182426283038402481012141620222628303234362426810121424610122426244262628262681026286236[[#This Row],[Total Acumulado]]-P258</f>
        <v>-67</v>
      </c>
      <c r="P258" s="48">
        <f>Tabela174681012142230322681619252731333624210121416182426283038402481012141620222628303234362426810121424610122426244262628262681026286236[[#This Row],[Uso diário]]*5</f>
        <v>67</v>
      </c>
      <c r="Q2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147.4</v>
      </c>
      <c r="S2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8" s="25">
        <v>1</v>
      </c>
    </row>
    <row r="259" spans="1:20" s="26" customFormat="1" x14ac:dyDescent="0.25">
      <c r="A259" s="16">
        <v>231999</v>
      </c>
      <c r="B259" s="30" t="s">
        <v>817</v>
      </c>
      <c r="C259" s="20" t="s">
        <v>641</v>
      </c>
      <c r="D259" s="20" t="s">
        <v>704</v>
      </c>
      <c r="E259" s="20" t="s">
        <v>2049</v>
      </c>
      <c r="F259" s="20" t="s">
        <v>2050</v>
      </c>
      <c r="G259" s="21">
        <v>13.4</v>
      </c>
      <c r="H259" s="16">
        <v>26</v>
      </c>
      <c r="I259" s="16">
        <v>1</v>
      </c>
      <c r="J2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259" s="22"/>
      <c r="L259" s="23"/>
      <c r="M259" s="23">
        <f>SUM(Tabela174681012142230322681619252731333624210121416182426283038402481012141620222628303234362426810121424610122426244262628262681026286236[[#This Row],[Saldo no cartão]:[Recarga Pendente]])</f>
        <v>0</v>
      </c>
      <c r="N259" s="19">
        <f>Tabela174681012142230322681619252731333624210121416182426283038402481012141620222628303234362426810121424610122426244262628262681026286236[[#This Row],[Uso diário]]*2</f>
        <v>26.8</v>
      </c>
      <c r="O259" s="19">
        <f>Tabela174681012142230322681619252731333624210121416182426283038402481012141620222628303234362426810121424610122426244262628262681026286236[[#This Row],[Total Acumulado]]-P259</f>
        <v>-67</v>
      </c>
      <c r="P259" s="48">
        <f>Tabela174681012142230322681619252731333624210121416182426283038402481012141620222628303234362426810121424610122426244262628262681026286236[[#This Row],[Uso diário]]*5</f>
        <v>67</v>
      </c>
      <c r="Q2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2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59" s="25">
        <v>1</v>
      </c>
    </row>
    <row r="260" spans="1:20" s="26" customFormat="1" x14ac:dyDescent="0.25">
      <c r="A260" s="16">
        <v>209363</v>
      </c>
      <c r="B260" s="30" t="s">
        <v>161</v>
      </c>
      <c r="C260" s="20" t="s">
        <v>642</v>
      </c>
      <c r="D260" s="20" t="s">
        <v>706</v>
      </c>
      <c r="E260" s="20" t="s">
        <v>2051</v>
      </c>
      <c r="F260" s="20" t="s">
        <v>2052</v>
      </c>
      <c r="G260" s="21">
        <v>13.4</v>
      </c>
      <c r="H260" s="16">
        <v>22</v>
      </c>
      <c r="I260" s="16"/>
      <c r="J2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60" s="22"/>
      <c r="L260" s="23"/>
      <c r="M260" s="23">
        <f>SUM(Tabela174681012142230322681619252731333624210121416182426283038402481012141620222628303234362426810121424610122426244262628262681026286236[[#This Row],[Saldo no cartão]:[Recarga Pendente]])</f>
        <v>0</v>
      </c>
      <c r="N260" s="19">
        <f>Tabela174681012142230322681619252731333624210121416182426283038402481012141620222628303234362426810121424610122426244262628262681026286236[[#This Row],[Uso diário]]*2</f>
        <v>26.8</v>
      </c>
      <c r="O260" s="19">
        <f>Tabela174681012142230322681619252731333624210121416182426283038402481012141620222628303234362426810121424610122426244262628262681026286236[[#This Row],[Total Acumulado]]-P260</f>
        <v>-67</v>
      </c>
      <c r="P260" s="48">
        <f>Tabela174681012142230322681619252731333624210121416182426283038402481012141620222628303234362426810121424610122426244262628262681026286236[[#This Row],[Uso diário]]*5</f>
        <v>67</v>
      </c>
      <c r="Q2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0" s="25">
        <v>1</v>
      </c>
    </row>
    <row r="261" spans="1:20" s="26" customFormat="1" x14ac:dyDescent="0.25">
      <c r="A261" s="16">
        <v>203783</v>
      </c>
      <c r="B261" s="30" t="s">
        <v>162</v>
      </c>
      <c r="C261" s="20" t="s">
        <v>643</v>
      </c>
      <c r="D261" s="20" t="s">
        <v>707</v>
      </c>
      <c r="E261" s="20" t="s">
        <v>2053</v>
      </c>
      <c r="F261" s="20" t="s">
        <v>2054</v>
      </c>
      <c r="G261" s="21">
        <v>13.4</v>
      </c>
      <c r="H261" s="16">
        <v>22</v>
      </c>
      <c r="I261" s="16">
        <v>1</v>
      </c>
      <c r="J2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261" s="22"/>
      <c r="L261" s="23"/>
      <c r="M261" s="23">
        <f>SUM(Tabela174681012142230322681619252731333624210121416182426283038402481012141620222628303234362426810121424610122426244262628262681026286236[[#This Row],[Saldo no cartão]:[Recarga Pendente]])</f>
        <v>0</v>
      </c>
      <c r="N261" s="19">
        <f>Tabela174681012142230322681619252731333624210121416182426283038402481012141620222628303234362426810121424610122426244262628262681026286236[[#This Row],[Uso diário]]*2</f>
        <v>26.8</v>
      </c>
      <c r="O261" s="19">
        <f>Tabela174681012142230322681619252731333624210121416182426283038402481012141620222628303234362426810121424610122426244262628262681026286236[[#This Row],[Total Acumulado]]-P261</f>
        <v>-67</v>
      </c>
      <c r="P261" s="48">
        <f>Tabela174681012142230322681619252731333624210121416182426283038402481012141620222628303234362426810121424610122426244262628262681026286236[[#This Row],[Uso diário]]*5</f>
        <v>67</v>
      </c>
      <c r="Q2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2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1" s="25">
        <v>1</v>
      </c>
    </row>
    <row r="262" spans="1:20" s="26" customFormat="1" x14ac:dyDescent="0.25">
      <c r="A262" s="16">
        <v>207605</v>
      </c>
      <c r="B262" s="30" t="s">
        <v>163</v>
      </c>
      <c r="C262" s="20" t="s">
        <v>643</v>
      </c>
      <c r="D262" s="20" t="s">
        <v>707</v>
      </c>
      <c r="E262" s="20" t="s">
        <v>2055</v>
      </c>
      <c r="F262" s="20" t="s">
        <v>2056</v>
      </c>
      <c r="G262" s="21">
        <v>13.4</v>
      </c>
      <c r="H262" s="16">
        <v>22</v>
      </c>
      <c r="I262" s="16"/>
      <c r="J2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62" s="22"/>
      <c r="L262" s="23"/>
      <c r="M262" s="23">
        <f>SUM(Tabela174681012142230322681619252731333624210121416182426283038402481012141620222628303234362426810121424610122426244262628262681026286236[[#This Row],[Saldo no cartão]:[Recarga Pendente]])</f>
        <v>0</v>
      </c>
      <c r="N262" s="19">
        <f>Tabela174681012142230322681619252731333624210121416182426283038402481012141620222628303234362426810121424610122426244262628262681026286236[[#This Row],[Uso diário]]*2</f>
        <v>26.8</v>
      </c>
      <c r="O262" s="19">
        <f>Tabela174681012142230322681619252731333624210121416182426283038402481012141620222628303234362426810121424610122426244262628262681026286236[[#This Row],[Total Acumulado]]-P262</f>
        <v>-67</v>
      </c>
      <c r="P262" s="48">
        <f>Tabela174681012142230322681619252731333624210121416182426283038402481012141620222628303234362426810121424610122426244262628262681026286236[[#This Row],[Uso diário]]*5</f>
        <v>67</v>
      </c>
      <c r="Q2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2" s="25">
        <v>1</v>
      </c>
    </row>
    <row r="263" spans="1:20" s="26" customFormat="1" x14ac:dyDescent="0.25">
      <c r="A263" s="16">
        <v>219229</v>
      </c>
      <c r="B263" s="30" t="s">
        <v>164</v>
      </c>
      <c r="C263" s="20" t="s">
        <v>643</v>
      </c>
      <c r="D263" s="20" t="s">
        <v>707</v>
      </c>
      <c r="E263" s="20" t="s">
        <v>2057</v>
      </c>
      <c r="F263" s="20" t="s">
        <v>2058</v>
      </c>
      <c r="G263" s="21">
        <v>26.8</v>
      </c>
      <c r="H263" s="16">
        <v>22</v>
      </c>
      <c r="I263" s="16"/>
      <c r="J2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589.6</v>
      </c>
      <c r="K263" s="22"/>
      <c r="L263" s="23"/>
      <c r="M263" s="23">
        <f>SUM(Tabela174681012142230322681619252731333624210121416182426283038402481012141620222628303234362426810121424610122426244262628262681026286236[[#This Row],[Saldo no cartão]:[Recarga Pendente]])</f>
        <v>0</v>
      </c>
      <c r="N263" s="19">
        <f>Tabela174681012142230322681619252731333624210121416182426283038402481012141620222628303234362426810121424610122426244262628262681026286236[[#This Row],[Uso diário]]*2</f>
        <v>53.6</v>
      </c>
      <c r="O263" s="19">
        <f>Tabela174681012142230322681619252731333624210121416182426283038402481012141620222628303234362426810121424610122426244262628262681026286236[[#This Row],[Total Acumulado]]-P263</f>
        <v>-134</v>
      </c>
      <c r="P263" s="48">
        <f>Tabela174681012142230322681619252731333624210121416182426283038402481012141620222628303234362426810121424610122426244262628262681026286236[[#This Row],[Uso diário]]*5</f>
        <v>134</v>
      </c>
      <c r="Q2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589.6</v>
      </c>
      <c r="S2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3" s="25">
        <v>1</v>
      </c>
    </row>
    <row r="264" spans="1:20" s="26" customFormat="1" x14ac:dyDescent="0.25">
      <c r="A264" s="16">
        <v>221960</v>
      </c>
      <c r="B264" s="30" t="s">
        <v>67</v>
      </c>
      <c r="C264" s="20" t="s">
        <v>643</v>
      </c>
      <c r="D264" s="20" t="s">
        <v>709</v>
      </c>
      <c r="E264" s="20" t="s">
        <v>2059</v>
      </c>
      <c r="F264" s="20" t="s">
        <v>2060</v>
      </c>
      <c r="G264" s="21">
        <v>10</v>
      </c>
      <c r="H264" s="16">
        <v>22</v>
      </c>
      <c r="I264" s="16"/>
      <c r="J2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264" s="22"/>
      <c r="L264" s="23"/>
      <c r="M264" s="23">
        <f>SUM(Tabela174681012142230322681619252731333624210121416182426283038402481012141620222628303234362426810121424610122426244262628262681026286236[[#This Row],[Saldo no cartão]:[Recarga Pendente]])</f>
        <v>0</v>
      </c>
      <c r="N264" s="19">
        <f>Tabela174681012142230322681619252731333624210121416182426283038402481012141620222628303234362426810121424610122426244262628262681026286236[[#This Row],[Uso diário]]*2</f>
        <v>20</v>
      </c>
      <c r="O264" s="19">
        <f>Tabela174681012142230322681619252731333624210121416182426283038402481012141620222628303234362426810121424610122426244262628262681026286236[[#This Row],[Total Acumulado]]-P264</f>
        <v>-50</v>
      </c>
      <c r="P264" s="48">
        <f>Tabela174681012142230322681619252731333624210121416182426283038402481012141620222628303234362426810121424610122426244262628262681026286236[[#This Row],[Uso diário]]*5</f>
        <v>50</v>
      </c>
      <c r="Q2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2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4" s="25">
        <v>1</v>
      </c>
    </row>
    <row r="265" spans="1:20" s="26" customFormat="1" x14ac:dyDescent="0.25">
      <c r="A265" s="16">
        <v>223066</v>
      </c>
      <c r="B265" s="30" t="s">
        <v>165</v>
      </c>
      <c r="C265" s="20" t="s">
        <v>643</v>
      </c>
      <c r="D265" s="20" t="s">
        <v>708</v>
      </c>
      <c r="E265" s="20" t="s">
        <v>2061</v>
      </c>
      <c r="F265" s="20" t="s">
        <v>2062</v>
      </c>
      <c r="G265" s="21">
        <v>16.2</v>
      </c>
      <c r="H265" s="16">
        <v>22</v>
      </c>
      <c r="I265" s="16"/>
      <c r="J2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356.4</v>
      </c>
      <c r="K265" s="22"/>
      <c r="L265" s="23"/>
      <c r="M265" s="23">
        <f>SUM(Tabela174681012142230322681619252731333624210121416182426283038402481012141620222628303234362426810121424610122426244262628262681026286236[[#This Row],[Saldo no cartão]:[Recarga Pendente]])</f>
        <v>0</v>
      </c>
      <c r="N265" s="19">
        <f>Tabela174681012142230322681619252731333624210121416182426283038402481012141620222628303234362426810121424610122426244262628262681026286236[[#This Row],[Uso diário]]*2</f>
        <v>32.4</v>
      </c>
      <c r="O265" s="19">
        <f>Tabela174681012142230322681619252731333624210121416182426283038402481012141620222628303234362426810121424610122426244262628262681026286236[[#This Row],[Total Acumulado]]-P265</f>
        <v>-81</v>
      </c>
      <c r="P265" s="48">
        <f>Tabela174681012142230322681619252731333624210121416182426283038402481012141620222628303234362426810121424610122426244262628262681026286236[[#This Row],[Uso diário]]*5</f>
        <v>81</v>
      </c>
      <c r="Q2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356.4</v>
      </c>
      <c r="S2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5" s="25">
        <v>1</v>
      </c>
    </row>
    <row r="266" spans="1:20" s="26" customFormat="1" x14ac:dyDescent="0.25">
      <c r="A266" s="16">
        <v>234391</v>
      </c>
      <c r="B266" s="30" t="s">
        <v>1277</v>
      </c>
      <c r="C266" s="20" t="s">
        <v>643</v>
      </c>
      <c r="D266" s="20" t="s">
        <v>1304</v>
      </c>
      <c r="E266" s="20" t="s">
        <v>2063</v>
      </c>
      <c r="F266" s="20" t="s">
        <v>2064</v>
      </c>
      <c r="G266" s="21">
        <v>18.8</v>
      </c>
      <c r="H266" s="16">
        <v>22</v>
      </c>
      <c r="I266" s="16">
        <v>3</v>
      </c>
      <c r="J2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266" s="22"/>
      <c r="L266" s="23"/>
      <c r="M266" s="23">
        <f>SUM(Tabela174681012142230322681619252731333624210121416182426283038402481012141620222628303234362426810121424610122426244262628262681026286236[[#This Row],[Saldo no cartão]:[Recarga Pendente]])</f>
        <v>0</v>
      </c>
      <c r="N266" s="19">
        <f>Tabela174681012142230322681619252731333624210121416182426283038402481012141620222628303234362426810121424610122426244262628262681026286236[[#This Row],[Uso diário]]*2</f>
        <v>37.6</v>
      </c>
      <c r="O266" s="19">
        <f>Tabela174681012142230322681619252731333624210121416182426283038402481012141620222628303234362426810121424610122426244262628262681026286236[[#This Row],[Total Acumulado]]-P266</f>
        <v>-94</v>
      </c>
      <c r="P266" s="48">
        <f>Tabela174681012142230322681619252731333624210121416182426283038402481012141620222628303234362426810121424610122426244262628262681026286236[[#This Row],[Uso diário]]*5</f>
        <v>94</v>
      </c>
      <c r="Q2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2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6" s="25">
        <v>1</v>
      </c>
    </row>
    <row r="267" spans="1:20" s="26" customFormat="1" x14ac:dyDescent="0.25">
      <c r="A267" s="16">
        <v>214228</v>
      </c>
      <c r="B267" s="30" t="s">
        <v>166</v>
      </c>
      <c r="C267" s="20" t="s">
        <v>644</v>
      </c>
      <c r="D267" s="20" t="s">
        <v>779</v>
      </c>
      <c r="E267" s="20" t="s">
        <v>2065</v>
      </c>
      <c r="F267" s="20" t="s">
        <v>2066</v>
      </c>
      <c r="G267" s="21">
        <v>13.4</v>
      </c>
      <c r="H267" s="16">
        <v>22</v>
      </c>
      <c r="I267" s="16"/>
      <c r="J2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267" s="22"/>
      <c r="L267" s="23"/>
      <c r="M267" s="23">
        <f>SUM(Tabela174681012142230322681619252731333624210121416182426283038402481012141620222628303234362426810121424610122426244262628262681026286236[[#This Row],[Saldo no cartão]:[Recarga Pendente]])</f>
        <v>0</v>
      </c>
      <c r="N267" s="19">
        <f>Tabela174681012142230322681619252731333624210121416182426283038402481012141620222628303234362426810121424610122426244262628262681026286236[[#This Row],[Uso diário]]*2</f>
        <v>26.8</v>
      </c>
      <c r="O267" s="19">
        <f>Tabela174681012142230322681619252731333624210121416182426283038402481012141620222628303234362426810121424610122426244262628262681026286236[[#This Row],[Total Acumulado]]-P267</f>
        <v>-67</v>
      </c>
      <c r="P267" s="48">
        <f>Tabela174681012142230322681619252731333624210121416182426283038402481012141620222628303234362426810121424610122426244262628262681026286236[[#This Row],[Uso diário]]*5</f>
        <v>67</v>
      </c>
      <c r="Q2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2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7" s="25">
        <v>1</v>
      </c>
    </row>
    <row r="268" spans="1:20" s="26" customFormat="1" x14ac:dyDescent="0.25">
      <c r="A268" s="16">
        <v>214486</v>
      </c>
      <c r="B268" s="30" t="s">
        <v>1418</v>
      </c>
      <c r="C268" s="20" t="s">
        <v>644</v>
      </c>
      <c r="D268" s="20" t="s">
        <v>779</v>
      </c>
      <c r="E268" s="20" t="s">
        <v>2067</v>
      </c>
      <c r="F268" s="20" t="s">
        <v>2068</v>
      </c>
      <c r="G268" s="21">
        <v>13.4</v>
      </c>
      <c r="H268" s="16">
        <v>22</v>
      </c>
      <c r="I268" s="16">
        <v>1</v>
      </c>
      <c r="J2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268" s="22"/>
      <c r="L268" s="23"/>
      <c r="M268" s="23">
        <f>SUM(Tabela174681012142230322681619252731333624210121416182426283038402481012141620222628303234362426810121424610122426244262628262681026286236[[#This Row],[Saldo no cartão]:[Recarga Pendente]])</f>
        <v>0</v>
      </c>
      <c r="N268" s="19">
        <f>Tabela174681012142230322681619252731333624210121416182426283038402481012141620222628303234362426810121424610122426244262628262681026286236[[#This Row],[Uso diário]]*2</f>
        <v>26.8</v>
      </c>
      <c r="O268" s="19">
        <f>Tabela174681012142230322681619252731333624210121416182426283038402481012141620222628303234362426810121424610122426244262628262681026286236[[#This Row],[Total Acumulado]]-P268</f>
        <v>-67</v>
      </c>
      <c r="P268" s="48">
        <f>Tabela174681012142230322681619252731333624210121416182426283038402481012141620222628303234362426810121424610122426244262628262681026286236[[#This Row],[Uso diário]]*5</f>
        <v>67</v>
      </c>
      <c r="Q2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2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8" s="25">
        <v>1</v>
      </c>
    </row>
    <row r="269" spans="1:20" s="26" customFormat="1" x14ac:dyDescent="0.25">
      <c r="A269" s="16">
        <v>224057</v>
      </c>
      <c r="B269" s="30" t="s">
        <v>167</v>
      </c>
      <c r="C269" s="20" t="s">
        <v>644</v>
      </c>
      <c r="D269" s="20" t="s">
        <v>710</v>
      </c>
      <c r="E269" s="20" t="s">
        <v>2069</v>
      </c>
      <c r="F269" s="20" t="s">
        <v>2070</v>
      </c>
      <c r="G269" s="21">
        <v>18.8</v>
      </c>
      <c r="H269" s="16">
        <v>22</v>
      </c>
      <c r="I269" s="16">
        <v>2</v>
      </c>
      <c r="J2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269" s="22"/>
      <c r="L269" s="23"/>
      <c r="M269" s="23">
        <f>SUM(Tabela174681012142230322681619252731333624210121416182426283038402481012141620222628303234362426810121424610122426244262628262681026286236[[#This Row],[Saldo no cartão]:[Recarga Pendente]])</f>
        <v>0</v>
      </c>
      <c r="N269" s="19">
        <f>Tabela174681012142230322681619252731333624210121416182426283038402481012141620222628303234362426810121424610122426244262628262681026286236[[#This Row],[Uso diário]]*2</f>
        <v>37.6</v>
      </c>
      <c r="O269" s="19">
        <f>Tabela174681012142230322681619252731333624210121416182426283038402481012141620222628303234362426810121424610122426244262628262681026286236[[#This Row],[Total Acumulado]]-P269</f>
        <v>-94</v>
      </c>
      <c r="P269" s="48">
        <f>Tabela174681012142230322681619252731333624210121416182426283038402481012141620222628303234362426810121424610122426244262628262681026286236[[#This Row],[Uso diário]]*5</f>
        <v>94</v>
      </c>
      <c r="Q2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2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69" s="25">
        <v>1</v>
      </c>
    </row>
    <row r="270" spans="1:20" s="26" customFormat="1" x14ac:dyDescent="0.25">
      <c r="A270" s="16">
        <v>211749</v>
      </c>
      <c r="B270" s="30" t="s">
        <v>168</v>
      </c>
      <c r="C270" s="20" t="s">
        <v>645</v>
      </c>
      <c r="D270" s="20" t="s">
        <v>711</v>
      </c>
      <c r="E270" s="20" t="s">
        <v>2071</v>
      </c>
      <c r="F270" s="20" t="s">
        <v>2072</v>
      </c>
      <c r="G270" s="21">
        <v>18.8</v>
      </c>
      <c r="H270" s="16">
        <v>26</v>
      </c>
      <c r="I270" s="16"/>
      <c r="J2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70" s="22"/>
      <c r="L270" s="23"/>
      <c r="M270" s="23">
        <f>SUM(Tabela174681012142230322681619252731333624210121416182426283038402481012141620222628303234362426810121424610122426244262628262681026286236[[#This Row],[Saldo no cartão]:[Recarga Pendente]])</f>
        <v>0</v>
      </c>
      <c r="N270" s="19">
        <f>Tabela174681012142230322681619252731333624210121416182426283038402481012141620222628303234362426810121424610122426244262628262681026286236[[#This Row],[Uso diário]]*2</f>
        <v>37.6</v>
      </c>
      <c r="O270" s="19">
        <f>Tabela174681012142230322681619252731333624210121416182426283038402481012141620222628303234362426810121424610122426244262628262681026286236[[#This Row],[Total Acumulado]]-P270</f>
        <v>-94</v>
      </c>
      <c r="P270" s="48">
        <f>Tabela174681012142230322681619252731333624210121416182426283038402481012141620222628303234362426810121424610122426244262628262681026286236[[#This Row],[Uso diário]]*5</f>
        <v>94</v>
      </c>
      <c r="Q2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0" s="25">
        <v>1</v>
      </c>
    </row>
    <row r="271" spans="1:20" s="26" customFormat="1" x14ac:dyDescent="0.25">
      <c r="A271" s="16">
        <v>215297</v>
      </c>
      <c r="B271" s="30" t="s">
        <v>169</v>
      </c>
      <c r="C271" s="20" t="s">
        <v>645</v>
      </c>
      <c r="D271" s="20" t="s">
        <v>711</v>
      </c>
      <c r="E271" s="20" t="s">
        <v>2073</v>
      </c>
      <c r="F271" s="20" t="s">
        <v>2074</v>
      </c>
      <c r="G271" s="21">
        <v>18.8</v>
      </c>
      <c r="H271" s="16">
        <v>26</v>
      </c>
      <c r="I271" s="16">
        <v>1</v>
      </c>
      <c r="J2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71" s="22"/>
      <c r="L271" s="23"/>
      <c r="M271" s="23">
        <f>SUM(Tabela174681012142230322681619252731333624210121416182426283038402481012141620222628303234362426810121424610122426244262628262681026286236[[#This Row],[Saldo no cartão]:[Recarga Pendente]])</f>
        <v>0</v>
      </c>
      <c r="N271" s="19">
        <f>Tabela174681012142230322681619252731333624210121416182426283038402481012141620222628303234362426810121424610122426244262628262681026286236[[#This Row],[Uso diário]]*2</f>
        <v>37.6</v>
      </c>
      <c r="O271" s="19">
        <f>Tabela174681012142230322681619252731333624210121416182426283038402481012141620222628303234362426810121424610122426244262628262681026286236[[#This Row],[Total Acumulado]]-P271</f>
        <v>-94</v>
      </c>
      <c r="P271" s="48">
        <f>Tabela174681012142230322681619252731333624210121416182426283038402481012141620222628303234362426810121424610122426244262628262681026286236[[#This Row],[Uso diário]]*5</f>
        <v>94</v>
      </c>
      <c r="Q2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1" s="25">
        <v>1</v>
      </c>
    </row>
    <row r="272" spans="1:20" s="26" customFormat="1" x14ac:dyDescent="0.25">
      <c r="A272" s="16">
        <v>216271</v>
      </c>
      <c r="B272" s="30" t="s">
        <v>1154</v>
      </c>
      <c r="C272" s="20" t="s">
        <v>645</v>
      </c>
      <c r="D272" s="20" t="s">
        <v>711</v>
      </c>
      <c r="E272" s="20" t="s">
        <v>2075</v>
      </c>
      <c r="F272" s="20" t="s">
        <v>2076</v>
      </c>
      <c r="G272" s="21">
        <v>18.8</v>
      </c>
      <c r="H272" s="16">
        <v>26</v>
      </c>
      <c r="I272" s="16">
        <v>1</v>
      </c>
      <c r="J2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72" s="22"/>
      <c r="L272" s="23"/>
      <c r="M272" s="23">
        <f>SUM(Tabela174681012142230322681619252731333624210121416182426283038402481012141620222628303234362426810121424610122426244262628262681026286236[[#This Row],[Saldo no cartão]:[Recarga Pendente]])</f>
        <v>0</v>
      </c>
      <c r="N272" s="19">
        <f>Tabela174681012142230322681619252731333624210121416182426283038402481012141620222628303234362426810121424610122426244262628262681026286236[[#This Row],[Uso diário]]*2</f>
        <v>37.6</v>
      </c>
      <c r="O272" s="19">
        <f>Tabela174681012142230322681619252731333624210121416182426283038402481012141620222628303234362426810121424610122426244262628262681026286236[[#This Row],[Total Acumulado]]-P272</f>
        <v>-94</v>
      </c>
      <c r="P272" s="48">
        <f>Tabela174681012142230322681619252731333624210121416182426283038402481012141620222628303234362426810121424610122426244262628262681026286236[[#This Row],[Uso diário]]*5</f>
        <v>94</v>
      </c>
      <c r="Q2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2" s="25">
        <v>1</v>
      </c>
    </row>
    <row r="273" spans="1:20" s="26" customFormat="1" x14ac:dyDescent="0.25">
      <c r="A273" s="16">
        <v>225519</v>
      </c>
      <c r="B273" s="30" t="s">
        <v>63</v>
      </c>
      <c r="C273" s="20" t="s">
        <v>645</v>
      </c>
      <c r="D273" s="20" t="s">
        <v>711</v>
      </c>
      <c r="E273" s="20" t="s">
        <v>2077</v>
      </c>
      <c r="F273" s="20" t="s">
        <v>2078</v>
      </c>
      <c r="G273" s="21">
        <v>18.8</v>
      </c>
      <c r="H273" s="16">
        <v>26</v>
      </c>
      <c r="I273" s="16">
        <v>4</v>
      </c>
      <c r="J2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73" s="22"/>
      <c r="L273" s="23"/>
      <c r="M273" s="23">
        <f>SUM(Tabela174681012142230322681619252731333624210121416182426283038402481012141620222628303234362426810121424610122426244262628262681026286236[[#This Row],[Saldo no cartão]:[Recarga Pendente]])</f>
        <v>0</v>
      </c>
      <c r="N273" s="19">
        <f>Tabela174681012142230322681619252731333624210121416182426283038402481012141620222628303234362426810121424610122426244262628262681026286236[[#This Row],[Uso diário]]*2</f>
        <v>37.6</v>
      </c>
      <c r="O273" s="19">
        <f>Tabela174681012142230322681619252731333624210121416182426283038402481012141620222628303234362426810121424610122426244262628262681026286236[[#This Row],[Total Acumulado]]-P273</f>
        <v>-94</v>
      </c>
      <c r="P273" s="48">
        <f>Tabela174681012142230322681619252731333624210121416182426283038402481012141620222628303234362426810121424610122426244262628262681026286236[[#This Row],[Uso diário]]*5</f>
        <v>94</v>
      </c>
      <c r="Q2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3" s="25">
        <v>1</v>
      </c>
    </row>
    <row r="274" spans="1:20" s="26" customFormat="1" x14ac:dyDescent="0.25">
      <c r="A274" s="16">
        <v>225884</v>
      </c>
      <c r="B274" s="30" t="s">
        <v>1043</v>
      </c>
      <c r="C274" s="20" t="s">
        <v>645</v>
      </c>
      <c r="D274" s="20" t="s">
        <v>711</v>
      </c>
      <c r="E274" s="20" t="s">
        <v>2079</v>
      </c>
      <c r="F274" s="20" t="s">
        <v>2080</v>
      </c>
      <c r="G274" s="21">
        <v>18.8</v>
      </c>
      <c r="H274" s="16">
        <v>26</v>
      </c>
      <c r="I274" s="16">
        <v>1</v>
      </c>
      <c r="J2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274" s="22"/>
      <c r="L274" s="23"/>
      <c r="M274" s="23">
        <f>SUM(Tabela174681012142230322681619252731333624210121416182426283038402481012141620222628303234362426810121424610122426244262628262681026286236[[#This Row],[Saldo no cartão]:[Recarga Pendente]])</f>
        <v>0</v>
      </c>
      <c r="N274" s="19">
        <f>Tabela174681012142230322681619252731333624210121416182426283038402481012141620222628303234362426810121424610122426244262628262681026286236[[#This Row],[Uso diário]]*2</f>
        <v>37.6</v>
      </c>
      <c r="O274" s="19">
        <f>Tabela174681012142230322681619252731333624210121416182426283038402481012141620222628303234362426810121424610122426244262628262681026286236[[#This Row],[Total Acumulado]]-P274</f>
        <v>-94</v>
      </c>
      <c r="P274" s="48">
        <f>Tabela174681012142230322681619252731333624210121416182426283038402481012141620222628303234362426810121424610122426244262628262681026286236[[#This Row],[Uso diário]]*5</f>
        <v>94</v>
      </c>
      <c r="Q2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2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4" s="25">
        <v>1</v>
      </c>
    </row>
    <row r="275" spans="1:20" s="26" customFormat="1" x14ac:dyDescent="0.25">
      <c r="A275" s="16">
        <v>226742</v>
      </c>
      <c r="B275" s="30" t="s">
        <v>171</v>
      </c>
      <c r="C275" s="20" t="s">
        <v>645</v>
      </c>
      <c r="D275" s="20" t="s">
        <v>711</v>
      </c>
      <c r="E275" s="20" t="s">
        <v>2081</v>
      </c>
      <c r="F275" s="20" t="s">
        <v>2082</v>
      </c>
      <c r="G275" s="21">
        <v>18.8</v>
      </c>
      <c r="H275" s="16">
        <v>22</v>
      </c>
      <c r="I275" s="16"/>
      <c r="J2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275" s="22"/>
      <c r="L275" s="23">
        <v>37.6</v>
      </c>
      <c r="M275" s="23">
        <f>SUM(Tabela174681012142230322681619252731333624210121416182426283038402481012141620222628303234362426810121424610122426244262628262681026286236[[#This Row],[Saldo no cartão]:[Recarga Pendente]])</f>
        <v>37.6</v>
      </c>
      <c r="N275" s="19">
        <f>Tabela174681012142230322681619252731333624210121416182426283038402481012141620222628303234362426810121424610122426244262628262681026286236[[#This Row],[Uso diário]]*2</f>
        <v>37.6</v>
      </c>
      <c r="O275" s="19">
        <f>Tabela174681012142230322681619252731333624210121416182426283038402481012141620222628303234362426810121424610122426244262628262681026286236[[#This Row],[Total Acumulado]]-P275</f>
        <v>-56.4</v>
      </c>
      <c r="P275" s="48">
        <f>Tabela174681012142230322681619252731333624210121416182426283038402481012141620222628303234362426810121424610122426244262628262681026286236[[#This Row],[Uso diário]]*5</f>
        <v>94</v>
      </c>
      <c r="Q2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2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5" s="25">
        <v>1</v>
      </c>
    </row>
    <row r="276" spans="1:20" s="26" customFormat="1" x14ac:dyDescent="0.25">
      <c r="A276" s="16">
        <v>232891</v>
      </c>
      <c r="B276" s="30" t="s">
        <v>963</v>
      </c>
      <c r="C276" s="20" t="s">
        <v>645</v>
      </c>
      <c r="D276" s="20" t="s">
        <v>711</v>
      </c>
      <c r="E276" s="20" t="s">
        <v>2083</v>
      </c>
      <c r="F276" s="20" t="s">
        <v>2084</v>
      </c>
      <c r="G276" s="21">
        <v>18.8</v>
      </c>
      <c r="H276" s="16">
        <v>26</v>
      </c>
      <c r="I276" s="16">
        <v>5</v>
      </c>
      <c r="J2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276" s="22"/>
      <c r="L276" s="23"/>
      <c r="M276" s="23">
        <f>SUM(Tabela174681012142230322681619252731333624210121416182426283038402481012141620222628303234362426810121424610122426244262628262681026286236[[#This Row],[Saldo no cartão]:[Recarga Pendente]])</f>
        <v>0</v>
      </c>
      <c r="N276" s="19">
        <f>Tabela174681012142230322681619252731333624210121416182426283038402481012141620222628303234362426810121424610122426244262628262681026286236[[#This Row],[Uso diário]]*2</f>
        <v>37.6</v>
      </c>
      <c r="O276" s="19">
        <f>Tabela174681012142230322681619252731333624210121416182426283038402481012141620222628303234362426810121424610122426244262628262681026286236[[#This Row],[Total Acumulado]]-P276</f>
        <v>-94</v>
      </c>
      <c r="P276" s="48">
        <f>Tabela174681012142230322681619252731333624210121416182426283038402481012141620222628303234362426810121424610122426244262628262681026286236[[#This Row],[Uso diário]]*5</f>
        <v>94</v>
      </c>
      <c r="Q2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2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6" s="25">
        <v>1</v>
      </c>
    </row>
    <row r="277" spans="1:20" s="26" customFormat="1" x14ac:dyDescent="0.25">
      <c r="A277" s="16">
        <v>215752</v>
      </c>
      <c r="B277" s="30" t="s">
        <v>1155</v>
      </c>
      <c r="C277" s="20" t="s">
        <v>646</v>
      </c>
      <c r="D277" s="20" t="s">
        <v>1263</v>
      </c>
      <c r="E277" s="20" t="e">
        <v>#N/A</v>
      </c>
      <c r="F277" s="20" t="e">
        <v>#N/A</v>
      </c>
      <c r="G277" s="21">
        <v>15.8</v>
      </c>
      <c r="H277" s="16">
        <v>22</v>
      </c>
      <c r="I277" s="16"/>
      <c r="J2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347.6</v>
      </c>
      <c r="K277" s="22"/>
      <c r="L277" s="23"/>
      <c r="M277" s="23">
        <f>SUM(Tabela174681012142230322681619252731333624210121416182426283038402481012141620222628303234362426810121424610122426244262628262681026286236[[#This Row],[Saldo no cartão]:[Recarga Pendente]])</f>
        <v>0</v>
      </c>
      <c r="N277" s="19">
        <f>Tabela174681012142230322681619252731333624210121416182426283038402481012141620222628303234362426810121424610122426244262628262681026286236[[#This Row],[Uso diário]]*2</f>
        <v>31.6</v>
      </c>
      <c r="O277" s="19">
        <f>Tabela174681012142230322681619252731333624210121416182426283038402481012141620222628303234362426810121424610122426244262628262681026286236[[#This Row],[Total Acumulado]]-P277</f>
        <v>-79</v>
      </c>
      <c r="P277" s="48">
        <f>Tabela174681012142230322681619252731333624210121416182426283038402481012141620222628303234362426810121424610122426244262628262681026286236[[#This Row],[Uso diário]]*5</f>
        <v>79</v>
      </c>
      <c r="Q2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347.6</v>
      </c>
      <c r="S2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7" s="25">
        <v>1</v>
      </c>
    </row>
    <row r="278" spans="1:20" s="26" customFormat="1" x14ac:dyDescent="0.25">
      <c r="A278" s="16">
        <v>233882</v>
      </c>
      <c r="B278" s="30" t="s">
        <v>1044</v>
      </c>
      <c r="C278" s="20" t="s">
        <v>646</v>
      </c>
      <c r="D278" s="20" t="s">
        <v>712</v>
      </c>
      <c r="E278" s="20" t="s">
        <v>2085</v>
      </c>
      <c r="F278" s="20" t="s">
        <v>2086</v>
      </c>
      <c r="G278" s="21">
        <v>10</v>
      </c>
      <c r="H278" s="16">
        <v>26</v>
      </c>
      <c r="I278" s="16">
        <v>2</v>
      </c>
      <c r="J2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240</v>
      </c>
      <c r="K278" s="22"/>
      <c r="L278" s="23"/>
      <c r="M278" s="23">
        <f>SUM(Tabela174681012142230322681619252731333624210121416182426283038402481012141620222628303234362426810121424610122426244262628262681026286236[[#This Row],[Saldo no cartão]:[Recarga Pendente]])</f>
        <v>0</v>
      </c>
      <c r="N278" s="19">
        <f>Tabela174681012142230322681619252731333624210121416182426283038402481012141620222628303234362426810121424610122426244262628262681026286236[[#This Row],[Uso diário]]*2</f>
        <v>20</v>
      </c>
      <c r="O278" s="19">
        <f>Tabela174681012142230322681619252731333624210121416182426283038402481012141620222628303234362426810121424610122426244262628262681026286236[[#This Row],[Total Acumulado]]-P278</f>
        <v>-50</v>
      </c>
      <c r="P278" s="48">
        <f>Tabela174681012142230322681619252731333624210121416182426283038402481012141620222628303234362426810121424610122426244262628262681026286236[[#This Row],[Uso diário]]*5</f>
        <v>50</v>
      </c>
      <c r="Q2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240</v>
      </c>
      <c r="S2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8" s="25">
        <v>1</v>
      </c>
    </row>
    <row r="279" spans="1:20" s="26" customFormat="1" x14ac:dyDescent="0.25">
      <c r="A279" s="16">
        <v>232299</v>
      </c>
      <c r="B279" s="30" t="s">
        <v>897</v>
      </c>
      <c r="C279" s="20" t="s">
        <v>636</v>
      </c>
      <c r="D279" s="20" t="s">
        <v>730</v>
      </c>
      <c r="E279" s="20" t="s">
        <v>2087</v>
      </c>
      <c r="F279" s="20" t="s">
        <v>2088</v>
      </c>
      <c r="G279" s="21">
        <v>9.4</v>
      </c>
      <c r="H279" s="16">
        <v>22</v>
      </c>
      <c r="I279" s="16">
        <v>1</v>
      </c>
      <c r="J2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197.4</v>
      </c>
      <c r="K279" s="22"/>
      <c r="L279" s="23"/>
      <c r="M279" s="23">
        <f>SUM(Tabela174681012142230322681619252731333624210121416182426283038402481012141620222628303234362426810121424610122426244262628262681026286236[[#This Row],[Saldo no cartão]:[Recarga Pendente]])</f>
        <v>0</v>
      </c>
      <c r="N279" s="19">
        <f>Tabela174681012142230322681619252731333624210121416182426283038402481012141620222628303234362426810121424610122426244262628262681026286236[[#This Row],[Uso diário]]*2</f>
        <v>18.8</v>
      </c>
      <c r="O279" s="19">
        <f>Tabela174681012142230322681619252731333624210121416182426283038402481012141620222628303234362426810121424610122426244262628262681026286236[[#This Row],[Total Acumulado]]-P279</f>
        <v>-47</v>
      </c>
      <c r="P279" s="48">
        <f>Tabela174681012142230322681619252731333624210121416182426283038402481012141620222628303234362426810121424610122426244262628262681026286236[[#This Row],[Uso diário]]*5</f>
        <v>47</v>
      </c>
      <c r="Q2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197.4</v>
      </c>
      <c r="S2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79" s="25">
        <v>2</v>
      </c>
    </row>
    <row r="280" spans="1:20" s="26" customFormat="1" x14ac:dyDescent="0.25">
      <c r="A280" s="16">
        <v>232407</v>
      </c>
      <c r="B280" s="30" t="s">
        <v>898</v>
      </c>
      <c r="C280" s="20" t="s">
        <v>636</v>
      </c>
      <c r="D280" s="20" t="s">
        <v>729</v>
      </c>
      <c r="E280" s="20" t="s">
        <v>2089</v>
      </c>
      <c r="F280" s="20" t="s">
        <v>2090</v>
      </c>
      <c r="G280" s="21">
        <v>10</v>
      </c>
      <c r="H280" s="16">
        <v>22</v>
      </c>
      <c r="I280" s="16">
        <v>5</v>
      </c>
      <c r="J2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170</v>
      </c>
      <c r="K280" s="22"/>
      <c r="L280" s="23"/>
      <c r="M280" s="23">
        <f>SUM(Tabela174681012142230322681619252731333624210121416182426283038402481012141620222628303234362426810121424610122426244262628262681026286236[[#This Row],[Saldo no cartão]:[Recarga Pendente]])</f>
        <v>0</v>
      </c>
      <c r="N280" s="19">
        <f>Tabela174681012142230322681619252731333624210121416182426283038402481012141620222628303234362426810121424610122426244262628262681026286236[[#This Row],[Uso diário]]*2</f>
        <v>20</v>
      </c>
      <c r="O280" s="19">
        <f>Tabela174681012142230322681619252731333624210121416182426283038402481012141620222628303234362426810121424610122426244262628262681026286236[[#This Row],[Total Acumulado]]-P280</f>
        <v>-50</v>
      </c>
      <c r="P280" s="48">
        <f>Tabela174681012142230322681619252731333624210121416182426283038402481012141620222628303234362426810121424610122426244262628262681026286236[[#This Row],[Uso diário]]*5</f>
        <v>50</v>
      </c>
      <c r="Q2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170</v>
      </c>
      <c r="S2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0" s="25">
        <v>2</v>
      </c>
    </row>
    <row r="281" spans="1:20" s="26" customFormat="1" x14ac:dyDescent="0.25">
      <c r="A281" s="16">
        <v>3173</v>
      </c>
      <c r="B281" s="30" t="s">
        <v>173</v>
      </c>
      <c r="C281" s="20" t="s">
        <v>647</v>
      </c>
      <c r="D281" s="20" t="s">
        <v>720</v>
      </c>
      <c r="E281" s="20" t="s">
        <v>2091</v>
      </c>
      <c r="F281" s="20" t="s">
        <v>2092</v>
      </c>
      <c r="G281" s="21">
        <v>13.4</v>
      </c>
      <c r="H281" s="16">
        <v>26</v>
      </c>
      <c r="I281" s="16"/>
      <c r="J2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81" s="22"/>
      <c r="L281" s="23"/>
      <c r="M281" s="23">
        <f>SUM(Tabela174681012142230322681619252731333624210121416182426283038402481012141620222628303234362426810121424610122426244262628262681026286236[[#This Row],[Saldo no cartão]:[Recarga Pendente]])</f>
        <v>0</v>
      </c>
      <c r="N281" s="19">
        <f>Tabela174681012142230322681619252731333624210121416182426283038402481012141620222628303234362426810121424610122426244262628262681026286236[[#This Row],[Uso diário]]*2</f>
        <v>26.8</v>
      </c>
      <c r="O281" s="19">
        <f>Tabela174681012142230322681619252731333624210121416182426283038402481012141620222628303234362426810121424610122426244262628262681026286236[[#This Row],[Total Acumulado]]-P281</f>
        <v>-67</v>
      </c>
      <c r="P281" s="48">
        <f>Tabela174681012142230322681619252731333624210121416182426283038402481012141620222628303234362426810121424610122426244262628262681026286236[[#This Row],[Uso diário]]*5</f>
        <v>67</v>
      </c>
      <c r="Q2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1" s="25">
        <v>3</v>
      </c>
    </row>
    <row r="282" spans="1:20" s="26" customFormat="1" x14ac:dyDescent="0.25">
      <c r="A282" s="16">
        <v>214122</v>
      </c>
      <c r="B282" s="30" t="s">
        <v>1419</v>
      </c>
      <c r="C282" s="20" t="s">
        <v>647</v>
      </c>
      <c r="D282" s="20" t="s">
        <v>724</v>
      </c>
      <c r="E282" s="20" t="s">
        <v>2093</v>
      </c>
      <c r="F282" s="20" t="s">
        <v>2094</v>
      </c>
      <c r="G282" s="21">
        <v>20.100000000000001</v>
      </c>
      <c r="H282" s="16">
        <v>26</v>
      </c>
      <c r="I282" s="16"/>
      <c r="J2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522.6</v>
      </c>
      <c r="K282" s="22"/>
      <c r="L282" s="23"/>
      <c r="M282" s="23">
        <f>SUM(Tabela174681012142230322681619252731333624210121416182426283038402481012141620222628303234362426810121424610122426244262628262681026286236[[#This Row],[Saldo no cartão]:[Recarga Pendente]])</f>
        <v>0</v>
      </c>
      <c r="N282" s="19">
        <f>Tabela174681012142230322681619252731333624210121416182426283038402481012141620222628303234362426810121424610122426244262628262681026286236[[#This Row],[Uso diário]]*2</f>
        <v>40.200000000000003</v>
      </c>
      <c r="O282" s="19">
        <f>Tabela174681012142230322681619252731333624210121416182426283038402481012141620222628303234362426810121424610122426244262628262681026286236[[#This Row],[Total Acumulado]]-P282</f>
        <v>-100.5</v>
      </c>
      <c r="P282" s="48">
        <f>Tabela174681012142230322681619252731333624210121416182426283038402481012141620222628303234362426810121424610122426244262628262681026286236[[#This Row],[Uso diário]]*5</f>
        <v>100.5</v>
      </c>
      <c r="Q2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522.6</v>
      </c>
      <c r="S2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2" s="25">
        <v>3</v>
      </c>
    </row>
    <row r="283" spans="1:20" s="26" customFormat="1" x14ac:dyDescent="0.25">
      <c r="A283" s="16">
        <v>214387</v>
      </c>
      <c r="B283" s="30" t="s">
        <v>174</v>
      </c>
      <c r="C283" s="20" t="s">
        <v>647</v>
      </c>
      <c r="D283" s="20" t="s">
        <v>722</v>
      </c>
      <c r="E283" s="20" t="s">
        <v>2095</v>
      </c>
      <c r="F283" s="20" t="s">
        <v>2096</v>
      </c>
      <c r="G283" s="21">
        <v>18.8</v>
      </c>
      <c r="H283" s="16">
        <v>26</v>
      </c>
      <c r="I283" s="16"/>
      <c r="J2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83" s="22"/>
      <c r="L283" s="23"/>
      <c r="M283" s="23">
        <f>SUM(Tabela174681012142230322681619252731333624210121416182426283038402481012141620222628303234362426810121424610122426244262628262681026286236[[#This Row],[Saldo no cartão]:[Recarga Pendente]])</f>
        <v>0</v>
      </c>
      <c r="N283" s="19">
        <f>Tabela174681012142230322681619252731333624210121416182426283038402481012141620222628303234362426810121424610122426244262628262681026286236[[#This Row],[Uso diário]]*2</f>
        <v>37.6</v>
      </c>
      <c r="O283" s="19">
        <f>Tabela174681012142230322681619252731333624210121416182426283038402481012141620222628303234362426810121424610122426244262628262681026286236[[#This Row],[Total Acumulado]]-P283</f>
        <v>-94</v>
      </c>
      <c r="P283" s="48">
        <f>Tabela174681012142230322681619252731333624210121416182426283038402481012141620222628303234362426810121424610122426244262628262681026286236[[#This Row],[Uso diário]]*5</f>
        <v>94</v>
      </c>
      <c r="Q2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3" s="25">
        <v>3</v>
      </c>
    </row>
    <row r="284" spans="1:20" s="26" customFormat="1" x14ac:dyDescent="0.25">
      <c r="A284" s="16">
        <v>216170</v>
      </c>
      <c r="B284" s="30" t="s">
        <v>175</v>
      </c>
      <c r="C284" s="20" t="s">
        <v>647</v>
      </c>
      <c r="D284" s="20" t="s">
        <v>720</v>
      </c>
      <c r="E284" s="20" t="s">
        <v>2097</v>
      </c>
      <c r="F284" s="20" t="s">
        <v>2098</v>
      </c>
      <c r="G284" s="21">
        <v>13.4</v>
      </c>
      <c r="H284" s="16">
        <v>26</v>
      </c>
      <c r="I284" s="16"/>
      <c r="J2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84" s="22"/>
      <c r="L284" s="23"/>
      <c r="M284" s="23">
        <f>SUM(Tabela174681012142230322681619252731333624210121416182426283038402481012141620222628303234362426810121424610122426244262628262681026286236[[#This Row],[Saldo no cartão]:[Recarga Pendente]])</f>
        <v>0</v>
      </c>
      <c r="N284" s="19">
        <f>Tabela174681012142230322681619252731333624210121416182426283038402481012141620222628303234362426810121424610122426244262628262681026286236[[#This Row],[Uso diário]]*2</f>
        <v>26.8</v>
      </c>
      <c r="O284" s="19">
        <f>Tabela174681012142230322681619252731333624210121416182426283038402481012141620222628303234362426810121424610122426244262628262681026286236[[#This Row],[Total Acumulado]]-P284</f>
        <v>-67</v>
      </c>
      <c r="P284" s="48">
        <f>Tabela174681012142230322681619252731333624210121416182426283038402481012141620222628303234362426810121424610122426244262628262681026286236[[#This Row],[Uso diário]]*5</f>
        <v>67</v>
      </c>
      <c r="Q2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4" s="25">
        <v>3</v>
      </c>
    </row>
    <row r="285" spans="1:20" s="26" customFormat="1" x14ac:dyDescent="0.25">
      <c r="A285" s="16">
        <v>216582</v>
      </c>
      <c r="B285" s="30" t="s">
        <v>176</v>
      </c>
      <c r="C285" s="20" t="s">
        <v>647</v>
      </c>
      <c r="D285" s="20" t="s">
        <v>720</v>
      </c>
      <c r="E285" s="20" t="s">
        <v>2099</v>
      </c>
      <c r="F285" s="20" t="s">
        <v>2100</v>
      </c>
      <c r="G285" s="21">
        <v>13.4</v>
      </c>
      <c r="H285" s="16">
        <v>26</v>
      </c>
      <c r="I285" s="16"/>
      <c r="J2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85" s="22"/>
      <c r="L285" s="23"/>
      <c r="M285" s="23">
        <f>SUM(Tabela174681012142230322681619252731333624210121416182426283038402481012141620222628303234362426810121424610122426244262628262681026286236[[#This Row],[Saldo no cartão]:[Recarga Pendente]])</f>
        <v>0</v>
      </c>
      <c r="N285" s="19">
        <f>Tabela174681012142230322681619252731333624210121416182426283038402481012141620222628303234362426810121424610122426244262628262681026286236[[#This Row],[Uso diário]]*2</f>
        <v>26.8</v>
      </c>
      <c r="O285" s="19">
        <f>Tabela174681012142230322681619252731333624210121416182426283038402481012141620222628303234362426810121424610122426244262628262681026286236[[#This Row],[Total Acumulado]]-P285</f>
        <v>-67</v>
      </c>
      <c r="P285" s="48">
        <f>Tabela174681012142230322681619252731333624210121416182426283038402481012141620222628303234362426810121424610122426244262628262681026286236[[#This Row],[Uso diário]]*5</f>
        <v>67</v>
      </c>
      <c r="Q2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5" s="25">
        <v>3</v>
      </c>
    </row>
    <row r="286" spans="1:20" s="26" customFormat="1" x14ac:dyDescent="0.25">
      <c r="A286" s="16">
        <v>218071</v>
      </c>
      <c r="B286" s="30" t="s">
        <v>1045</v>
      </c>
      <c r="C286" s="20" t="s">
        <v>647</v>
      </c>
      <c r="D286" s="20" t="s">
        <v>720</v>
      </c>
      <c r="E286" s="20" t="s">
        <v>2101</v>
      </c>
      <c r="F286" s="20" t="s">
        <v>2102</v>
      </c>
      <c r="G286" s="21">
        <v>13.4</v>
      </c>
      <c r="H286" s="16">
        <v>26</v>
      </c>
      <c r="I286" s="16"/>
      <c r="J2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86" s="22"/>
      <c r="L286" s="23"/>
      <c r="M286" s="23">
        <f>SUM(Tabela174681012142230322681619252731333624210121416182426283038402481012141620222628303234362426810121424610122426244262628262681026286236[[#This Row],[Saldo no cartão]:[Recarga Pendente]])</f>
        <v>0</v>
      </c>
      <c r="N286" s="19">
        <f>Tabela174681012142230322681619252731333624210121416182426283038402481012141620222628303234362426810121424610122426244262628262681026286236[[#This Row],[Uso diário]]*2</f>
        <v>26.8</v>
      </c>
      <c r="O286" s="19">
        <f>Tabela174681012142230322681619252731333624210121416182426283038402481012141620222628303234362426810121424610122426244262628262681026286236[[#This Row],[Total Acumulado]]-P286</f>
        <v>-67</v>
      </c>
      <c r="P286" s="48">
        <f>Tabela174681012142230322681619252731333624210121416182426283038402481012141620222628303234362426810121424610122426244262628262681026286236[[#This Row],[Uso diário]]*5</f>
        <v>67</v>
      </c>
      <c r="Q2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6" s="25">
        <v>3</v>
      </c>
    </row>
    <row r="287" spans="1:20" s="26" customFormat="1" x14ac:dyDescent="0.25">
      <c r="A287" s="16">
        <v>225983</v>
      </c>
      <c r="B287" s="30" t="s">
        <v>177</v>
      </c>
      <c r="C287" s="20" t="s">
        <v>647</v>
      </c>
      <c r="D287" s="20" t="s">
        <v>721</v>
      </c>
      <c r="E287" s="20" t="s">
        <v>2103</v>
      </c>
      <c r="F287" s="20" t="s">
        <v>2104</v>
      </c>
      <c r="G287" s="21">
        <v>18.8</v>
      </c>
      <c r="H287" s="16">
        <v>26</v>
      </c>
      <c r="I287" s="16"/>
      <c r="J2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87" s="22"/>
      <c r="L287" s="23">
        <v>5</v>
      </c>
      <c r="M287" s="23">
        <f>SUM(Tabela174681012142230322681619252731333624210121416182426283038402481012141620222628303234362426810121424610122426244262628262681026286236[[#This Row],[Saldo no cartão]:[Recarga Pendente]])</f>
        <v>5</v>
      </c>
      <c r="N287" s="19">
        <f>Tabela174681012142230322681619252731333624210121416182426283038402481012141620222628303234362426810121424610122426244262628262681026286236[[#This Row],[Uso diário]]*2</f>
        <v>37.6</v>
      </c>
      <c r="O287" s="19">
        <f>Tabela174681012142230322681619252731333624210121416182426283038402481012141620222628303234362426810121424610122426244262628262681026286236[[#This Row],[Total Acumulado]]-P287</f>
        <v>-89</v>
      </c>
      <c r="P287" s="48">
        <f>Tabela174681012142230322681619252731333624210121416182426283038402481012141620222628303234362426810121424610122426244262628262681026286236[[#This Row],[Uso diário]]*5</f>
        <v>94</v>
      </c>
      <c r="Q2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7" s="25">
        <v>3</v>
      </c>
    </row>
    <row r="288" spans="1:20" s="26" customFormat="1" x14ac:dyDescent="0.25">
      <c r="A288" s="16">
        <v>232022</v>
      </c>
      <c r="B288" s="30" t="s">
        <v>818</v>
      </c>
      <c r="C288" s="20" t="s">
        <v>647</v>
      </c>
      <c r="D288" s="20" t="s">
        <v>724</v>
      </c>
      <c r="E288" s="20" t="s">
        <v>2105</v>
      </c>
      <c r="F288" s="20" t="s">
        <v>2106</v>
      </c>
      <c r="G288" s="21">
        <v>13.4</v>
      </c>
      <c r="H288" s="16">
        <v>26</v>
      </c>
      <c r="I288" s="16"/>
      <c r="J2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88" s="22"/>
      <c r="L288" s="23"/>
      <c r="M288" s="23">
        <f>SUM(Tabela174681012142230322681619252731333624210121416182426283038402481012141620222628303234362426810121424610122426244262628262681026286236[[#This Row],[Saldo no cartão]:[Recarga Pendente]])</f>
        <v>0</v>
      </c>
      <c r="N288" s="19">
        <f>Tabela174681012142230322681619252731333624210121416182426283038402481012141620222628303234362426810121424610122426244262628262681026286236[[#This Row],[Uso diário]]*2</f>
        <v>26.8</v>
      </c>
      <c r="O288" s="19">
        <f>Tabela174681012142230322681619252731333624210121416182426283038402481012141620222628303234362426810121424610122426244262628262681026286236[[#This Row],[Total Acumulado]]-P288</f>
        <v>-67</v>
      </c>
      <c r="P288" s="48">
        <f>Tabela174681012142230322681619252731333624210121416182426283038402481012141620222628303234362426810121424610122426244262628262681026286236[[#This Row],[Uso diário]]*5</f>
        <v>67</v>
      </c>
      <c r="Q2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8" s="25">
        <v>3</v>
      </c>
    </row>
    <row r="289" spans="1:20" s="26" customFormat="1" x14ac:dyDescent="0.25">
      <c r="A289" s="16">
        <v>234929</v>
      </c>
      <c r="B289" s="30" t="s">
        <v>1420</v>
      </c>
      <c r="C289" s="20" t="s">
        <v>647</v>
      </c>
      <c r="D289" s="20" t="s">
        <v>721</v>
      </c>
      <c r="E289" s="20" t="e">
        <v>#N/A</v>
      </c>
      <c r="F289" s="20" t="e">
        <v>#N/A</v>
      </c>
      <c r="G289" s="21">
        <v>13.4</v>
      </c>
      <c r="H289" s="16">
        <v>26</v>
      </c>
      <c r="I289" s="16"/>
      <c r="J2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89" s="22"/>
      <c r="L289" s="23"/>
      <c r="M289" s="23">
        <f>SUM(Tabela174681012142230322681619252731333624210121416182426283038402481012141620222628303234362426810121424610122426244262628262681026286236[[#This Row],[Saldo no cartão]:[Recarga Pendente]])</f>
        <v>0</v>
      </c>
      <c r="N289" s="19">
        <f>Tabela174681012142230322681619252731333624210121416182426283038402481012141620222628303234362426810121424610122426244262628262681026286236[[#This Row],[Uso diário]]*2</f>
        <v>26.8</v>
      </c>
      <c r="O289" s="19">
        <f>Tabela174681012142230322681619252731333624210121416182426283038402481012141620222628303234362426810121424610122426244262628262681026286236[[#This Row],[Total Acumulado]]-P289</f>
        <v>-67</v>
      </c>
      <c r="P289" s="48">
        <f>Tabela174681012142230322681619252731333624210121416182426283038402481012141620222628303234362426810121424610122426244262628262681026286236[[#This Row],[Uso diário]]*5</f>
        <v>67</v>
      </c>
      <c r="Q2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89" s="25">
        <v>3</v>
      </c>
    </row>
    <row r="290" spans="1:20" s="26" customFormat="1" x14ac:dyDescent="0.25">
      <c r="A290" s="16">
        <v>4177</v>
      </c>
      <c r="B290" s="30" t="s">
        <v>178</v>
      </c>
      <c r="C290" s="20" t="s">
        <v>629</v>
      </c>
      <c r="D290" s="20" t="s">
        <v>682</v>
      </c>
      <c r="E290" s="20" t="s">
        <v>2107</v>
      </c>
      <c r="F290" s="20" t="s">
        <v>2108</v>
      </c>
      <c r="G290" s="21">
        <v>18.8</v>
      </c>
      <c r="H290" s="16">
        <v>26</v>
      </c>
      <c r="I290" s="16"/>
      <c r="J2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90" s="22"/>
      <c r="L290" s="23"/>
      <c r="M290" s="23">
        <f>SUM(Tabela174681012142230322681619252731333624210121416182426283038402481012141620222628303234362426810121424610122426244262628262681026286236[[#This Row],[Saldo no cartão]:[Recarga Pendente]])</f>
        <v>0</v>
      </c>
      <c r="N290" s="19">
        <f>Tabela174681012142230322681619252731333624210121416182426283038402481012141620222628303234362426810121424610122426244262628262681026286236[[#This Row],[Uso diário]]*2</f>
        <v>37.6</v>
      </c>
      <c r="O290" s="19">
        <f>Tabela174681012142230322681619252731333624210121416182426283038402481012141620222628303234362426810121424610122426244262628262681026286236[[#This Row],[Total Acumulado]]-P290</f>
        <v>-94</v>
      </c>
      <c r="P290" s="48">
        <f>Tabela174681012142230322681619252731333624210121416182426283038402481012141620222628303234362426810121424610122426244262628262681026286236[[#This Row],[Uso diário]]*5</f>
        <v>94</v>
      </c>
      <c r="Q2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0" s="25">
        <v>3</v>
      </c>
    </row>
    <row r="291" spans="1:20" s="26" customFormat="1" x14ac:dyDescent="0.25">
      <c r="A291" s="16">
        <v>200011</v>
      </c>
      <c r="B291" s="30" t="s">
        <v>179</v>
      </c>
      <c r="C291" s="20" t="s">
        <v>648</v>
      </c>
      <c r="D291" s="20" t="s">
        <v>737</v>
      </c>
      <c r="E291" s="20" t="s">
        <v>2109</v>
      </c>
      <c r="F291" s="20" t="s">
        <v>2110</v>
      </c>
      <c r="G291" s="21">
        <v>10</v>
      </c>
      <c r="H291" s="16">
        <v>26</v>
      </c>
      <c r="I291" s="16"/>
      <c r="J2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291" s="22"/>
      <c r="L291" s="23"/>
      <c r="M291" s="23">
        <f>SUM(Tabela174681012142230322681619252731333624210121416182426283038402481012141620222628303234362426810121424610122426244262628262681026286236[[#This Row],[Saldo no cartão]:[Recarga Pendente]])</f>
        <v>0</v>
      </c>
      <c r="N291" s="19">
        <f>Tabela174681012142230322681619252731333624210121416182426283038402481012141620222628303234362426810121424610122426244262628262681026286236[[#This Row],[Uso diário]]*2</f>
        <v>20</v>
      </c>
      <c r="O291" s="19">
        <f>Tabela174681012142230322681619252731333624210121416182426283038402481012141620222628303234362426810121424610122426244262628262681026286236[[#This Row],[Total Acumulado]]-P291</f>
        <v>-50</v>
      </c>
      <c r="P291" s="48">
        <f>Tabela174681012142230322681619252731333624210121416182426283038402481012141620222628303234362426810121424610122426244262628262681026286236[[#This Row],[Uso diário]]*5</f>
        <v>50</v>
      </c>
      <c r="Q2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2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1" s="25">
        <v>3</v>
      </c>
    </row>
    <row r="292" spans="1:20" s="26" customFormat="1" x14ac:dyDescent="0.25">
      <c r="A292" s="16">
        <v>231942</v>
      </c>
      <c r="B292" s="30" t="s">
        <v>820</v>
      </c>
      <c r="C292" s="20" t="s">
        <v>648</v>
      </c>
      <c r="D292" s="20" t="s">
        <v>718</v>
      </c>
      <c r="E292" s="20" t="s">
        <v>2111</v>
      </c>
      <c r="F292" s="20" t="s">
        <v>2112</v>
      </c>
      <c r="G292" s="21">
        <v>18.8</v>
      </c>
      <c r="H292" s="16">
        <v>26</v>
      </c>
      <c r="I292" s="16">
        <v>10</v>
      </c>
      <c r="J2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292" s="22"/>
      <c r="L292" s="23"/>
      <c r="M292" s="23">
        <f>SUM(Tabela174681012142230322681619252731333624210121416182426283038402481012141620222628303234362426810121424610122426244262628262681026286236[[#This Row],[Saldo no cartão]:[Recarga Pendente]])</f>
        <v>0</v>
      </c>
      <c r="N292" s="19">
        <f>Tabela174681012142230322681619252731333624210121416182426283038402481012141620222628303234362426810121424610122426244262628262681026286236[[#This Row],[Uso diário]]*2</f>
        <v>37.6</v>
      </c>
      <c r="O292" s="19">
        <f>Tabela174681012142230322681619252731333624210121416182426283038402481012141620222628303234362426810121424610122426244262628262681026286236[[#This Row],[Total Acumulado]]-P292</f>
        <v>-94</v>
      </c>
      <c r="P292" s="48">
        <f>Tabela174681012142230322681619252731333624210121416182426283038402481012141620222628303234362426810121424610122426244262628262681026286236[[#This Row],[Uso diário]]*5</f>
        <v>94</v>
      </c>
      <c r="Q2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2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2" s="25">
        <v>3</v>
      </c>
    </row>
    <row r="293" spans="1:20" s="26" customFormat="1" x14ac:dyDescent="0.25">
      <c r="A293" s="16">
        <v>234472</v>
      </c>
      <c r="B293" s="30" t="s">
        <v>1278</v>
      </c>
      <c r="C293" s="20" t="s">
        <v>648</v>
      </c>
      <c r="D293" s="20" t="s">
        <v>718</v>
      </c>
      <c r="E293" s="20" t="s">
        <v>2113</v>
      </c>
      <c r="F293" s="20" t="s">
        <v>2114</v>
      </c>
      <c r="G293" s="21">
        <v>13.4</v>
      </c>
      <c r="H293" s="16">
        <v>26</v>
      </c>
      <c r="I293" s="16"/>
      <c r="J2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93" s="22"/>
      <c r="L293" s="23"/>
      <c r="M293" s="23">
        <f>SUM(Tabela174681012142230322681619252731333624210121416182426283038402481012141620222628303234362426810121424610122426244262628262681026286236[[#This Row],[Saldo no cartão]:[Recarga Pendente]])</f>
        <v>0</v>
      </c>
      <c r="N293" s="19">
        <f>Tabela174681012142230322681619252731333624210121416182426283038402481012141620222628303234362426810121424610122426244262628262681026286236[[#This Row],[Uso diário]]*2</f>
        <v>26.8</v>
      </c>
      <c r="O293" s="19">
        <f>Tabela174681012142230322681619252731333624210121416182426283038402481012141620222628303234362426810121424610122426244262628262681026286236[[#This Row],[Total Acumulado]]-P293</f>
        <v>-67</v>
      </c>
      <c r="P293" s="48">
        <f>Tabela174681012142230322681619252731333624210121416182426283038402481012141620222628303234362426810121424610122426244262628262681026286236[[#This Row],[Uso diário]]*5</f>
        <v>67</v>
      </c>
      <c r="Q2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3" s="25">
        <v>3</v>
      </c>
    </row>
    <row r="294" spans="1:20" s="26" customFormat="1" x14ac:dyDescent="0.25">
      <c r="A294" s="16">
        <v>234643</v>
      </c>
      <c r="B294" s="30" t="s">
        <v>1306</v>
      </c>
      <c r="C294" s="20" t="s">
        <v>648</v>
      </c>
      <c r="D294" s="20" t="s">
        <v>718</v>
      </c>
      <c r="E294" s="20" t="e">
        <v>#N/A</v>
      </c>
      <c r="F294" s="20" t="e">
        <v>#N/A</v>
      </c>
      <c r="G294" s="21">
        <v>13.4</v>
      </c>
      <c r="H294" s="16">
        <v>26</v>
      </c>
      <c r="I294" s="16"/>
      <c r="J2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94" s="22"/>
      <c r="L294" s="23"/>
      <c r="M294" s="23">
        <f>SUM(Tabela174681012142230322681619252731333624210121416182426283038402481012141620222628303234362426810121424610122426244262628262681026286236[[#This Row],[Saldo no cartão]:[Recarga Pendente]])</f>
        <v>0</v>
      </c>
      <c r="N294" s="19">
        <f>Tabela174681012142230322681619252731333624210121416182426283038402481012141620222628303234362426810121424610122426244262628262681026286236[[#This Row],[Uso diário]]*2</f>
        <v>26.8</v>
      </c>
      <c r="O294" s="19">
        <f>Tabela174681012142230322681619252731333624210121416182426283038402481012141620222628303234362426810121424610122426244262628262681026286236[[#This Row],[Total Acumulado]]-P294</f>
        <v>-67</v>
      </c>
      <c r="P294" s="48">
        <f>Tabela174681012142230322681619252731333624210121416182426283038402481012141620222628303234362426810121424610122426244262628262681026286236[[#This Row],[Uso diário]]*5</f>
        <v>67</v>
      </c>
      <c r="Q2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4" s="25">
        <v>3</v>
      </c>
    </row>
    <row r="295" spans="1:20" s="26" customFormat="1" x14ac:dyDescent="0.25">
      <c r="A295" s="16">
        <v>234695</v>
      </c>
      <c r="B295" s="30" t="s">
        <v>1346</v>
      </c>
      <c r="C295" s="20" t="s">
        <v>648</v>
      </c>
      <c r="D295" s="20" t="s">
        <v>718</v>
      </c>
      <c r="E295" s="20" t="s">
        <v>2115</v>
      </c>
      <c r="F295" s="20" t="s">
        <v>2116</v>
      </c>
      <c r="G295" s="21">
        <v>13.4</v>
      </c>
      <c r="H295" s="16">
        <v>26</v>
      </c>
      <c r="I295" s="16"/>
      <c r="J2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95" s="22"/>
      <c r="L295" s="23"/>
      <c r="M295" s="23">
        <f>SUM(Tabela174681012142230322681619252731333624210121416182426283038402481012141620222628303234362426810121424610122426244262628262681026286236[[#This Row],[Saldo no cartão]:[Recarga Pendente]])</f>
        <v>0</v>
      </c>
      <c r="N295" s="19">
        <f>Tabela174681012142230322681619252731333624210121416182426283038402481012141620222628303234362426810121424610122426244262628262681026286236[[#This Row],[Uso diário]]*2</f>
        <v>26.8</v>
      </c>
      <c r="O295" s="19">
        <f>Tabela174681012142230322681619252731333624210121416182426283038402481012141620222628303234362426810121424610122426244262628262681026286236[[#This Row],[Total Acumulado]]-P295</f>
        <v>-67</v>
      </c>
      <c r="P295" s="48">
        <f>Tabela174681012142230322681619252731333624210121416182426283038402481012141620222628303234362426810121424610122426244262628262681026286236[[#This Row],[Uso diário]]*5</f>
        <v>67</v>
      </c>
      <c r="Q2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5" s="25">
        <v>3</v>
      </c>
    </row>
    <row r="296" spans="1:20" s="26" customFormat="1" x14ac:dyDescent="0.25">
      <c r="A296" s="16">
        <v>234721</v>
      </c>
      <c r="B296" s="30" t="s">
        <v>1347</v>
      </c>
      <c r="C296" s="20" t="s">
        <v>648</v>
      </c>
      <c r="D296" s="20" t="s">
        <v>718</v>
      </c>
      <c r="E296" s="20" t="s">
        <v>2117</v>
      </c>
      <c r="F296" s="20" t="s">
        <v>2118</v>
      </c>
      <c r="G296" s="21">
        <v>13.4</v>
      </c>
      <c r="H296" s="16">
        <v>26</v>
      </c>
      <c r="I296" s="16"/>
      <c r="J2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96" s="22"/>
      <c r="L296" s="23"/>
      <c r="M296" s="23">
        <f>SUM(Tabela174681012142230322681619252731333624210121416182426283038402481012141620222628303234362426810121424610122426244262628262681026286236[[#This Row],[Saldo no cartão]:[Recarga Pendente]])</f>
        <v>0</v>
      </c>
      <c r="N296" s="19">
        <f>Tabela174681012142230322681619252731333624210121416182426283038402481012141620222628303234362426810121424610122426244262628262681026286236[[#This Row],[Uso diário]]*2</f>
        <v>26.8</v>
      </c>
      <c r="O296" s="19">
        <f>Tabela174681012142230322681619252731333624210121416182426283038402481012141620222628303234362426810121424610122426244262628262681026286236[[#This Row],[Total Acumulado]]-P296</f>
        <v>-67</v>
      </c>
      <c r="P296" s="48">
        <f>Tabela174681012142230322681619252731333624210121416182426283038402481012141620222628303234362426810121424610122426244262628262681026286236[[#This Row],[Uso diário]]*5</f>
        <v>67</v>
      </c>
      <c r="Q2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6" s="25">
        <v>3</v>
      </c>
    </row>
    <row r="297" spans="1:20" s="26" customFormat="1" x14ac:dyDescent="0.25">
      <c r="A297" s="16">
        <v>216088</v>
      </c>
      <c r="B297" s="30" t="s">
        <v>182</v>
      </c>
      <c r="C297" s="20" t="s">
        <v>650</v>
      </c>
      <c r="D297" s="20" t="s">
        <v>738</v>
      </c>
      <c r="E297" s="20" t="s">
        <v>2119</v>
      </c>
      <c r="F297" s="20" t="s">
        <v>2120</v>
      </c>
      <c r="G297" s="21">
        <v>18.8</v>
      </c>
      <c r="H297" s="16">
        <v>26</v>
      </c>
      <c r="I297" s="16"/>
      <c r="J2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297" s="22"/>
      <c r="L297" s="23">
        <v>18.8</v>
      </c>
      <c r="M297" s="23">
        <f>SUM(Tabela174681012142230322681619252731333624210121416182426283038402481012141620222628303234362426810121424610122426244262628262681026286236[[#This Row],[Saldo no cartão]:[Recarga Pendente]])</f>
        <v>18.8</v>
      </c>
      <c r="N297" s="19">
        <f>Tabela174681012142230322681619252731333624210121416182426283038402481012141620222628303234362426810121424610122426244262628262681026286236[[#This Row],[Uso diário]]*2</f>
        <v>37.6</v>
      </c>
      <c r="O297" s="19">
        <f>Tabela174681012142230322681619252731333624210121416182426283038402481012141620222628303234362426810121424610122426244262628262681026286236[[#This Row],[Total Acumulado]]-P297</f>
        <v>-75.2</v>
      </c>
      <c r="P297" s="48">
        <f>Tabela174681012142230322681619252731333624210121416182426283038402481012141620222628303234362426810121424610122426244262628262681026286236[[#This Row],[Uso diário]]*5</f>
        <v>94</v>
      </c>
      <c r="Q2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2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7" s="25">
        <v>3</v>
      </c>
    </row>
    <row r="298" spans="1:20" s="26" customFormat="1" x14ac:dyDescent="0.25">
      <c r="A298" s="16">
        <v>225888</v>
      </c>
      <c r="B298" s="30" t="s">
        <v>1421</v>
      </c>
      <c r="C298" s="20" t="s">
        <v>650</v>
      </c>
      <c r="D298" s="20" t="s">
        <v>726</v>
      </c>
      <c r="E298" s="20" t="s">
        <v>2121</v>
      </c>
      <c r="F298" s="20" t="s">
        <v>2122</v>
      </c>
      <c r="G298" s="21">
        <v>13.4</v>
      </c>
      <c r="H298" s="16">
        <v>26</v>
      </c>
      <c r="I298" s="16"/>
      <c r="J2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298" s="22"/>
      <c r="L298" s="23"/>
      <c r="M298" s="23">
        <f>SUM(Tabela174681012142230322681619252731333624210121416182426283038402481012141620222628303234362426810121424610122426244262628262681026286236[[#This Row],[Saldo no cartão]:[Recarga Pendente]])</f>
        <v>0</v>
      </c>
      <c r="N298" s="19">
        <f>Tabela174681012142230322681619252731333624210121416182426283038402481012141620222628303234362426810121424610122426244262628262681026286236[[#This Row],[Uso diário]]*2</f>
        <v>26.8</v>
      </c>
      <c r="O298" s="19">
        <f>Tabela174681012142230322681619252731333624210121416182426283038402481012141620222628303234362426810121424610122426244262628262681026286236[[#This Row],[Total Acumulado]]-P298</f>
        <v>-67</v>
      </c>
      <c r="P298" s="48">
        <f>Tabela174681012142230322681619252731333624210121416182426283038402481012141620222628303234362426810121424610122426244262628262681026286236[[#This Row],[Uso diário]]*5</f>
        <v>67</v>
      </c>
      <c r="Q2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2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2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298" s="25">
        <v>3</v>
      </c>
    </row>
    <row r="299" spans="1:20" s="26" customFormat="1" x14ac:dyDescent="0.25">
      <c r="A299" s="16">
        <v>225917</v>
      </c>
      <c r="B299" s="30" t="s">
        <v>180</v>
      </c>
      <c r="C299" s="20" t="s">
        <v>650</v>
      </c>
      <c r="D299" s="20" t="s">
        <v>726</v>
      </c>
      <c r="E299" s="20" t="s">
        <v>2123</v>
      </c>
      <c r="F299" s="20" t="s">
        <v>2124</v>
      </c>
      <c r="G299" s="21">
        <v>13.4</v>
      </c>
      <c r="H299" s="16">
        <v>26</v>
      </c>
      <c r="I299" s="16">
        <v>1</v>
      </c>
      <c r="J2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299" s="22"/>
      <c r="L299" s="23">
        <v>273.7</v>
      </c>
      <c r="M299" s="23">
        <f>SUM(Tabela174681012142230322681619252731333624210121416182426283038402481012141620222628303234362426810121424610122426244262628262681026286236[[#This Row],[Saldo no cartão]:[Recarga Pendente]])</f>
        <v>273.7</v>
      </c>
      <c r="N299" s="19">
        <f>Tabela174681012142230322681619252731333624210121416182426283038402481012141620222628303234362426810121424610122426244262628262681026286236[[#This Row],[Uso diário]]*2</f>
        <v>26.8</v>
      </c>
      <c r="O299" s="19">
        <f>Tabela174681012142230322681619252731333624210121416182426283038402481012141620222628303234362426810121424610122426244262628262681026286236[[#This Row],[Total Acumulado]]-P299</f>
        <v>206.7</v>
      </c>
      <c r="P299" s="48">
        <f>Tabela174681012142230322681619252731333624210121416182426283038402481012141620222628303234362426810121424610122426244262628262681026286236[[#This Row],[Uso diário]]*5</f>
        <v>67</v>
      </c>
      <c r="Q2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206.7</v>
      </c>
      <c r="R2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128.30000000000001</v>
      </c>
      <c r="S299" s="18" t="s">
        <v>11</v>
      </c>
      <c r="T299" s="25">
        <v>3</v>
      </c>
    </row>
    <row r="300" spans="1:20" s="26" customFormat="1" x14ac:dyDescent="0.25">
      <c r="A300" s="16">
        <v>3223</v>
      </c>
      <c r="B300" s="30" t="s">
        <v>183</v>
      </c>
      <c r="C300" s="20" t="s">
        <v>651</v>
      </c>
      <c r="D300" s="20" t="s">
        <v>719</v>
      </c>
      <c r="E300" s="20" t="s">
        <v>2125</v>
      </c>
      <c r="F300" s="20" t="s">
        <v>2126</v>
      </c>
      <c r="G300" s="21">
        <v>13.4</v>
      </c>
      <c r="H300" s="16">
        <v>16</v>
      </c>
      <c r="I300" s="16"/>
      <c r="J3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00" s="22"/>
      <c r="L300" s="23"/>
      <c r="M300" s="23">
        <f>SUM(Tabela174681012142230322681619252731333624210121416182426283038402481012141620222628303234362426810121424610122426244262628262681026286236[[#This Row],[Saldo no cartão]:[Recarga Pendente]])</f>
        <v>0</v>
      </c>
      <c r="N300" s="19">
        <f>Tabela174681012142230322681619252731333624210121416182426283038402481012141620222628303234362426810121424610122426244262628262681026286236[[#This Row],[Uso diário]]*2</f>
        <v>26.8</v>
      </c>
      <c r="O300" s="19">
        <f>Tabela174681012142230322681619252731333624210121416182426283038402481012141620222628303234362426810121424610122426244262628262681026286236[[#This Row],[Total Acumulado]]-P300</f>
        <v>-67</v>
      </c>
      <c r="P300" s="48">
        <f>Tabela174681012142230322681619252731333624210121416182426283038402481012141620222628303234362426810121424610122426244262628262681026286236[[#This Row],[Uso diário]]*5</f>
        <v>67</v>
      </c>
      <c r="Q3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0" s="25">
        <v>3</v>
      </c>
    </row>
    <row r="301" spans="1:20" s="26" customFormat="1" x14ac:dyDescent="0.25">
      <c r="A301" s="16">
        <v>4018</v>
      </c>
      <c r="B301" s="30" t="s">
        <v>184</v>
      </c>
      <c r="C301" s="20" t="s">
        <v>651</v>
      </c>
      <c r="D301" s="20" t="s">
        <v>717</v>
      </c>
      <c r="E301" s="20" t="s">
        <v>2127</v>
      </c>
      <c r="F301" s="20" t="s">
        <v>2128</v>
      </c>
      <c r="G301" s="21">
        <v>18.8</v>
      </c>
      <c r="H301" s="16">
        <v>16</v>
      </c>
      <c r="I301" s="16"/>
      <c r="J3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01" s="22"/>
      <c r="L301" s="23">
        <v>220</v>
      </c>
      <c r="M301" s="23">
        <f>SUM(Tabela174681012142230322681619252731333624210121416182426283038402481012141620222628303234362426810121424610122426244262628262681026286236[[#This Row],[Saldo no cartão]:[Recarga Pendente]])</f>
        <v>220</v>
      </c>
      <c r="N301" s="19">
        <f>Tabela174681012142230322681619252731333624210121416182426283038402481012141620222628303234362426810121424610122426244262628262681026286236[[#This Row],[Uso diário]]*2</f>
        <v>37.6</v>
      </c>
      <c r="O301" s="19">
        <f>Tabela174681012142230322681619252731333624210121416182426283038402481012141620222628303234362426810121424610122426244262628262681026286236[[#This Row],[Total Acumulado]]-P301</f>
        <v>126</v>
      </c>
      <c r="P301" s="48">
        <f>Tabela174681012142230322681619252731333624210121416182426283038402481012141620222628303234362426810121424610122426244262628262681026286236[[#This Row],[Uso diário]]*5</f>
        <v>94</v>
      </c>
      <c r="Q3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126</v>
      </c>
      <c r="R3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174.8</v>
      </c>
      <c r="S301" s="18" t="s">
        <v>11</v>
      </c>
      <c r="T301" s="25">
        <v>3</v>
      </c>
    </row>
    <row r="302" spans="1:20" s="26" customFormat="1" x14ac:dyDescent="0.25">
      <c r="A302" s="16">
        <v>202054</v>
      </c>
      <c r="B302" s="30" t="s">
        <v>185</v>
      </c>
      <c r="C302" s="20" t="s">
        <v>651</v>
      </c>
      <c r="D302" s="20" t="s">
        <v>719</v>
      </c>
      <c r="E302" s="20" t="s">
        <v>2129</v>
      </c>
      <c r="F302" s="20" t="s">
        <v>2130</v>
      </c>
      <c r="G302" s="21">
        <v>18.8</v>
      </c>
      <c r="H302" s="16">
        <v>16</v>
      </c>
      <c r="I302" s="16"/>
      <c r="J3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02" s="22"/>
      <c r="L302" s="23"/>
      <c r="M302" s="23">
        <f>SUM(Tabela174681012142230322681619252731333624210121416182426283038402481012141620222628303234362426810121424610122426244262628262681026286236[[#This Row],[Saldo no cartão]:[Recarga Pendente]])</f>
        <v>0</v>
      </c>
      <c r="N302" s="19">
        <f>Tabela174681012142230322681619252731333624210121416182426283038402481012141620222628303234362426810121424610122426244262628262681026286236[[#This Row],[Uso diário]]*2</f>
        <v>37.6</v>
      </c>
      <c r="O302" s="19">
        <f>Tabela174681012142230322681619252731333624210121416182426283038402481012141620222628303234362426810121424610122426244262628262681026286236[[#This Row],[Total Acumulado]]-P302</f>
        <v>-94</v>
      </c>
      <c r="P302" s="48">
        <f>Tabela174681012142230322681619252731333624210121416182426283038402481012141620222628303234362426810121424610122426244262628262681026286236[[#This Row],[Uso diário]]*5</f>
        <v>94</v>
      </c>
      <c r="Q3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2" s="25">
        <v>3</v>
      </c>
    </row>
    <row r="303" spans="1:20" s="26" customFormat="1" x14ac:dyDescent="0.25">
      <c r="A303" s="16">
        <v>209934</v>
      </c>
      <c r="B303" s="30" t="s">
        <v>186</v>
      </c>
      <c r="C303" s="20" t="s">
        <v>651</v>
      </c>
      <c r="D303" s="20" t="s">
        <v>719</v>
      </c>
      <c r="E303" s="20" t="s">
        <v>2131</v>
      </c>
      <c r="F303" s="20" t="s">
        <v>2132</v>
      </c>
      <c r="G303" s="21">
        <v>13.4</v>
      </c>
      <c r="H303" s="16">
        <v>16</v>
      </c>
      <c r="I303" s="16"/>
      <c r="J3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03" s="22"/>
      <c r="L303" s="23"/>
      <c r="M303" s="23">
        <f>SUM(Tabela174681012142230322681619252731333624210121416182426283038402481012141620222628303234362426810121424610122426244262628262681026286236[[#This Row],[Saldo no cartão]:[Recarga Pendente]])</f>
        <v>0</v>
      </c>
      <c r="N303" s="19">
        <f>Tabela174681012142230322681619252731333624210121416182426283038402481012141620222628303234362426810121424610122426244262628262681026286236[[#This Row],[Uso diário]]*2</f>
        <v>26.8</v>
      </c>
      <c r="O303" s="19">
        <f>Tabela174681012142230322681619252731333624210121416182426283038402481012141620222628303234362426810121424610122426244262628262681026286236[[#This Row],[Total Acumulado]]-P303</f>
        <v>-67</v>
      </c>
      <c r="P303" s="48">
        <f>Tabela174681012142230322681619252731333624210121416182426283038402481012141620222628303234362426810121424610122426244262628262681026286236[[#This Row],[Uso diário]]*5</f>
        <v>67</v>
      </c>
      <c r="Q3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3" s="25">
        <v>3</v>
      </c>
    </row>
    <row r="304" spans="1:20" s="26" customFormat="1" x14ac:dyDescent="0.25">
      <c r="A304" s="16">
        <v>214190</v>
      </c>
      <c r="B304" s="30" t="s">
        <v>1422</v>
      </c>
      <c r="C304" s="20" t="s">
        <v>651</v>
      </c>
      <c r="D304" s="20" t="s">
        <v>717</v>
      </c>
      <c r="E304" s="20" t="s">
        <v>2133</v>
      </c>
      <c r="F304" s="20" t="s">
        <v>2134</v>
      </c>
      <c r="G304" s="21">
        <v>18.8</v>
      </c>
      <c r="H304" s="16">
        <v>16</v>
      </c>
      <c r="I304" s="16"/>
      <c r="J3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04" s="22"/>
      <c r="L304" s="23"/>
      <c r="M304" s="23">
        <f>SUM(Tabela174681012142230322681619252731333624210121416182426283038402481012141620222628303234362426810121424610122426244262628262681026286236[[#This Row],[Saldo no cartão]:[Recarga Pendente]])</f>
        <v>0</v>
      </c>
      <c r="N304" s="19">
        <f>Tabela174681012142230322681619252731333624210121416182426283038402481012141620222628303234362426810121424610122426244262628262681026286236[[#This Row],[Uso diário]]*2</f>
        <v>37.6</v>
      </c>
      <c r="O304" s="19">
        <f>Tabela174681012142230322681619252731333624210121416182426283038402481012141620222628303234362426810121424610122426244262628262681026286236[[#This Row],[Total Acumulado]]-P304</f>
        <v>-94</v>
      </c>
      <c r="P304" s="48">
        <f>Tabela174681012142230322681619252731333624210121416182426283038402481012141620222628303234362426810121424610122426244262628262681026286236[[#This Row],[Uso diário]]*5</f>
        <v>94</v>
      </c>
      <c r="Q3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4" s="25">
        <v>3</v>
      </c>
    </row>
    <row r="305" spans="1:20" s="26" customFormat="1" x14ac:dyDescent="0.25">
      <c r="A305" s="16">
        <v>215130</v>
      </c>
      <c r="B305" s="30" t="s">
        <v>1046</v>
      </c>
      <c r="C305" s="20" t="s">
        <v>651</v>
      </c>
      <c r="D305" s="20" t="s">
        <v>719</v>
      </c>
      <c r="E305" s="20" t="s">
        <v>2135</v>
      </c>
      <c r="F305" s="20" t="s">
        <v>2136</v>
      </c>
      <c r="G305" s="21">
        <v>13.4</v>
      </c>
      <c r="H305" s="16">
        <v>16</v>
      </c>
      <c r="I305" s="16"/>
      <c r="J3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05" s="22"/>
      <c r="L305" s="23">
        <v>26.1</v>
      </c>
      <c r="M305" s="23">
        <f>SUM(Tabela174681012142230322681619252731333624210121416182426283038402481012141620222628303234362426810121424610122426244262628262681026286236[[#This Row],[Saldo no cartão]:[Recarga Pendente]])</f>
        <v>26.1</v>
      </c>
      <c r="N305" s="19">
        <f>Tabela174681012142230322681619252731333624210121416182426283038402481012141620222628303234362426810121424610122426244262628262681026286236[[#This Row],[Uso diário]]*2</f>
        <v>26.8</v>
      </c>
      <c r="O305" s="19">
        <f>Tabela174681012142230322681619252731333624210121416182426283038402481012141620222628303234362426810121424610122426244262628262681026286236[[#This Row],[Total Acumulado]]-P305</f>
        <v>-40.9</v>
      </c>
      <c r="P305" s="48">
        <f>Tabela174681012142230322681619252731333624210121416182426283038402481012141620222628303234362426810121424610122426244262628262681026286236[[#This Row],[Uso diário]]*5</f>
        <v>67</v>
      </c>
      <c r="Q3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5" s="25">
        <v>3</v>
      </c>
    </row>
    <row r="306" spans="1:20" s="26" customFormat="1" x14ac:dyDescent="0.25">
      <c r="A306" s="16">
        <v>216418</v>
      </c>
      <c r="B306" s="30" t="s">
        <v>1157</v>
      </c>
      <c r="C306" s="20" t="s">
        <v>651</v>
      </c>
      <c r="D306" s="20" t="s">
        <v>727</v>
      </c>
      <c r="E306" s="20" t="s">
        <v>2137</v>
      </c>
      <c r="F306" s="20" t="s">
        <v>2138</v>
      </c>
      <c r="G306" s="21">
        <v>18.8</v>
      </c>
      <c r="H306" s="16">
        <v>26</v>
      </c>
      <c r="I306" s="16"/>
      <c r="J3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06" s="22"/>
      <c r="L306" s="23"/>
      <c r="M306" s="23">
        <f>SUM(Tabela174681012142230322681619252731333624210121416182426283038402481012141620222628303234362426810121424610122426244262628262681026286236[[#This Row],[Saldo no cartão]:[Recarga Pendente]])</f>
        <v>0</v>
      </c>
      <c r="N306" s="19">
        <f>Tabela174681012142230322681619252731333624210121416182426283038402481012141620222628303234362426810121424610122426244262628262681026286236[[#This Row],[Uso diário]]*2</f>
        <v>37.6</v>
      </c>
      <c r="O306" s="19">
        <f>Tabela174681012142230322681619252731333624210121416182426283038402481012141620222628303234362426810121424610122426244262628262681026286236[[#This Row],[Total Acumulado]]-P306</f>
        <v>-94</v>
      </c>
      <c r="P306" s="48">
        <f>Tabela174681012142230322681619252731333624210121416182426283038402481012141620222628303234362426810121424610122426244262628262681026286236[[#This Row],[Uso diário]]*5</f>
        <v>94</v>
      </c>
      <c r="Q3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6" s="25">
        <v>3</v>
      </c>
    </row>
    <row r="307" spans="1:20" s="26" customFormat="1" x14ac:dyDescent="0.25">
      <c r="A307" s="16">
        <v>217032</v>
      </c>
      <c r="B307" s="30" t="s">
        <v>1047</v>
      </c>
      <c r="C307" s="20" t="s">
        <v>651</v>
      </c>
      <c r="D307" s="20" t="s">
        <v>719</v>
      </c>
      <c r="E307" s="20" t="s">
        <v>2139</v>
      </c>
      <c r="F307" s="20" t="s">
        <v>2140</v>
      </c>
      <c r="G307" s="21">
        <v>18.8</v>
      </c>
      <c r="H307" s="16">
        <v>16</v>
      </c>
      <c r="I307" s="16"/>
      <c r="J3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07" s="22"/>
      <c r="L307" s="23"/>
      <c r="M307" s="23">
        <f>SUM(Tabela174681012142230322681619252731333624210121416182426283038402481012141620222628303234362426810121424610122426244262628262681026286236[[#This Row],[Saldo no cartão]:[Recarga Pendente]])</f>
        <v>0</v>
      </c>
      <c r="N307" s="19">
        <f>Tabela174681012142230322681619252731333624210121416182426283038402481012141620222628303234362426810121424610122426244262628262681026286236[[#This Row],[Uso diário]]*2</f>
        <v>37.6</v>
      </c>
      <c r="O307" s="19">
        <f>Tabela174681012142230322681619252731333624210121416182426283038402481012141620222628303234362426810121424610122426244262628262681026286236[[#This Row],[Total Acumulado]]-P307</f>
        <v>-94</v>
      </c>
      <c r="P307" s="48">
        <f>Tabela174681012142230322681619252731333624210121416182426283038402481012141620222628303234362426810121424610122426244262628262681026286236[[#This Row],[Uso diário]]*5</f>
        <v>94</v>
      </c>
      <c r="Q3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7" s="25">
        <v>3</v>
      </c>
    </row>
    <row r="308" spans="1:20" s="26" customFormat="1" x14ac:dyDescent="0.25">
      <c r="A308" s="16">
        <v>219072</v>
      </c>
      <c r="B308" s="30" t="s">
        <v>188</v>
      </c>
      <c r="C308" s="20" t="s">
        <v>651</v>
      </c>
      <c r="D308" s="20" t="s">
        <v>716</v>
      </c>
      <c r="E308" s="20" t="s">
        <v>2141</v>
      </c>
      <c r="F308" s="20" t="s">
        <v>2142</v>
      </c>
      <c r="G308" s="21">
        <v>13.4</v>
      </c>
      <c r="H308" s="16">
        <v>16</v>
      </c>
      <c r="I308" s="16"/>
      <c r="J3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08" s="22"/>
      <c r="L308" s="23"/>
      <c r="M308" s="23">
        <f>SUM(Tabela174681012142230322681619252731333624210121416182426283038402481012141620222628303234362426810121424610122426244262628262681026286236[[#This Row],[Saldo no cartão]:[Recarga Pendente]])</f>
        <v>0</v>
      </c>
      <c r="N308" s="19">
        <f>Tabela174681012142230322681619252731333624210121416182426283038402481012141620222628303234362426810121424610122426244262628262681026286236[[#This Row],[Uso diário]]*2</f>
        <v>26.8</v>
      </c>
      <c r="O308" s="19">
        <f>Tabela174681012142230322681619252731333624210121416182426283038402481012141620222628303234362426810121424610122426244262628262681026286236[[#This Row],[Total Acumulado]]-P308</f>
        <v>-67</v>
      </c>
      <c r="P308" s="48">
        <f>Tabela174681012142230322681619252731333624210121416182426283038402481012141620222628303234362426810121424610122426244262628262681026286236[[#This Row],[Uso diário]]*5</f>
        <v>67</v>
      </c>
      <c r="Q3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8" s="25">
        <v>3</v>
      </c>
    </row>
    <row r="309" spans="1:20" s="26" customFormat="1" x14ac:dyDescent="0.25">
      <c r="A309" s="16">
        <v>219300</v>
      </c>
      <c r="B309" s="30" t="s">
        <v>189</v>
      </c>
      <c r="C309" s="20" t="s">
        <v>651</v>
      </c>
      <c r="D309" s="20" t="s">
        <v>719</v>
      </c>
      <c r="E309" s="20" t="s">
        <v>2143</v>
      </c>
      <c r="F309" s="20" t="s">
        <v>2144</v>
      </c>
      <c r="G309" s="21">
        <v>18.8</v>
      </c>
      <c r="H309" s="16">
        <v>16</v>
      </c>
      <c r="I309" s="16"/>
      <c r="J3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09" s="22"/>
      <c r="L309" s="23"/>
      <c r="M309" s="23">
        <f>SUM(Tabela174681012142230322681619252731333624210121416182426283038402481012141620222628303234362426810121424610122426244262628262681026286236[[#This Row],[Saldo no cartão]:[Recarga Pendente]])</f>
        <v>0</v>
      </c>
      <c r="N309" s="19">
        <f>Tabela174681012142230322681619252731333624210121416182426283038402481012141620222628303234362426810121424610122426244262628262681026286236[[#This Row],[Uso diário]]*2</f>
        <v>37.6</v>
      </c>
      <c r="O309" s="19">
        <f>Tabela174681012142230322681619252731333624210121416182426283038402481012141620222628303234362426810121424610122426244262628262681026286236[[#This Row],[Total Acumulado]]-P309</f>
        <v>-94</v>
      </c>
      <c r="P309" s="48">
        <f>Tabela174681012142230322681619252731333624210121416182426283038402481012141620222628303234362426810121424610122426244262628262681026286236[[#This Row],[Uso diário]]*5</f>
        <v>94</v>
      </c>
      <c r="Q3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09" s="25">
        <v>3</v>
      </c>
    </row>
    <row r="310" spans="1:20" s="26" customFormat="1" x14ac:dyDescent="0.25">
      <c r="A310" s="16">
        <v>222721</v>
      </c>
      <c r="B310" s="30" t="s">
        <v>1048</v>
      </c>
      <c r="C310" s="20" t="s">
        <v>651</v>
      </c>
      <c r="D310" s="20" t="s">
        <v>717</v>
      </c>
      <c r="E310" s="20" t="s">
        <v>2145</v>
      </c>
      <c r="F310" s="20" t="s">
        <v>2146</v>
      </c>
      <c r="G310" s="21">
        <v>18.8</v>
      </c>
      <c r="H310" s="16">
        <v>16</v>
      </c>
      <c r="I310" s="16"/>
      <c r="J3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10" s="22"/>
      <c r="L310" s="23">
        <v>204.2</v>
      </c>
      <c r="M310" s="23">
        <f>SUM(Tabela174681012142230322681619252731333624210121416182426283038402481012141620222628303234362426810121424610122426244262628262681026286236[[#This Row],[Saldo no cartão]:[Recarga Pendente]])</f>
        <v>204.2</v>
      </c>
      <c r="N310" s="19">
        <f>Tabela174681012142230322681619252731333624210121416182426283038402481012141620222628303234362426810121424610122426244262628262681026286236[[#This Row],[Uso diário]]*2</f>
        <v>37.6</v>
      </c>
      <c r="O310" s="19">
        <f>Tabela174681012142230322681619252731333624210121416182426283038402481012141620222628303234362426810121424610122426244262628262681026286236[[#This Row],[Total Acumulado]]-P310</f>
        <v>110.19999999999999</v>
      </c>
      <c r="P310" s="48">
        <f>Tabela174681012142230322681619252731333624210121416182426283038402481012141620222628303234362426810121424610122426244262628262681026286236[[#This Row],[Uso diário]]*5</f>
        <v>94</v>
      </c>
      <c r="Q3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110.19999999999999</v>
      </c>
      <c r="R3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190.60000000000002</v>
      </c>
      <c r="S310" s="18" t="s">
        <v>11</v>
      </c>
      <c r="T310" s="25">
        <v>3</v>
      </c>
    </row>
    <row r="311" spans="1:20" s="26" customFormat="1" x14ac:dyDescent="0.25">
      <c r="A311" s="16">
        <v>224580</v>
      </c>
      <c r="B311" s="30" t="s">
        <v>190</v>
      </c>
      <c r="C311" s="20" t="s">
        <v>651</v>
      </c>
      <c r="D311" s="20" t="s">
        <v>717</v>
      </c>
      <c r="E311" s="20" t="s">
        <v>2147</v>
      </c>
      <c r="F311" s="20" t="s">
        <v>2148</v>
      </c>
      <c r="G311" s="21">
        <v>13.4</v>
      </c>
      <c r="H311" s="16">
        <v>16</v>
      </c>
      <c r="I311" s="16">
        <v>3</v>
      </c>
      <c r="J3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174.20000000000002</v>
      </c>
      <c r="K311" s="22"/>
      <c r="L311" s="23"/>
      <c r="M311" s="23">
        <f>SUM(Tabela174681012142230322681619252731333624210121416182426283038402481012141620222628303234362426810121424610122426244262628262681026286236[[#This Row],[Saldo no cartão]:[Recarga Pendente]])</f>
        <v>0</v>
      </c>
      <c r="N311" s="19">
        <f>Tabela174681012142230322681619252731333624210121416182426283038402481012141620222628303234362426810121424610122426244262628262681026286236[[#This Row],[Uso diário]]*2</f>
        <v>26.8</v>
      </c>
      <c r="O311" s="19">
        <f>Tabela174681012142230322681619252731333624210121416182426283038402481012141620222628303234362426810121424610122426244262628262681026286236[[#This Row],[Total Acumulado]]-P311</f>
        <v>-67</v>
      </c>
      <c r="P311" s="48">
        <f>Tabela174681012142230322681619252731333624210121416182426283038402481012141620222628303234362426810121424610122426244262628262681026286236[[#This Row],[Uso diário]]*5</f>
        <v>67</v>
      </c>
      <c r="Q3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174.20000000000002</v>
      </c>
      <c r="S3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1" s="25">
        <v>3</v>
      </c>
    </row>
    <row r="312" spans="1:20" s="26" customFormat="1" x14ac:dyDescent="0.25">
      <c r="A312" s="16">
        <v>226818</v>
      </c>
      <c r="B312" s="30" t="s">
        <v>191</v>
      </c>
      <c r="C312" s="20" t="s">
        <v>651</v>
      </c>
      <c r="D312" s="20" t="s">
        <v>719</v>
      </c>
      <c r="E312" s="20" t="s">
        <v>2149</v>
      </c>
      <c r="F312" s="20" t="s">
        <v>2150</v>
      </c>
      <c r="G312" s="21">
        <v>18.8</v>
      </c>
      <c r="H312" s="16">
        <v>16</v>
      </c>
      <c r="I312" s="16"/>
      <c r="J3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12" s="22"/>
      <c r="L312" s="23"/>
      <c r="M312" s="23">
        <f>SUM(Tabela174681012142230322681619252731333624210121416182426283038402481012141620222628303234362426810121424610122426244262628262681026286236[[#This Row],[Saldo no cartão]:[Recarga Pendente]])</f>
        <v>0</v>
      </c>
      <c r="N312" s="19">
        <f>Tabela174681012142230322681619252731333624210121416182426283038402481012141620222628303234362426810121424610122426244262628262681026286236[[#This Row],[Uso diário]]*2</f>
        <v>37.6</v>
      </c>
      <c r="O312" s="19">
        <f>Tabela174681012142230322681619252731333624210121416182426283038402481012141620222628303234362426810121424610122426244262628262681026286236[[#This Row],[Total Acumulado]]-P312</f>
        <v>-94</v>
      </c>
      <c r="P312" s="48">
        <f>Tabela174681012142230322681619252731333624210121416182426283038402481012141620222628303234362426810121424610122426244262628262681026286236[[#This Row],[Uso diário]]*5</f>
        <v>94</v>
      </c>
      <c r="Q3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2" s="25">
        <v>3</v>
      </c>
    </row>
    <row r="313" spans="1:20" s="26" customFormat="1" x14ac:dyDescent="0.25">
      <c r="A313" s="16">
        <v>228543</v>
      </c>
      <c r="B313" s="30" t="s">
        <v>225</v>
      </c>
      <c r="C313" s="20" t="s">
        <v>651</v>
      </c>
      <c r="D313" s="20" t="s">
        <v>717</v>
      </c>
      <c r="E313" s="20" t="s">
        <v>2151</v>
      </c>
      <c r="F313" s="20" t="s">
        <v>2152</v>
      </c>
      <c r="G313" s="21">
        <v>18.8</v>
      </c>
      <c r="H313" s="16">
        <v>16</v>
      </c>
      <c r="I313" s="16"/>
      <c r="J3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13" s="22"/>
      <c r="L313" s="23"/>
      <c r="M313" s="23">
        <f>SUM(Tabela174681012142230322681619252731333624210121416182426283038402481012141620222628303234362426810121424610122426244262628262681026286236[[#This Row],[Saldo no cartão]:[Recarga Pendente]])</f>
        <v>0</v>
      </c>
      <c r="N313" s="19">
        <f>Tabela174681012142230322681619252731333624210121416182426283038402481012141620222628303234362426810121424610122426244262628262681026286236[[#This Row],[Uso diário]]*2</f>
        <v>37.6</v>
      </c>
      <c r="O313" s="19">
        <f>Tabela174681012142230322681619252731333624210121416182426283038402481012141620222628303234362426810121424610122426244262628262681026286236[[#This Row],[Total Acumulado]]-P313</f>
        <v>-94</v>
      </c>
      <c r="P313" s="48">
        <f>Tabela174681012142230322681619252731333624210121416182426283038402481012141620222628303234362426810121424610122426244262628262681026286236[[#This Row],[Uso diário]]*5</f>
        <v>94</v>
      </c>
      <c r="Q3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3" s="25">
        <v>3</v>
      </c>
    </row>
    <row r="314" spans="1:20" s="26" customFormat="1" x14ac:dyDescent="0.25">
      <c r="A314" s="16">
        <v>228576</v>
      </c>
      <c r="B314" s="30" t="s">
        <v>192</v>
      </c>
      <c r="C314" s="20" t="s">
        <v>651</v>
      </c>
      <c r="D314" s="20" t="s">
        <v>717</v>
      </c>
      <c r="E314" s="20" t="s">
        <v>2153</v>
      </c>
      <c r="F314" s="20" t="s">
        <v>2154</v>
      </c>
      <c r="G314" s="21">
        <v>13.4</v>
      </c>
      <c r="H314" s="16">
        <v>16</v>
      </c>
      <c r="I314" s="16"/>
      <c r="J3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14" s="22"/>
      <c r="L314" s="23"/>
      <c r="M314" s="23">
        <f>SUM(Tabela174681012142230322681619252731333624210121416182426283038402481012141620222628303234362426810121424610122426244262628262681026286236[[#This Row],[Saldo no cartão]:[Recarga Pendente]])</f>
        <v>0</v>
      </c>
      <c r="N314" s="19">
        <f>Tabela174681012142230322681619252731333624210121416182426283038402481012141620222628303234362426810121424610122426244262628262681026286236[[#This Row],[Uso diário]]*2</f>
        <v>26.8</v>
      </c>
      <c r="O314" s="19">
        <f>Tabela174681012142230322681619252731333624210121416182426283038402481012141620222628303234362426810121424610122426244262628262681026286236[[#This Row],[Total Acumulado]]-P314</f>
        <v>-67</v>
      </c>
      <c r="P314" s="48">
        <f>Tabela174681012142230322681619252731333624210121416182426283038402481012141620222628303234362426810121424610122426244262628262681026286236[[#This Row],[Uso diário]]*5</f>
        <v>67</v>
      </c>
      <c r="Q3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4" s="25">
        <v>3</v>
      </c>
    </row>
    <row r="315" spans="1:20" s="26" customFormat="1" x14ac:dyDescent="0.25">
      <c r="A315" s="16">
        <v>230500</v>
      </c>
      <c r="B315" s="30" t="s">
        <v>1158</v>
      </c>
      <c r="C315" s="20" t="s">
        <v>651</v>
      </c>
      <c r="D315" s="20" t="s">
        <v>716</v>
      </c>
      <c r="E315" s="20" t="s">
        <v>2155</v>
      </c>
      <c r="F315" s="20" t="s">
        <v>2156</v>
      </c>
      <c r="G315" s="21">
        <v>18.8</v>
      </c>
      <c r="H315" s="16">
        <v>16</v>
      </c>
      <c r="I315" s="16"/>
      <c r="J3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15" s="22"/>
      <c r="L315" s="23"/>
      <c r="M315" s="23">
        <f>SUM(Tabela174681012142230322681619252731333624210121416182426283038402481012141620222628303234362426810121424610122426244262628262681026286236[[#This Row],[Saldo no cartão]:[Recarga Pendente]])</f>
        <v>0</v>
      </c>
      <c r="N315" s="19">
        <f>Tabela174681012142230322681619252731333624210121416182426283038402481012141620222628303234362426810121424610122426244262628262681026286236[[#This Row],[Uso diário]]*2</f>
        <v>37.6</v>
      </c>
      <c r="O315" s="19">
        <f>Tabela174681012142230322681619252731333624210121416182426283038402481012141620222628303234362426810121424610122426244262628262681026286236[[#This Row],[Total Acumulado]]-P315</f>
        <v>-94</v>
      </c>
      <c r="P315" s="48">
        <f>Tabela174681012142230322681619252731333624210121416182426283038402481012141620222628303234362426810121424610122426244262628262681026286236[[#This Row],[Uso diário]]*5</f>
        <v>94</v>
      </c>
      <c r="Q3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5" s="25">
        <v>3</v>
      </c>
    </row>
    <row r="316" spans="1:20" s="26" customFormat="1" x14ac:dyDescent="0.25">
      <c r="A316" s="16">
        <v>230570</v>
      </c>
      <c r="B316" s="30" t="s">
        <v>1159</v>
      </c>
      <c r="C316" s="20" t="s">
        <v>651</v>
      </c>
      <c r="D316" s="20" t="s">
        <v>716</v>
      </c>
      <c r="E316" s="20" t="s">
        <v>2157</v>
      </c>
      <c r="F316" s="20" t="s">
        <v>2158</v>
      </c>
      <c r="G316" s="21">
        <v>13.4</v>
      </c>
      <c r="H316" s="16">
        <v>16</v>
      </c>
      <c r="I316" s="16"/>
      <c r="J3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16" s="22"/>
      <c r="L316" s="23"/>
      <c r="M316" s="23">
        <f>SUM(Tabela174681012142230322681619252731333624210121416182426283038402481012141620222628303234362426810121424610122426244262628262681026286236[[#This Row],[Saldo no cartão]:[Recarga Pendente]])</f>
        <v>0</v>
      </c>
      <c r="N316" s="19">
        <f>Tabela174681012142230322681619252731333624210121416182426283038402481012141620222628303234362426810121424610122426244262628262681026286236[[#This Row],[Uso diário]]*2</f>
        <v>26.8</v>
      </c>
      <c r="O316" s="19">
        <f>Tabela174681012142230322681619252731333624210121416182426283038402481012141620222628303234362426810121424610122426244262628262681026286236[[#This Row],[Total Acumulado]]-P316</f>
        <v>-67</v>
      </c>
      <c r="P316" s="48">
        <f>Tabela174681012142230322681619252731333624210121416182426283038402481012141620222628303234362426810121424610122426244262628262681026286236[[#This Row],[Uso diário]]*5</f>
        <v>67</v>
      </c>
      <c r="Q3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6" s="25">
        <v>3</v>
      </c>
    </row>
    <row r="317" spans="1:20" s="26" customFormat="1" x14ac:dyDescent="0.25">
      <c r="A317" s="16">
        <v>230878</v>
      </c>
      <c r="B317" s="30" t="s">
        <v>194</v>
      </c>
      <c r="C317" s="20" t="s">
        <v>651</v>
      </c>
      <c r="D317" s="20" t="s">
        <v>719</v>
      </c>
      <c r="E317" s="20" t="s">
        <v>2159</v>
      </c>
      <c r="F317" s="20" t="s">
        <v>2160</v>
      </c>
      <c r="G317" s="21">
        <v>13.4</v>
      </c>
      <c r="H317" s="16">
        <v>16</v>
      </c>
      <c r="I317" s="16">
        <v>1</v>
      </c>
      <c r="J3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317" s="22"/>
      <c r="L317" s="23"/>
      <c r="M317" s="23">
        <f>SUM(Tabela174681012142230322681619252731333624210121416182426283038402481012141620222628303234362426810121424610122426244262628262681026286236[[#This Row],[Saldo no cartão]:[Recarga Pendente]])</f>
        <v>0</v>
      </c>
      <c r="N317" s="19">
        <f>Tabela174681012142230322681619252731333624210121416182426283038402481012141620222628303234362426810121424610122426244262628262681026286236[[#This Row],[Uso diário]]*2</f>
        <v>26.8</v>
      </c>
      <c r="O317" s="19">
        <f>Tabela174681012142230322681619252731333624210121416182426283038402481012141620222628303234362426810121424610122426244262628262681026286236[[#This Row],[Total Acumulado]]-P317</f>
        <v>-67</v>
      </c>
      <c r="P317" s="48">
        <f>Tabela174681012142230322681619252731333624210121416182426283038402481012141620222628303234362426810121424610122426244262628262681026286236[[#This Row],[Uso diário]]*5</f>
        <v>67</v>
      </c>
      <c r="Q3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3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7" s="25">
        <v>3</v>
      </c>
    </row>
    <row r="318" spans="1:20" s="26" customFormat="1" x14ac:dyDescent="0.25">
      <c r="A318" s="16">
        <v>231147</v>
      </c>
      <c r="B318" s="30" t="s">
        <v>1160</v>
      </c>
      <c r="C318" s="20" t="s">
        <v>651</v>
      </c>
      <c r="D318" s="20" t="s">
        <v>716</v>
      </c>
      <c r="E318" s="20" t="s">
        <v>2161</v>
      </c>
      <c r="F318" s="20" t="s">
        <v>2162</v>
      </c>
      <c r="G318" s="21">
        <v>13.4</v>
      </c>
      <c r="H318" s="16">
        <v>4</v>
      </c>
      <c r="I318" s="16">
        <v>2</v>
      </c>
      <c r="J3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26.8</v>
      </c>
      <c r="K318" s="22"/>
      <c r="L318" s="23"/>
      <c r="M318" s="23">
        <f>SUM(Tabela174681012142230322681619252731333624210121416182426283038402481012141620222628303234362426810121424610122426244262628262681026286236[[#This Row],[Saldo no cartão]:[Recarga Pendente]])</f>
        <v>0</v>
      </c>
      <c r="N318" s="19">
        <f>Tabela174681012142230322681619252731333624210121416182426283038402481012141620222628303234362426810121424610122426244262628262681026286236[[#This Row],[Uso diário]]*2</f>
        <v>26.8</v>
      </c>
      <c r="O318" s="19">
        <f>Tabela174681012142230322681619252731333624210121416182426283038402481012141620222628303234362426810121424610122426244262628262681026286236[[#This Row],[Total Acumulado]]-P318</f>
        <v>-67</v>
      </c>
      <c r="P318" s="48">
        <f>Tabela174681012142230322681619252731333624210121416182426283038402481012141620222628303234362426810121424610122426244262628262681026286236[[#This Row],[Uso diário]]*5</f>
        <v>67</v>
      </c>
      <c r="Q3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26.8</v>
      </c>
      <c r="S3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8" s="25">
        <v>3</v>
      </c>
    </row>
    <row r="319" spans="1:20" s="26" customFormat="1" x14ac:dyDescent="0.25">
      <c r="A319" s="16">
        <v>232323</v>
      </c>
      <c r="B319" s="30" t="s">
        <v>1049</v>
      </c>
      <c r="C319" s="20" t="s">
        <v>651</v>
      </c>
      <c r="D319" s="20" t="s">
        <v>719</v>
      </c>
      <c r="E319" s="20" t="s">
        <v>2163</v>
      </c>
      <c r="F319" s="20" t="s">
        <v>2164</v>
      </c>
      <c r="G319" s="21">
        <v>13.4</v>
      </c>
      <c r="H319" s="16">
        <v>16</v>
      </c>
      <c r="I319" s="16">
        <v>2</v>
      </c>
      <c r="J3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187.6</v>
      </c>
      <c r="K319" s="22"/>
      <c r="L319" s="23"/>
      <c r="M319" s="23">
        <f>SUM(Tabela174681012142230322681619252731333624210121416182426283038402481012141620222628303234362426810121424610122426244262628262681026286236[[#This Row],[Saldo no cartão]:[Recarga Pendente]])</f>
        <v>0</v>
      </c>
      <c r="N319" s="19">
        <f>Tabela174681012142230322681619252731333624210121416182426283038402481012141620222628303234362426810121424610122426244262628262681026286236[[#This Row],[Uso diário]]*2</f>
        <v>26.8</v>
      </c>
      <c r="O319" s="19">
        <f>Tabela174681012142230322681619252731333624210121416182426283038402481012141620222628303234362426810121424610122426244262628262681026286236[[#This Row],[Total Acumulado]]-P319</f>
        <v>-67</v>
      </c>
      <c r="P319" s="48">
        <f>Tabela174681012142230322681619252731333624210121416182426283038402481012141620222628303234362426810121424610122426244262628262681026286236[[#This Row],[Uso diário]]*5</f>
        <v>67</v>
      </c>
      <c r="Q3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187.6</v>
      </c>
      <c r="S3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19" s="25">
        <v>3</v>
      </c>
    </row>
    <row r="320" spans="1:20" s="26" customFormat="1" x14ac:dyDescent="0.25">
      <c r="A320" s="16">
        <v>232326</v>
      </c>
      <c r="B320" s="30" t="s">
        <v>885</v>
      </c>
      <c r="C320" s="20" t="s">
        <v>651</v>
      </c>
      <c r="D320" s="20" t="s">
        <v>719</v>
      </c>
      <c r="E320" s="20" t="s">
        <v>2165</v>
      </c>
      <c r="F320" s="20" t="s">
        <v>2166</v>
      </c>
      <c r="G320" s="21">
        <v>13.4</v>
      </c>
      <c r="H320" s="16">
        <v>16</v>
      </c>
      <c r="I320" s="16">
        <v>1</v>
      </c>
      <c r="J3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320" s="22"/>
      <c r="L320" s="23"/>
      <c r="M320" s="23">
        <f>SUM(Tabela174681012142230322681619252731333624210121416182426283038402481012141620222628303234362426810121424610122426244262628262681026286236[[#This Row],[Saldo no cartão]:[Recarga Pendente]])</f>
        <v>0</v>
      </c>
      <c r="N320" s="19">
        <f>Tabela174681012142230322681619252731333624210121416182426283038402481012141620222628303234362426810121424610122426244262628262681026286236[[#This Row],[Uso diário]]*2</f>
        <v>26.8</v>
      </c>
      <c r="O320" s="19">
        <f>Tabela174681012142230322681619252731333624210121416182426283038402481012141620222628303234362426810121424610122426244262628262681026286236[[#This Row],[Total Acumulado]]-P320</f>
        <v>-67</v>
      </c>
      <c r="P320" s="48">
        <f>Tabela174681012142230322681619252731333624210121416182426283038402481012141620222628303234362426810121424610122426244262628262681026286236[[#This Row],[Uso diário]]*5</f>
        <v>67</v>
      </c>
      <c r="Q3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3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0" s="25">
        <v>3</v>
      </c>
    </row>
    <row r="321" spans="1:20" s="26" customFormat="1" x14ac:dyDescent="0.25">
      <c r="A321" s="16">
        <v>232670</v>
      </c>
      <c r="B321" s="30" t="s">
        <v>932</v>
      </c>
      <c r="C321" s="20" t="s">
        <v>651</v>
      </c>
      <c r="D321" s="20" t="s">
        <v>719</v>
      </c>
      <c r="E321" s="20" t="s">
        <v>2167</v>
      </c>
      <c r="F321" s="20" t="s">
        <v>2168</v>
      </c>
      <c r="G321" s="21">
        <v>18.8</v>
      </c>
      <c r="H321" s="16">
        <v>16</v>
      </c>
      <c r="I321" s="16"/>
      <c r="J3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321" s="22"/>
      <c r="L321" s="23"/>
      <c r="M321" s="23">
        <f>SUM(Tabela174681012142230322681619252731333624210121416182426283038402481012141620222628303234362426810121424610122426244262628262681026286236[[#This Row],[Saldo no cartão]:[Recarga Pendente]])</f>
        <v>0</v>
      </c>
      <c r="N321" s="19">
        <f>Tabela174681012142230322681619252731333624210121416182426283038402481012141620222628303234362426810121424610122426244262628262681026286236[[#This Row],[Uso diário]]*2</f>
        <v>37.6</v>
      </c>
      <c r="O321" s="19">
        <f>Tabela174681012142230322681619252731333624210121416182426283038402481012141620222628303234362426810121424610122426244262628262681026286236[[#This Row],[Total Acumulado]]-P321</f>
        <v>-94</v>
      </c>
      <c r="P321" s="48">
        <f>Tabela174681012142230322681619252731333624210121416182426283038402481012141620222628303234362426810121424610122426244262628262681026286236[[#This Row],[Uso diário]]*5</f>
        <v>94</v>
      </c>
      <c r="Q3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3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1" s="25">
        <v>3</v>
      </c>
    </row>
    <row r="322" spans="1:20" s="26" customFormat="1" x14ac:dyDescent="0.25">
      <c r="A322" s="16">
        <v>233352</v>
      </c>
      <c r="B322" s="30" t="s">
        <v>1050</v>
      </c>
      <c r="C322" s="20" t="s">
        <v>651</v>
      </c>
      <c r="D322" s="20" t="s">
        <v>716</v>
      </c>
      <c r="E322" s="20" t="s">
        <v>2169</v>
      </c>
      <c r="F322" s="20" t="s">
        <v>2170</v>
      </c>
      <c r="G322" s="21">
        <v>18.8</v>
      </c>
      <c r="H322" s="16">
        <v>16</v>
      </c>
      <c r="I322" s="16">
        <v>1</v>
      </c>
      <c r="J3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322" s="22"/>
      <c r="L322" s="23"/>
      <c r="M322" s="23">
        <f>SUM(Tabela174681012142230322681619252731333624210121416182426283038402481012141620222628303234362426810121424610122426244262628262681026286236[[#This Row],[Saldo no cartão]:[Recarga Pendente]])</f>
        <v>0</v>
      </c>
      <c r="N322" s="19">
        <f>Tabela174681012142230322681619252731333624210121416182426283038402481012141620222628303234362426810121424610122426244262628262681026286236[[#This Row],[Uso diário]]*2</f>
        <v>37.6</v>
      </c>
      <c r="O322" s="19">
        <f>Tabela174681012142230322681619252731333624210121416182426283038402481012141620222628303234362426810121424610122426244262628262681026286236[[#This Row],[Total Acumulado]]-P322</f>
        <v>-94</v>
      </c>
      <c r="P322" s="48">
        <f>Tabela174681012142230322681619252731333624210121416182426283038402481012141620222628303234362426810121424610122426244262628262681026286236[[#This Row],[Uso diário]]*5</f>
        <v>94</v>
      </c>
      <c r="Q3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3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2" s="25">
        <v>3</v>
      </c>
    </row>
    <row r="323" spans="1:20" s="26" customFormat="1" x14ac:dyDescent="0.25">
      <c r="A323" s="16">
        <v>233525</v>
      </c>
      <c r="B323" s="30" t="s">
        <v>1051</v>
      </c>
      <c r="C323" s="20" t="s">
        <v>651</v>
      </c>
      <c r="D323" s="20" t="s">
        <v>716</v>
      </c>
      <c r="E323" s="20" t="s">
        <v>2171</v>
      </c>
      <c r="F323" s="20" t="s">
        <v>2172</v>
      </c>
      <c r="G323" s="21">
        <v>13.4</v>
      </c>
      <c r="H323" s="16">
        <v>16</v>
      </c>
      <c r="I323" s="16">
        <v>4</v>
      </c>
      <c r="J3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160.80000000000001</v>
      </c>
      <c r="K323" s="22"/>
      <c r="L323" s="23"/>
      <c r="M323" s="23">
        <f>SUM(Tabela174681012142230322681619252731333624210121416182426283038402481012141620222628303234362426810121424610122426244262628262681026286236[[#This Row],[Saldo no cartão]:[Recarga Pendente]])</f>
        <v>0</v>
      </c>
      <c r="N323" s="19">
        <f>Tabela174681012142230322681619252731333624210121416182426283038402481012141620222628303234362426810121424610122426244262628262681026286236[[#This Row],[Uso diário]]*2</f>
        <v>26.8</v>
      </c>
      <c r="O323" s="19">
        <f>Tabela174681012142230322681619252731333624210121416182426283038402481012141620222628303234362426810121424610122426244262628262681026286236[[#This Row],[Total Acumulado]]-P323</f>
        <v>-67</v>
      </c>
      <c r="P323" s="48">
        <f>Tabela174681012142230322681619252731333624210121416182426283038402481012141620222628303234362426810121424610122426244262628262681026286236[[#This Row],[Uso diário]]*5</f>
        <v>67</v>
      </c>
      <c r="Q3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160.80000000000001</v>
      </c>
      <c r="S3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3" s="25">
        <v>3</v>
      </c>
    </row>
    <row r="324" spans="1:20" s="26" customFormat="1" x14ac:dyDescent="0.25">
      <c r="A324" s="16">
        <v>234028</v>
      </c>
      <c r="B324" s="30" t="s">
        <v>1161</v>
      </c>
      <c r="C324" s="20" t="s">
        <v>651</v>
      </c>
      <c r="D324" s="20" t="s">
        <v>719</v>
      </c>
      <c r="E324" s="20" t="s">
        <v>2173</v>
      </c>
      <c r="F324" s="20" t="s">
        <v>2174</v>
      </c>
      <c r="G324" s="21">
        <v>13.4</v>
      </c>
      <c r="H324" s="16">
        <v>16</v>
      </c>
      <c r="I324" s="16"/>
      <c r="J3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24" s="22"/>
      <c r="L324" s="23"/>
      <c r="M324" s="23">
        <f>SUM(Tabela174681012142230322681619252731333624210121416182426283038402481012141620222628303234362426810121424610122426244262628262681026286236[[#This Row],[Saldo no cartão]:[Recarga Pendente]])</f>
        <v>0</v>
      </c>
      <c r="N324" s="19">
        <f>Tabela174681012142230322681619252731333624210121416182426283038402481012141620222628303234362426810121424610122426244262628262681026286236[[#This Row],[Uso diário]]*2</f>
        <v>26.8</v>
      </c>
      <c r="O324" s="19">
        <f>Tabela174681012142230322681619252731333624210121416182426283038402481012141620222628303234362426810121424610122426244262628262681026286236[[#This Row],[Total Acumulado]]-P324</f>
        <v>-67</v>
      </c>
      <c r="P324" s="48">
        <f>Tabela174681012142230322681619252731333624210121416182426283038402481012141620222628303234362426810121424610122426244262628262681026286236[[#This Row],[Uso diário]]*5</f>
        <v>67</v>
      </c>
      <c r="Q3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4" s="25">
        <v>3</v>
      </c>
    </row>
    <row r="325" spans="1:20" s="26" customFormat="1" x14ac:dyDescent="0.25">
      <c r="A325" s="16">
        <v>234137</v>
      </c>
      <c r="B325" s="30" t="s">
        <v>1162</v>
      </c>
      <c r="C325" s="20" t="s">
        <v>651</v>
      </c>
      <c r="D325" s="20" t="s">
        <v>719</v>
      </c>
      <c r="E325" s="20" t="s">
        <v>2175</v>
      </c>
      <c r="F325" s="20" t="s">
        <v>2176</v>
      </c>
      <c r="G325" s="21">
        <v>13.4</v>
      </c>
      <c r="H325" s="16">
        <v>16</v>
      </c>
      <c r="I325" s="16"/>
      <c r="J3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25" s="22"/>
      <c r="L325" s="23"/>
      <c r="M325" s="23">
        <f>SUM(Tabela174681012142230322681619252731333624210121416182426283038402481012141620222628303234362426810121424610122426244262628262681026286236[[#This Row],[Saldo no cartão]:[Recarga Pendente]])</f>
        <v>0</v>
      </c>
      <c r="N325" s="19">
        <f>Tabela174681012142230322681619252731333624210121416182426283038402481012141620222628303234362426810121424610122426244262628262681026286236[[#This Row],[Uso diário]]*2</f>
        <v>26.8</v>
      </c>
      <c r="O325" s="19">
        <f>Tabela174681012142230322681619252731333624210121416182426283038402481012141620222628303234362426810121424610122426244262628262681026286236[[#This Row],[Total Acumulado]]-P325</f>
        <v>-67</v>
      </c>
      <c r="P325" s="48">
        <f>Tabela174681012142230322681619252731333624210121416182426283038402481012141620222628303234362426810121424610122426244262628262681026286236[[#This Row],[Uso diário]]*5</f>
        <v>67</v>
      </c>
      <c r="Q3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5" s="25">
        <v>3</v>
      </c>
    </row>
    <row r="326" spans="1:20" s="26" customFormat="1" x14ac:dyDescent="0.25">
      <c r="A326" s="16">
        <v>234441</v>
      </c>
      <c r="B326" s="30" t="s">
        <v>1279</v>
      </c>
      <c r="C326" s="20" t="s">
        <v>651</v>
      </c>
      <c r="D326" s="20" t="s">
        <v>716</v>
      </c>
      <c r="E326" s="20" t="s">
        <v>2177</v>
      </c>
      <c r="F326" s="20" t="s">
        <v>2178</v>
      </c>
      <c r="G326" s="21">
        <v>18.8</v>
      </c>
      <c r="H326" s="16">
        <v>16</v>
      </c>
      <c r="I326" s="16">
        <v>1</v>
      </c>
      <c r="J3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326" s="22"/>
      <c r="L326" s="23"/>
      <c r="M326" s="23">
        <f>SUM(Tabela174681012142230322681619252731333624210121416182426283038402481012141620222628303234362426810121424610122426244262628262681026286236[[#This Row],[Saldo no cartão]:[Recarga Pendente]])</f>
        <v>0</v>
      </c>
      <c r="N326" s="19">
        <f>Tabela174681012142230322681619252731333624210121416182426283038402481012141620222628303234362426810121424610122426244262628262681026286236[[#This Row],[Uso diário]]*2</f>
        <v>37.6</v>
      </c>
      <c r="O326" s="19">
        <f>Tabela174681012142230322681619252731333624210121416182426283038402481012141620222628303234362426810121424610122426244262628262681026286236[[#This Row],[Total Acumulado]]-P326</f>
        <v>-94</v>
      </c>
      <c r="P326" s="48">
        <f>Tabela174681012142230322681619252731333624210121416182426283038402481012141620222628303234362426810121424610122426244262628262681026286236[[#This Row],[Uso diário]]*5</f>
        <v>94</v>
      </c>
      <c r="Q3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3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6" s="25">
        <v>3</v>
      </c>
    </row>
    <row r="327" spans="1:20" s="26" customFormat="1" x14ac:dyDescent="0.25">
      <c r="A327" s="16">
        <v>234684</v>
      </c>
      <c r="B327" s="30" t="s">
        <v>1348</v>
      </c>
      <c r="C327" s="20" t="s">
        <v>651</v>
      </c>
      <c r="D327" s="20" t="s">
        <v>716</v>
      </c>
      <c r="E327" s="20" t="s">
        <v>2179</v>
      </c>
      <c r="F327" s="20" t="s">
        <v>2180</v>
      </c>
      <c r="G327" s="21">
        <v>13.4</v>
      </c>
      <c r="H327" s="16">
        <v>16</v>
      </c>
      <c r="I327" s="16"/>
      <c r="J3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327" s="22"/>
      <c r="L327" s="23"/>
      <c r="M327" s="23">
        <f>SUM(Tabela174681012142230322681619252731333624210121416182426283038402481012141620222628303234362426810121424610122426244262628262681026286236[[#This Row],[Saldo no cartão]:[Recarga Pendente]])</f>
        <v>0</v>
      </c>
      <c r="N327" s="19">
        <f>Tabela174681012142230322681619252731333624210121416182426283038402481012141620222628303234362426810121424610122426244262628262681026286236[[#This Row],[Uso diário]]*2</f>
        <v>26.8</v>
      </c>
      <c r="O327" s="19">
        <f>Tabela174681012142230322681619252731333624210121416182426283038402481012141620222628303234362426810121424610122426244262628262681026286236[[#This Row],[Total Acumulado]]-P327</f>
        <v>-67</v>
      </c>
      <c r="P327" s="48">
        <f>Tabela174681012142230322681619252731333624210121416182426283038402481012141620222628303234362426810121424610122426244262628262681026286236[[#This Row],[Uso diário]]*5</f>
        <v>67</v>
      </c>
      <c r="Q3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3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7" s="25">
        <v>3</v>
      </c>
    </row>
    <row r="328" spans="1:20" s="26" customFormat="1" x14ac:dyDescent="0.25">
      <c r="A328" s="16">
        <v>201332</v>
      </c>
      <c r="B328" s="30" t="s">
        <v>196</v>
      </c>
      <c r="C328" s="20" t="s">
        <v>652</v>
      </c>
      <c r="D328" s="20" t="s">
        <v>739</v>
      </c>
      <c r="E328" s="20" t="s">
        <v>2181</v>
      </c>
      <c r="F328" s="20" t="s">
        <v>2182</v>
      </c>
      <c r="G328" s="21">
        <v>13.4</v>
      </c>
      <c r="H328" s="16">
        <v>26</v>
      </c>
      <c r="I328" s="16"/>
      <c r="J3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28" s="22"/>
      <c r="L328" s="23">
        <v>23.8</v>
      </c>
      <c r="M328" s="23">
        <f>SUM(Tabela174681012142230322681619252731333624210121416182426283038402481012141620222628303234362426810121424610122426244262628262681026286236[[#This Row],[Saldo no cartão]:[Recarga Pendente]])</f>
        <v>23.8</v>
      </c>
      <c r="N328" s="19">
        <f>Tabela174681012142230322681619252731333624210121416182426283038402481012141620222628303234362426810121424610122426244262628262681026286236[[#This Row],[Uso diário]]*2</f>
        <v>26.8</v>
      </c>
      <c r="O328" s="19">
        <f>Tabela174681012142230322681619252731333624210121416182426283038402481012141620222628303234362426810121424610122426244262628262681026286236[[#This Row],[Total Acumulado]]-P328</f>
        <v>-43.2</v>
      </c>
      <c r="P328" s="48">
        <f>Tabela174681012142230322681619252731333624210121416182426283038402481012141620222628303234362426810121424610122426244262628262681026286236[[#This Row],[Uso diário]]*5</f>
        <v>67</v>
      </c>
      <c r="Q3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8" s="25">
        <v>3</v>
      </c>
    </row>
    <row r="329" spans="1:20" s="26" customFormat="1" x14ac:dyDescent="0.25">
      <c r="A329" s="16">
        <v>209023</v>
      </c>
      <c r="B329" s="30" t="s">
        <v>197</v>
      </c>
      <c r="C329" s="20" t="s">
        <v>652</v>
      </c>
      <c r="D329" s="20" t="s">
        <v>728</v>
      </c>
      <c r="E329" s="20" t="s">
        <v>2183</v>
      </c>
      <c r="F329" s="20" t="s">
        <v>2184</v>
      </c>
      <c r="G329" s="21">
        <v>26.8</v>
      </c>
      <c r="H329" s="16">
        <v>26</v>
      </c>
      <c r="I329" s="16"/>
      <c r="J3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696.80000000000007</v>
      </c>
      <c r="K329" s="22"/>
      <c r="L329" s="23"/>
      <c r="M329" s="23">
        <f>SUM(Tabela174681012142230322681619252731333624210121416182426283038402481012141620222628303234362426810121424610122426244262628262681026286236[[#This Row],[Saldo no cartão]:[Recarga Pendente]])</f>
        <v>0</v>
      </c>
      <c r="N329" s="19">
        <f>Tabela174681012142230322681619252731333624210121416182426283038402481012141620222628303234362426810121424610122426244262628262681026286236[[#This Row],[Uso diário]]*2</f>
        <v>53.6</v>
      </c>
      <c r="O329" s="19">
        <f>Tabela174681012142230322681619252731333624210121416182426283038402481012141620222628303234362426810121424610122426244262628262681026286236[[#This Row],[Total Acumulado]]-P329</f>
        <v>-134</v>
      </c>
      <c r="P329" s="48">
        <f>Tabela174681012142230322681619252731333624210121416182426283038402481012141620222628303234362426810121424610122426244262628262681026286236[[#This Row],[Uso diário]]*5</f>
        <v>134</v>
      </c>
      <c r="Q3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696.80000000000007</v>
      </c>
      <c r="S3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29" s="25">
        <v>3</v>
      </c>
    </row>
    <row r="330" spans="1:20" s="26" customFormat="1" x14ac:dyDescent="0.25">
      <c r="A330" s="16">
        <v>224581</v>
      </c>
      <c r="B330" s="30" t="s">
        <v>248</v>
      </c>
      <c r="C330" s="20" t="s">
        <v>1388</v>
      </c>
      <c r="D330" s="20" t="s">
        <v>1389</v>
      </c>
      <c r="E330" s="20" t="s">
        <v>2185</v>
      </c>
      <c r="F330" s="20" t="s">
        <v>2186</v>
      </c>
      <c r="G330" s="21">
        <v>18.8</v>
      </c>
      <c r="H330" s="16">
        <v>26</v>
      </c>
      <c r="I330" s="16"/>
      <c r="J3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30" s="22"/>
      <c r="L330" s="23"/>
      <c r="M330" s="23">
        <f>SUM(Tabela174681012142230322681619252731333624210121416182426283038402481012141620222628303234362426810121424610122426244262628262681026286236[[#This Row],[Saldo no cartão]:[Recarga Pendente]])</f>
        <v>0</v>
      </c>
      <c r="N330" s="19">
        <f>Tabela174681012142230322681619252731333624210121416182426283038402481012141620222628303234362426810121424610122426244262628262681026286236[[#This Row],[Uso diário]]*2</f>
        <v>37.6</v>
      </c>
      <c r="O330" s="19">
        <f>Tabela174681012142230322681619252731333624210121416182426283038402481012141620222628303234362426810121424610122426244262628262681026286236[[#This Row],[Total Acumulado]]-P330</f>
        <v>-94</v>
      </c>
      <c r="P330" s="48">
        <f>Tabela174681012142230322681619252731333624210121416182426283038402481012141620222628303234362426810121424610122426244262628262681026286236[[#This Row],[Uso diário]]*5</f>
        <v>94</v>
      </c>
      <c r="Q3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0" s="25">
        <v>3</v>
      </c>
    </row>
    <row r="331" spans="1:20" s="26" customFormat="1" x14ac:dyDescent="0.25">
      <c r="A331" s="16">
        <v>205755</v>
      </c>
      <c r="B331" s="30" t="s">
        <v>1052</v>
      </c>
      <c r="C331" s="20" t="s">
        <v>635</v>
      </c>
      <c r="D331" s="20" t="s">
        <v>698</v>
      </c>
      <c r="E331" s="20" t="s">
        <v>2187</v>
      </c>
      <c r="F331" s="20" t="s">
        <v>2188</v>
      </c>
      <c r="G331" s="21">
        <v>18.8</v>
      </c>
      <c r="H331" s="16">
        <v>26</v>
      </c>
      <c r="I331" s="16">
        <v>2</v>
      </c>
      <c r="J3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331" s="22"/>
      <c r="L331" s="23"/>
      <c r="M331" s="23">
        <f>SUM(Tabela174681012142230322681619252731333624210121416182426283038402481012141620222628303234362426810121424610122426244262628262681026286236[[#This Row],[Saldo no cartão]:[Recarga Pendente]])</f>
        <v>0</v>
      </c>
      <c r="N331" s="19">
        <f>Tabela174681012142230322681619252731333624210121416182426283038402481012141620222628303234362426810121424610122426244262628262681026286236[[#This Row],[Uso diário]]*2</f>
        <v>37.6</v>
      </c>
      <c r="O331" s="19">
        <f>Tabela174681012142230322681619252731333624210121416182426283038402481012141620222628303234362426810121424610122426244262628262681026286236[[#This Row],[Total Acumulado]]-P331</f>
        <v>-94</v>
      </c>
      <c r="P331" s="48">
        <f>Tabela174681012142230322681619252731333624210121416182426283038402481012141620222628303234362426810121424610122426244262628262681026286236[[#This Row],[Uso diário]]*5</f>
        <v>94</v>
      </c>
      <c r="Q3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3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1" s="25">
        <v>3</v>
      </c>
    </row>
    <row r="332" spans="1:20" s="26" customFormat="1" x14ac:dyDescent="0.25">
      <c r="A332" s="16">
        <v>210446</v>
      </c>
      <c r="B332" s="30" t="s">
        <v>198</v>
      </c>
      <c r="C332" s="20" t="s">
        <v>635</v>
      </c>
      <c r="D332" s="20" t="s">
        <v>698</v>
      </c>
      <c r="E332" s="20" t="s">
        <v>2189</v>
      </c>
      <c r="F332" s="20" t="s">
        <v>2190</v>
      </c>
      <c r="G332" s="21">
        <v>13.4</v>
      </c>
      <c r="H332" s="16">
        <v>26</v>
      </c>
      <c r="I332" s="16"/>
      <c r="J3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32" s="22"/>
      <c r="L332" s="23"/>
      <c r="M332" s="23">
        <f>SUM(Tabela174681012142230322681619252731333624210121416182426283038402481012141620222628303234362426810121424610122426244262628262681026286236[[#This Row],[Saldo no cartão]:[Recarga Pendente]])</f>
        <v>0</v>
      </c>
      <c r="N332" s="19">
        <f>Tabela174681012142230322681619252731333624210121416182426283038402481012141620222628303234362426810121424610122426244262628262681026286236[[#This Row],[Uso diário]]*2</f>
        <v>26.8</v>
      </c>
      <c r="O332" s="19">
        <f>Tabela174681012142230322681619252731333624210121416182426283038402481012141620222628303234362426810121424610122426244262628262681026286236[[#This Row],[Total Acumulado]]-P332</f>
        <v>-67</v>
      </c>
      <c r="P332" s="48">
        <f>Tabela174681012142230322681619252731333624210121416182426283038402481012141620222628303234362426810121424610122426244262628262681026286236[[#This Row],[Uso diário]]*5</f>
        <v>67</v>
      </c>
      <c r="Q3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2" s="25">
        <v>3</v>
      </c>
    </row>
    <row r="333" spans="1:20" s="26" customFormat="1" x14ac:dyDescent="0.25">
      <c r="A333" s="16">
        <v>229318</v>
      </c>
      <c r="B333" s="30" t="s">
        <v>1423</v>
      </c>
      <c r="C333" s="20" t="s">
        <v>636</v>
      </c>
      <c r="D333" s="20" t="s">
        <v>729</v>
      </c>
      <c r="E333" s="20" t="s">
        <v>2191</v>
      </c>
      <c r="F333" s="20" t="s">
        <v>2192</v>
      </c>
      <c r="G333" s="21">
        <v>13.4</v>
      </c>
      <c r="H333" s="16">
        <v>22</v>
      </c>
      <c r="I333" s="16">
        <v>3</v>
      </c>
      <c r="J3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254.6</v>
      </c>
      <c r="K333" s="22"/>
      <c r="L333" s="23"/>
      <c r="M333" s="23">
        <f>SUM(Tabela174681012142230322681619252731333624210121416182426283038402481012141620222628303234362426810121424610122426244262628262681026286236[[#This Row],[Saldo no cartão]:[Recarga Pendente]])</f>
        <v>0</v>
      </c>
      <c r="N333" s="19">
        <f>Tabela174681012142230322681619252731333624210121416182426283038402481012141620222628303234362426810121424610122426244262628262681026286236[[#This Row],[Uso diário]]*2</f>
        <v>26.8</v>
      </c>
      <c r="O333" s="19">
        <f>Tabela174681012142230322681619252731333624210121416182426283038402481012141620222628303234362426810121424610122426244262628262681026286236[[#This Row],[Total Acumulado]]-P333</f>
        <v>-67</v>
      </c>
      <c r="P333" s="48">
        <f>Tabela174681012142230322681619252731333624210121416182426283038402481012141620222628303234362426810121424610122426244262628262681026286236[[#This Row],[Uso diário]]*5</f>
        <v>67</v>
      </c>
      <c r="Q3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254.6</v>
      </c>
      <c r="S3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3" s="25">
        <v>3</v>
      </c>
    </row>
    <row r="334" spans="1:20" s="26" customFormat="1" x14ac:dyDescent="0.25">
      <c r="A334" s="16">
        <v>233019</v>
      </c>
      <c r="B334" s="30" t="s">
        <v>964</v>
      </c>
      <c r="C334" s="20" t="s">
        <v>636</v>
      </c>
      <c r="D334" s="20" t="s">
        <v>730</v>
      </c>
      <c r="E334" s="20" t="s">
        <v>2193</v>
      </c>
      <c r="F334" s="20" t="s">
        <v>2194</v>
      </c>
      <c r="G334" s="21">
        <v>13.4</v>
      </c>
      <c r="H334" s="16">
        <v>22</v>
      </c>
      <c r="I334" s="16"/>
      <c r="J3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334" s="22"/>
      <c r="L334" s="23"/>
      <c r="M334" s="23">
        <f>SUM(Tabela174681012142230322681619252731333624210121416182426283038402481012141620222628303234362426810121424610122426244262628262681026286236[[#This Row],[Saldo no cartão]:[Recarga Pendente]])</f>
        <v>0</v>
      </c>
      <c r="N334" s="19">
        <f>Tabela174681012142230322681619252731333624210121416182426283038402481012141620222628303234362426810121424610122426244262628262681026286236[[#This Row],[Uso diário]]*2</f>
        <v>26.8</v>
      </c>
      <c r="O334" s="19">
        <f>Tabela174681012142230322681619252731333624210121416182426283038402481012141620222628303234362426810121424610122426244262628262681026286236[[#This Row],[Total Acumulado]]-P334</f>
        <v>-67</v>
      </c>
      <c r="P334" s="48">
        <f>Tabela174681012142230322681619252731333624210121416182426283038402481012141620222628303234362426810121424610122426244262628262681026286236[[#This Row],[Uso diário]]*5</f>
        <v>67</v>
      </c>
      <c r="Q3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3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4" s="25">
        <v>3</v>
      </c>
    </row>
    <row r="335" spans="1:20" s="26" customFormat="1" x14ac:dyDescent="0.25">
      <c r="A335" s="16">
        <v>233020</v>
      </c>
      <c r="B335" s="30" t="s">
        <v>965</v>
      </c>
      <c r="C335" s="20" t="s">
        <v>636</v>
      </c>
      <c r="D335" s="20" t="s">
        <v>730</v>
      </c>
      <c r="E335" s="20" t="s">
        <v>2195</v>
      </c>
      <c r="F335" s="20" t="s">
        <v>2196</v>
      </c>
      <c r="G335" s="21">
        <v>13.4</v>
      </c>
      <c r="H335" s="16">
        <v>22</v>
      </c>
      <c r="I335" s="16">
        <v>20</v>
      </c>
      <c r="J3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26.8</v>
      </c>
      <c r="K335" s="22"/>
      <c r="L335" s="23"/>
      <c r="M335" s="23">
        <f>SUM(Tabela174681012142230322681619252731333624210121416182426283038402481012141620222628303234362426810121424610122426244262628262681026286236[[#This Row],[Saldo no cartão]:[Recarga Pendente]])</f>
        <v>0</v>
      </c>
      <c r="N335" s="19">
        <f>Tabela174681012142230322681619252731333624210121416182426283038402481012141620222628303234362426810121424610122426244262628262681026286236[[#This Row],[Uso diário]]*2</f>
        <v>26.8</v>
      </c>
      <c r="O335" s="19">
        <f>Tabela174681012142230322681619252731333624210121416182426283038402481012141620222628303234362426810121424610122426244262628262681026286236[[#This Row],[Total Acumulado]]-P335</f>
        <v>-67</v>
      </c>
      <c r="P335" s="48">
        <f>Tabela174681012142230322681619252731333624210121416182426283038402481012141620222628303234362426810121424610122426244262628262681026286236[[#This Row],[Uso diário]]*5</f>
        <v>67</v>
      </c>
      <c r="Q3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26.8</v>
      </c>
      <c r="S3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5" s="25">
        <v>3</v>
      </c>
    </row>
    <row r="336" spans="1:20" s="26" customFormat="1" x14ac:dyDescent="0.25">
      <c r="A336" s="16">
        <v>233213</v>
      </c>
      <c r="B336" s="30" t="s">
        <v>966</v>
      </c>
      <c r="C336" s="20" t="s">
        <v>636</v>
      </c>
      <c r="D336" s="20" t="s">
        <v>729</v>
      </c>
      <c r="E336" s="20" t="s">
        <v>2197</v>
      </c>
      <c r="F336" s="20" t="s">
        <v>2198</v>
      </c>
      <c r="G336" s="21">
        <v>6.7</v>
      </c>
      <c r="H336" s="16">
        <v>22</v>
      </c>
      <c r="I336" s="16"/>
      <c r="J3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147.4</v>
      </c>
      <c r="K336" s="22"/>
      <c r="L336" s="23"/>
      <c r="M336" s="23">
        <f>SUM(Tabela174681012142230322681619252731333624210121416182426283038402481012141620222628303234362426810121424610122426244262628262681026286236[[#This Row],[Saldo no cartão]:[Recarga Pendente]])</f>
        <v>0</v>
      </c>
      <c r="N336" s="19">
        <f>Tabela174681012142230322681619252731333624210121416182426283038402481012141620222628303234362426810121424610122426244262628262681026286236[[#This Row],[Uso diário]]*2</f>
        <v>13.4</v>
      </c>
      <c r="O336" s="19">
        <f>Tabela174681012142230322681619252731333624210121416182426283038402481012141620222628303234362426810121424610122426244262628262681026286236[[#This Row],[Total Acumulado]]-P336</f>
        <v>-33.5</v>
      </c>
      <c r="P336" s="48">
        <f>Tabela174681012142230322681619252731333624210121416182426283038402481012141620222628303234362426810121424610122426244262628262681026286236[[#This Row],[Uso diário]]*5</f>
        <v>33.5</v>
      </c>
      <c r="Q3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147.4</v>
      </c>
      <c r="S3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6" s="25">
        <v>3</v>
      </c>
    </row>
    <row r="337" spans="1:20" s="26" customFormat="1" x14ac:dyDescent="0.25">
      <c r="A337" s="16">
        <v>233214</v>
      </c>
      <c r="B337" s="30" t="s">
        <v>967</v>
      </c>
      <c r="C337" s="20" t="s">
        <v>636</v>
      </c>
      <c r="D337" s="20" t="s">
        <v>729</v>
      </c>
      <c r="E337" s="20" t="s">
        <v>2199</v>
      </c>
      <c r="F337" s="20" t="s">
        <v>2200</v>
      </c>
      <c r="G337" s="21">
        <v>6.7</v>
      </c>
      <c r="H337" s="16">
        <v>22</v>
      </c>
      <c r="I337" s="16">
        <v>3</v>
      </c>
      <c r="J3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127.3</v>
      </c>
      <c r="K337" s="22"/>
      <c r="L337" s="23"/>
      <c r="M337" s="23">
        <f>SUM(Tabela174681012142230322681619252731333624210121416182426283038402481012141620222628303234362426810121424610122426244262628262681026286236[[#This Row],[Saldo no cartão]:[Recarga Pendente]])</f>
        <v>0</v>
      </c>
      <c r="N337" s="19">
        <f>Tabela174681012142230322681619252731333624210121416182426283038402481012141620222628303234362426810121424610122426244262628262681026286236[[#This Row],[Uso diário]]*2</f>
        <v>13.4</v>
      </c>
      <c r="O337" s="19">
        <f>Tabela174681012142230322681619252731333624210121416182426283038402481012141620222628303234362426810121424610122426244262628262681026286236[[#This Row],[Total Acumulado]]-P337</f>
        <v>-33.5</v>
      </c>
      <c r="P337" s="48">
        <f>Tabela174681012142230322681619252731333624210121416182426283038402481012141620222628303234362426810121424610122426244262628262681026286236[[#This Row],[Uso diário]]*5</f>
        <v>33.5</v>
      </c>
      <c r="Q3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127.3</v>
      </c>
      <c r="S3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7" s="25">
        <v>3</v>
      </c>
    </row>
    <row r="338" spans="1:20" s="26" customFormat="1" x14ac:dyDescent="0.25">
      <c r="A338" s="16">
        <v>233215</v>
      </c>
      <c r="B338" s="30" t="s">
        <v>968</v>
      </c>
      <c r="C338" s="20" t="s">
        <v>636</v>
      </c>
      <c r="D338" s="20" t="s">
        <v>729</v>
      </c>
      <c r="E338" s="20" t="s">
        <v>2201</v>
      </c>
      <c r="F338" s="20" t="s">
        <v>2202</v>
      </c>
      <c r="G338" s="21">
        <v>13.4</v>
      </c>
      <c r="H338" s="16">
        <v>22</v>
      </c>
      <c r="I338" s="16">
        <v>2</v>
      </c>
      <c r="J3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268</v>
      </c>
      <c r="K338" s="22"/>
      <c r="L338" s="23"/>
      <c r="M338" s="23">
        <f>SUM(Tabela174681012142230322681619252731333624210121416182426283038402481012141620222628303234362426810121424610122426244262628262681026286236[[#This Row],[Saldo no cartão]:[Recarga Pendente]])</f>
        <v>0</v>
      </c>
      <c r="N338" s="19">
        <f>Tabela174681012142230322681619252731333624210121416182426283038402481012141620222628303234362426810121424610122426244262628262681026286236[[#This Row],[Uso diário]]*2</f>
        <v>26.8</v>
      </c>
      <c r="O338" s="19">
        <f>Tabela174681012142230322681619252731333624210121416182426283038402481012141620222628303234362426810121424610122426244262628262681026286236[[#This Row],[Total Acumulado]]-P338</f>
        <v>-67</v>
      </c>
      <c r="P338" s="48">
        <f>Tabela174681012142230322681619252731333624210121416182426283038402481012141620222628303234362426810121424610122426244262628262681026286236[[#This Row],[Uso diário]]*5</f>
        <v>67</v>
      </c>
      <c r="Q3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268</v>
      </c>
      <c r="S3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8" s="25">
        <v>3</v>
      </c>
    </row>
    <row r="339" spans="1:20" s="26" customFormat="1" x14ac:dyDescent="0.25">
      <c r="A339" s="16">
        <v>233216</v>
      </c>
      <c r="B339" s="30" t="s">
        <v>969</v>
      </c>
      <c r="C339" s="20" t="s">
        <v>636</v>
      </c>
      <c r="D339" s="20" t="s">
        <v>729</v>
      </c>
      <c r="E339" s="20" t="s">
        <v>2203</v>
      </c>
      <c r="F339" s="20" t="s">
        <v>2204</v>
      </c>
      <c r="G339" s="21">
        <v>6.7</v>
      </c>
      <c r="H339" s="16">
        <v>22</v>
      </c>
      <c r="I339" s="16"/>
      <c r="J3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147.4</v>
      </c>
      <c r="K339" s="22"/>
      <c r="L339" s="23"/>
      <c r="M339" s="23">
        <f>SUM(Tabela174681012142230322681619252731333624210121416182426283038402481012141620222628303234362426810121424610122426244262628262681026286236[[#This Row],[Saldo no cartão]:[Recarga Pendente]])</f>
        <v>0</v>
      </c>
      <c r="N339" s="19">
        <f>Tabela174681012142230322681619252731333624210121416182426283038402481012141620222628303234362426810121424610122426244262628262681026286236[[#This Row],[Uso diário]]*2</f>
        <v>13.4</v>
      </c>
      <c r="O339" s="19">
        <f>Tabela174681012142230322681619252731333624210121416182426283038402481012141620222628303234362426810121424610122426244262628262681026286236[[#This Row],[Total Acumulado]]-P339</f>
        <v>-33.5</v>
      </c>
      <c r="P339" s="48">
        <f>Tabela174681012142230322681619252731333624210121416182426283038402481012141620222628303234362426810121424610122426244262628262681026286236[[#This Row],[Uso diário]]*5</f>
        <v>33.5</v>
      </c>
      <c r="Q3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147.4</v>
      </c>
      <c r="S3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39" s="25">
        <v>3</v>
      </c>
    </row>
    <row r="340" spans="1:20" s="26" customFormat="1" x14ac:dyDescent="0.25">
      <c r="A340" s="16">
        <v>233217</v>
      </c>
      <c r="B340" s="30" t="s">
        <v>970</v>
      </c>
      <c r="C340" s="20" t="s">
        <v>636</v>
      </c>
      <c r="D340" s="20" t="s">
        <v>729</v>
      </c>
      <c r="E340" s="20" t="s">
        <v>2205</v>
      </c>
      <c r="F340" s="20" t="s">
        <v>2206</v>
      </c>
      <c r="G340" s="21">
        <v>13.4</v>
      </c>
      <c r="H340" s="16">
        <v>22</v>
      </c>
      <c r="I340" s="16">
        <v>5</v>
      </c>
      <c r="J3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227.8</v>
      </c>
      <c r="K340" s="22"/>
      <c r="L340" s="23"/>
      <c r="M340" s="23">
        <f>SUM(Tabela174681012142230322681619252731333624210121416182426283038402481012141620222628303234362426810121424610122426244262628262681026286236[[#This Row],[Saldo no cartão]:[Recarga Pendente]])</f>
        <v>0</v>
      </c>
      <c r="N340" s="19">
        <f>Tabela174681012142230322681619252731333624210121416182426283038402481012141620222628303234362426810121424610122426244262628262681026286236[[#This Row],[Uso diário]]*2</f>
        <v>26.8</v>
      </c>
      <c r="O340" s="19">
        <f>Tabela174681012142230322681619252731333624210121416182426283038402481012141620222628303234362426810121424610122426244262628262681026286236[[#This Row],[Total Acumulado]]-P340</f>
        <v>-67</v>
      </c>
      <c r="P340" s="48">
        <f>Tabela174681012142230322681619252731333624210121416182426283038402481012141620222628303234362426810121424610122426244262628262681026286236[[#This Row],[Uso diário]]*5</f>
        <v>67</v>
      </c>
      <c r="Q3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227.8</v>
      </c>
      <c r="S3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0" s="25">
        <v>3</v>
      </c>
    </row>
    <row r="341" spans="1:20" s="26" customFormat="1" ht="22.5" x14ac:dyDescent="0.25">
      <c r="A341" s="16">
        <v>235110</v>
      </c>
      <c r="B341" s="30" t="s">
        <v>1546</v>
      </c>
      <c r="C341" s="20" t="s">
        <v>721</v>
      </c>
      <c r="D341" s="20" t="s">
        <v>721</v>
      </c>
      <c r="E341" s="56" t="s">
        <v>2207</v>
      </c>
      <c r="F341" s="56" t="s">
        <v>2208</v>
      </c>
      <c r="G341" s="21">
        <v>13.4</v>
      </c>
      <c r="H341" s="16"/>
      <c r="I341" s="16"/>
      <c r="J3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0</v>
      </c>
      <c r="K341" s="22"/>
      <c r="L341" s="23"/>
      <c r="M341" s="23">
        <f>SUM(Tabela174681012142230322681619252731333624210121416182426283038402481012141620222628303234362426810121424610122426244262628262681026286236[[#This Row],[Saldo no cartão]:[Recarga Pendente]])</f>
        <v>0</v>
      </c>
      <c r="N341" s="19">
        <f>Tabela174681012142230322681619252731333624210121416182426283038402481012141620222628303234362426810121424610122426244262628262681026286236[[#This Row],[Uso diário]]*2</f>
        <v>26.8</v>
      </c>
      <c r="O341" s="19">
        <f>Tabela174681012142230322681619252731333624210121416182426283038402481012141620222628303234362426810121424610122426244262628262681026286236[[#This Row],[Total Acumulado]]-P341</f>
        <v>-67</v>
      </c>
      <c r="P341" s="48">
        <f>Tabela174681012142230322681619252731333624210121416182426283038402481012141620222628303234362426810121424610122426244262628262681026286236[[#This Row],[Uso diário]]*5</f>
        <v>67</v>
      </c>
      <c r="Q3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341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341" s="25"/>
    </row>
    <row r="342" spans="1:20" s="26" customFormat="1" x14ac:dyDescent="0.25">
      <c r="A342" s="16">
        <v>233218</v>
      </c>
      <c r="B342" s="30" t="s">
        <v>971</v>
      </c>
      <c r="C342" s="20" t="s">
        <v>636</v>
      </c>
      <c r="D342" s="20" t="s">
        <v>729</v>
      </c>
      <c r="E342" s="20" t="s">
        <v>2209</v>
      </c>
      <c r="F342" s="20" t="s">
        <v>2210</v>
      </c>
      <c r="G342" s="21">
        <v>6.7</v>
      </c>
      <c r="H342" s="16">
        <v>22</v>
      </c>
      <c r="I342" s="16">
        <v>6</v>
      </c>
      <c r="J3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107.2</v>
      </c>
      <c r="K342" s="22"/>
      <c r="L342" s="23"/>
      <c r="M342" s="23">
        <f>SUM(Tabela174681012142230322681619252731333624210121416182426283038402481012141620222628303234362426810121424610122426244262628262681026286236[[#This Row],[Saldo no cartão]:[Recarga Pendente]])</f>
        <v>0</v>
      </c>
      <c r="N342" s="19">
        <f>Tabela174681012142230322681619252731333624210121416182426283038402481012141620222628303234362426810121424610122426244262628262681026286236[[#This Row],[Uso diário]]*2</f>
        <v>13.4</v>
      </c>
      <c r="O342" s="19">
        <f>Tabela174681012142230322681619252731333624210121416182426283038402481012141620222628303234362426810121424610122426244262628262681026286236[[#This Row],[Total Acumulado]]-P342</f>
        <v>-33.5</v>
      </c>
      <c r="P342" s="48">
        <f>Tabela174681012142230322681619252731333624210121416182426283038402481012141620222628303234362426810121424610122426244262628262681026286236[[#This Row],[Uso diário]]*5</f>
        <v>33.5</v>
      </c>
      <c r="Q3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107.2</v>
      </c>
      <c r="S3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2" s="25">
        <v>3</v>
      </c>
    </row>
    <row r="343" spans="1:20" s="26" customFormat="1" x14ac:dyDescent="0.25">
      <c r="A343" s="16">
        <v>3015</v>
      </c>
      <c r="B343" s="30" t="s">
        <v>1053</v>
      </c>
      <c r="C343" s="20" t="s">
        <v>653</v>
      </c>
      <c r="D343" s="20" t="s">
        <v>714</v>
      </c>
      <c r="E343" s="20" t="s">
        <v>2211</v>
      </c>
      <c r="F343" s="20" t="s">
        <v>2212</v>
      </c>
      <c r="G343" s="21">
        <v>10</v>
      </c>
      <c r="H343" s="16">
        <v>26</v>
      </c>
      <c r="I343" s="16"/>
      <c r="J3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343" s="22"/>
      <c r="L343" s="23"/>
      <c r="M343" s="23">
        <f>SUM(Tabela174681012142230322681619252731333624210121416182426283038402481012141620222628303234362426810121424610122426244262628262681026286236[[#This Row],[Saldo no cartão]:[Recarga Pendente]])</f>
        <v>0</v>
      </c>
      <c r="N343" s="19">
        <f>Tabela174681012142230322681619252731333624210121416182426283038402481012141620222628303234362426810121424610122426244262628262681026286236[[#This Row],[Uso diário]]*2</f>
        <v>20</v>
      </c>
      <c r="O343" s="19">
        <f>Tabela174681012142230322681619252731333624210121416182426283038402481012141620222628303234362426810121424610122426244262628262681026286236[[#This Row],[Total Acumulado]]-P343</f>
        <v>-50</v>
      </c>
      <c r="P343" s="48">
        <f>Tabela174681012142230322681619252731333624210121416182426283038402481012141620222628303234362426810121424610122426244262628262681026286236[[#This Row],[Uso diário]]*5</f>
        <v>50</v>
      </c>
      <c r="Q3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3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3" s="25">
        <v>3</v>
      </c>
    </row>
    <row r="344" spans="1:20" s="26" customFormat="1" x14ac:dyDescent="0.25">
      <c r="A344" s="16">
        <v>215497</v>
      </c>
      <c r="B344" s="30" t="s">
        <v>1424</v>
      </c>
      <c r="C344" s="20" t="s">
        <v>653</v>
      </c>
      <c r="D344" s="20" t="s">
        <v>891</v>
      </c>
      <c r="E344" s="20" t="s">
        <v>2213</v>
      </c>
      <c r="F344" s="20" t="s">
        <v>2214</v>
      </c>
      <c r="G344" s="21">
        <v>13.4</v>
      </c>
      <c r="H344" s="16">
        <v>26</v>
      </c>
      <c r="I344" s="16"/>
      <c r="J3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44" s="22"/>
      <c r="L344" s="23">
        <v>40.200000000000003</v>
      </c>
      <c r="M344" s="23">
        <f>SUM(Tabela174681012142230322681619252731333624210121416182426283038402481012141620222628303234362426810121424610122426244262628262681026286236[[#This Row],[Saldo no cartão]:[Recarga Pendente]])</f>
        <v>40.200000000000003</v>
      </c>
      <c r="N344" s="19">
        <f>Tabela174681012142230322681619252731333624210121416182426283038402481012141620222628303234362426810121424610122426244262628262681026286236[[#This Row],[Uso diário]]*2</f>
        <v>26.8</v>
      </c>
      <c r="O344" s="19">
        <f>Tabela174681012142230322681619252731333624210121416182426283038402481012141620222628303234362426810121424610122426244262628262681026286236[[#This Row],[Total Acumulado]]-P344</f>
        <v>-26.799999999999997</v>
      </c>
      <c r="P344" s="48">
        <f>Tabela174681012142230322681619252731333624210121416182426283038402481012141620222628303234362426810121424610122426244262628262681026286236[[#This Row],[Uso diário]]*5</f>
        <v>67</v>
      </c>
      <c r="Q3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4" s="25">
        <v>3</v>
      </c>
    </row>
    <row r="345" spans="1:20" s="26" customFormat="1" x14ac:dyDescent="0.25">
      <c r="A345" s="16">
        <v>216629</v>
      </c>
      <c r="B345" s="30" t="s">
        <v>1054</v>
      </c>
      <c r="C345" s="20" t="s">
        <v>653</v>
      </c>
      <c r="D345" s="20" t="s">
        <v>891</v>
      </c>
      <c r="E345" s="20" t="s">
        <v>2215</v>
      </c>
      <c r="F345" s="20" t="s">
        <v>2216</v>
      </c>
      <c r="G345" s="21">
        <v>18.8</v>
      </c>
      <c r="H345" s="16">
        <v>26</v>
      </c>
      <c r="I345" s="16"/>
      <c r="J3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45" s="22"/>
      <c r="L345" s="23"/>
      <c r="M345" s="23">
        <f>SUM(Tabela174681012142230322681619252731333624210121416182426283038402481012141620222628303234362426810121424610122426244262628262681026286236[[#This Row],[Saldo no cartão]:[Recarga Pendente]])</f>
        <v>0</v>
      </c>
      <c r="N345" s="19">
        <f>Tabela174681012142230322681619252731333624210121416182426283038402481012141620222628303234362426810121424610122426244262628262681026286236[[#This Row],[Uso diário]]*2</f>
        <v>37.6</v>
      </c>
      <c r="O345" s="19">
        <f>Tabela174681012142230322681619252731333624210121416182426283038402481012141620222628303234362426810121424610122426244262628262681026286236[[#This Row],[Total Acumulado]]-P345</f>
        <v>-94</v>
      </c>
      <c r="P345" s="48">
        <f>Tabela174681012142230322681619252731333624210121416182426283038402481012141620222628303234362426810121424610122426244262628262681026286236[[#This Row],[Uso diário]]*5</f>
        <v>94</v>
      </c>
      <c r="Q3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5" s="25">
        <v>3</v>
      </c>
    </row>
    <row r="346" spans="1:20" s="26" customFormat="1" x14ac:dyDescent="0.25">
      <c r="A346" s="16">
        <v>218469</v>
      </c>
      <c r="B346" s="30" t="s">
        <v>199</v>
      </c>
      <c r="C346" s="20" t="s">
        <v>653</v>
      </c>
      <c r="D346" s="20" t="s">
        <v>714</v>
      </c>
      <c r="E346" s="20" t="s">
        <v>2217</v>
      </c>
      <c r="F346" s="20" t="s">
        <v>2218</v>
      </c>
      <c r="G346" s="21">
        <v>13.4</v>
      </c>
      <c r="H346" s="16">
        <v>26</v>
      </c>
      <c r="I346" s="16"/>
      <c r="J3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46" s="22"/>
      <c r="L346" s="23"/>
      <c r="M346" s="23">
        <f>SUM(Tabela174681012142230322681619252731333624210121416182426283038402481012141620222628303234362426810121424610122426244262628262681026286236[[#This Row],[Saldo no cartão]:[Recarga Pendente]])</f>
        <v>0</v>
      </c>
      <c r="N346" s="19">
        <f>Tabela174681012142230322681619252731333624210121416182426283038402481012141620222628303234362426810121424610122426244262628262681026286236[[#This Row],[Uso diário]]*2</f>
        <v>26.8</v>
      </c>
      <c r="O346" s="19">
        <f>Tabela174681012142230322681619252731333624210121416182426283038402481012141620222628303234362426810121424610122426244262628262681026286236[[#This Row],[Total Acumulado]]-P346</f>
        <v>-67</v>
      </c>
      <c r="P346" s="48">
        <f>Tabela174681012142230322681619252731333624210121416182426283038402481012141620222628303234362426810121424610122426244262628262681026286236[[#This Row],[Uso diário]]*5</f>
        <v>67</v>
      </c>
      <c r="Q3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6" s="25">
        <v>3</v>
      </c>
    </row>
    <row r="347" spans="1:20" s="26" customFormat="1" x14ac:dyDescent="0.25">
      <c r="A347" s="16">
        <v>226799</v>
      </c>
      <c r="B347" s="30" t="s">
        <v>200</v>
      </c>
      <c r="C347" s="20" t="s">
        <v>653</v>
      </c>
      <c r="D347" s="20" t="s">
        <v>714</v>
      </c>
      <c r="E347" s="20" t="s">
        <v>2219</v>
      </c>
      <c r="F347" s="20" t="s">
        <v>2220</v>
      </c>
      <c r="G347" s="21">
        <v>18.8</v>
      </c>
      <c r="H347" s="16">
        <v>26</v>
      </c>
      <c r="I347" s="16"/>
      <c r="J3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47" s="22"/>
      <c r="L347" s="23"/>
      <c r="M347" s="23">
        <f>SUM(Tabela174681012142230322681619252731333624210121416182426283038402481012141620222628303234362426810121424610122426244262628262681026286236[[#This Row],[Saldo no cartão]:[Recarga Pendente]])</f>
        <v>0</v>
      </c>
      <c r="N347" s="19">
        <f>Tabela174681012142230322681619252731333624210121416182426283038402481012141620222628303234362426810121424610122426244262628262681026286236[[#This Row],[Uso diário]]*2</f>
        <v>37.6</v>
      </c>
      <c r="O347" s="19">
        <f>Tabela174681012142230322681619252731333624210121416182426283038402481012141620222628303234362426810121424610122426244262628262681026286236[[#This Row],[Total Acumulado]]-P347</f>
        <v>-94</v>
      </c>
      <c r="P347" s="48">
        <f>Tabela174681012142230322681619252731333624210121416182426283038402481012141620222628303234362426810121424610122426244262628262681026286236[[#This Row],[Uso diário]]*5</f>
        <v>94</v>
      </c>
      <c r="Q3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7" s="25">
        <v>3</v>
      </c>
    </row>
    <row r="348" spans="1:20" s="26" customFormat="1" x14ac:dyDescent="0.25">
      <c r="A348" s="16">
        <v>211844</v>
      </c>
      <c r="B348" s="30" t="s">
        <v>201</v>
      </c>
      <c r="C348" s="20" t="s">
        <v>654</v>
      </c>
      <c r="D348" s="20" t="s">
        <v>715</v>
      </c>
      <c r="E348" s="20" t="s">
        <v>2221</v>
      </c>
      <c r="F348" s="20" t="s">
        <v>2222</v>
      </c>
      <c r="G348" s="21">
        <v>18.8</v>
      </c>
      <c r="H348" s="16">
        <v>26</v>
      </c>
      <c r="I348" s="16"/>
      <c r="J3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48" s="22"/>
      <c r="L348" s="23"/>
      <c r="M348" s="23">
        <f>SUM(Tabela174681012142230322681619252731333624210121416182426283038402481012141620222628303234362426810121424610122426244262628262681026286236[[#This Row],[Saldo no cartão]:[Recarga Pendente]])</f>
        <v>0</v>
      </c>
      <c r="N348" s="19">
        <f>Tabela174681012142230322681619252731333624210121416182426283038402481012141620222628303234362426810121424610122426244262628262681026286236[[#This Row],[Uso diário]]*2</f>
        <v>37.6</v>
      </c>
      <c r="O348" s="19">
        <f>Tabela174681012142230322681619252731333624210121416182426283038402481012141620222628303234362426810121424610122426244262628262681026286236[[#This Row],[Total Acumulado]]-P348</f>
        <v>-94</v>
      </c>
      <c r="P348" s="48">
        <f>Tabela174681012142230322681619252731333624210121416182426283038402481012141620222628303234362426810121424610122426244262628262681026286236[[#This Row],[Uso diário]]*5</f>
        <v>94</v>
      </c>
      <c r="Q3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8" s="25">
        <v>3</v>
      </c>
    </row>
    <row r="349" spans="1:20" s="26" customFormat="1" x14ac:dyDescent="0.25">
      <c r="A349" s="16">
        <v>213013</v>
      </c>
      <c r="B349" s="30" t="s">
        <v>1425</v>
      </c>
      <c r="C349" s="20" t="s">
        <v>654</v>
      </c>
      <c r="D349" s="20" t="s">
        <v>715</v>
      </c>
      <c r="E349" s="20" t="s">
        <v>2223</v>
      </c>
      <c r="F349" s="20" t="s">
        <v>2224</v>
      </c>
      <c r="G349" s="21">
        <v>13.4</v>
      </c>
      <c r="H349" s="16">
        <v>26</v>
      </c>
      <c r="I349" s="16"/>
      <c r="J3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49" s="22"/>
      <c r="L349" s="23"/>
      <c r="M349" s="23">
        <f>SUM(Tabela174681012142230322681619252731333624210121416182426283038402481012141620222628303234362426810121424610122426244262628262681026286236[[#This Row],[Saldo no cartão]:[Recarga Pendente]])</f>
        <v>0</v>
      </c>
      <c r="N349" s="19">
        <f>Tabela174681012142230322681619252731333624210121416182426283038402481012141620222628303234362426810121424610122426244262628262681026286236[[#This Row],[Uso diário]]*2</f>
        <v>26.8</v>
      </c>
      <c r="O349" s="19">
        <f>Tabela174681012142230322681619252731333624210121416182426283038402481012141620222628303234362426810121424610122426244262628262681026286236[[#This Row],[Total Acumulado]]-P349</f>
        <v>-67</v>
      </c>
      <c r="P349" s="48">
        <f>Tabela174681012142230322681619252731333624210121416182426283038402481012141620222628303234362426810121424610122426244262628262681026286236[[#This Row],[Uso diário]]*5</f>
        <v>67</v>
      </c>
      <c r="Q3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49" s="25">
        <v>3</v>
      </c>
    </row>
    <row r="350" spans="1:20" s="26" customFormat="1" x14ac:dyDescent="0.25">
      <c r="A350" s="16">
        <v>213076</v>
      </c>
      <c r="B350" s="30" t="s">
        <v>202</v>
      </c>
      <c r="C350" s="20" t="s">
        <v>654</v>
      </c>
      <c r="D350" s="20" t="s">
        <v>715</v>
      </c>
      <c r="E350" s="20" t="s">
        <v>2225</v>
      </c>
      <c r="F350" s="20" t="s">
        <v>2226</v>
      </c>
      <c r="G350" s="21">
        <v>13.4</v>
      </c>
      <c r="H350" s="16">
        <v>26</v>
      </c>
      <c r="I350" s="16"/>
      <c r="J3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50" s="22"/>
      <c r="L350" s="23"/>
      <c r="M350" s="23">
        <f>SUM(Tabela174681012142230322681619252731333624210121416182426283038402481012141620222628303234362426810121424610122426244262628262681026286236[[#This Row],[Saldo no cartão]:[Recarga Pendente]])</f>
        <v>0</v>
      </c>
      <c r="N350" s="19">
        <f>Tabela174681012142230322681619252731333624210121416182426283038402481012141620222628303234362426810121424610122426244262628262681026286236[[#This Row],[Uso diário]]*2</f>
        <v>26.8</v>
      </c>
      <c r="O350" s="19">
        <f>Tabela174681012142230322681619252731333624210121416182426283038402481012141620222628303234362426810121424610122426244262628262681026286236[[#This Row],[Total Acumulado]]-P350</f>
        <v>-67</v>
      </c>
      <c r="P350" s="48">
        <f>Tabela174681012142230322681619252731333624210121416182426283038402481012141620222628303234362426810121424610122426244262628262681026286236[[#This Row],[Uso diário]]*5</f>
        <v>67</v>
      </c>
      <c r="Q3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0" s="25">
        <v>3</v>
      </c>
    </row>
    <row r="351" spans="1:20" s="26" customFormat="1" x14ac:dyDescent="0.25">
      <c r="A351" s="16">
        <v>215307</v>
      </c>
      <c r="B351" s="30" t="s">
        <v>203</v>
      </c>
      <c r="C351" s="20" t="s">
        <v>654</v>
      </c>
      <c r="D351" s="20" t="s">
        <v>715</v>
      </c>
      <c r="E351" s="20" t="s">
        <v>2227</v>
      </c>
      <c r="F351" s="20" t="s">
        <v>2228</v>
      </c>
      <c r="G351" s="21">
        <v>13.4</v>
      </c>
      <c r="H351" s="16">
        <v>26</v>
      </c>
      <c r="I351" s="16"/>
      <c r="J3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51" s="22"/>
      <c r="L351" s="23"/>
      <c r="M351" s="23">
        <f>SUM(Tabela174681012142230322681619252731333624210121416182426283038402481012141620222628303234362426810121424610122426244262628262681026286236[[#This Row],[Saldo no cartão]:[Recarga Pendente]])</f>
        <v>0</v>
      </c>
      <c r="N351" s="19">
        <f>Tabela174681012142230322681619252731333624210121416182426283038402481012141620222628303234362426810121424610122426244262628262681026286236[[#This Row],[Uso diário]]*2</f>
        <v>26.8</v>
      </c>
      <c r="O351" s="19">
        <f>Tabela174681012142230322681619252731333624210121416182426283038402481012141620222628303234362426810121424610122426244262628262681026286236[[#This Row],[Total Acumulado]]-P351</f>
        <v>-67</v>
      </c>
      <c r="P351" s="48">
        <f>Tabela174681012142230322681619252731333624210121416182426283038402481012141620222628303234362426810121424610122426244262628262681026286236[[#This Row],[Uso diário]]*5</f>
        <v>67</v>
      </c>
      <c r="Q3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1" s="25">
        <v>3</v>
      </c>
    </row>
    <row r="352" spans="1:20" s="26" customFormat="1" x14ac:dyDescent="0.25">
      <c r="A352" s="16">
        <v>222466</v>
      </c>
      <c r="B352" s="30" t="s">
        <v>205</v>
      </c>
      <c r="C352" s="20" t="s">
        <v>654</v>
      </c>
      <c r="D352" s="20" t="s">
        <v>715</v>
      </c>
      <c r="E352" s="20" t="s">
        <v>2229</v>
      </c>
      <c r="F352" s="20" t="s">
        <v>2230</v>
      </c>
      <c r="G352" s="21">
        <v>18.8</v>
      </c>
      <c r="H352" s="16">
        <v>26</v>
      </c>
      <c r="I352" s="16"/>
      <c r="J3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52" s="22"/>
      <c r="L352" s="23"/>
      <c r="M352" s="23">
        <f>SUM(Tabela174681012142230322681619252731333624210121416182426283038402481012141620222628303234362426810121424610122426244262628262681026286236[[#This Row],[Saldo no cartão]:[Recarga Pendente]])</f>
        <v>0</v>
      </c>
      <c r="N352" s="19">
        <f>Tabela174681012142230322681619252731333624210121416182426283038402481012141620222628303234362426810121424610122426244262628262681026286236[[#This Row],[Uso diário]]*2</f>
        <v>37.6</v>
      </c>
      <c r="O352" s="19">
        <f>Tabela174681012142230322681619252731333624210121416182426283038402481012141620222628303234362426810121424610122426244262628262681026286236[[#This Row],[Total Acumulado]]-P352</f>
        <v>-94</v>
      </c>
      <c r="P352" s="48">
        <f>Tabela174681012142230322681619252731333624210121416182426283038402481012141620222628303234362426810121424610122426244262628262681026286236[[#This Row],[Uso diário]]*5</f>
        <v>94</v>
      </c>
      <c r="Q3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2" s="25">
        <v>3</v>
      </c>
    </row>
    <row r="353" spans="1:20" s="26" customFormat="1" x14ac:dyDescent="0.25">
      <c r="A353" s="16">
        <v>223562</v>
      </c>
      <c r="B353" s="30" t="s">
        <v>206</v>
      </c>
      <c r="C353" s="20" t="s">
        <v>654</v>
      </c>
      <c r="D353" s="20" t="s">
        <v>715</v>
      </c>
      <c r="E353" s="20" t="s">
        <v>2231</v>
      </c>
      <c r="F353" s="20" t="s">
        <v>2232</v>
      </c>
      <c r="G353" s="21">
        <v>18.8</v>
      </c>
      <c r="H353" s="16">
        <v>26</v>
      </c>
      <c r="I353" s="16">
        <v>1</v>
      </c>
      <c r="J3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353" s="22"/>
      <c r="L353" s="23"/>
      <c r="M353" s="23">
        <f>SUM(Tabela174681012142230322681619252731333624210121416182426283038402481012141620222628303234362426810121424610122426244262628262681026286236[[#This Row],[Saldo no cartão]:[Recarga Pendente]])</f>
        <v>0</v>
      </c>
      <c r="N353" s="19">
        <f>Tabela174681012142230322681619252731333624210121416182426283038402481012141620222628303234362426810121424610122426244262628262681026286236[[#This Row],[Uso diário]]*2</f>
        <v>37.6</v>
      </c>
      <c r="O353" s="19">
        <f>Tabela174681012142230322681619252731333624210121416182426283038402481012141620222628303234362426810121424610122426244262628262681026286236[[#This Row],[Total Acumulado]]-P353</f>
        <v>-94</v>
      </c>
      <c r="P353" s="48">
        <f>Tabela174681012142230322681619252731333624210121416182426283038402481012141620222628303234362426810121424610122426244262628262681026286236[[#This Row],[Uso diário]]*5</f>
        <v>94</v>
      </c>
      <c r="Q3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3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3" s="25">
        <v>3</v>
      </c>
    </row>
    <row r="354" spans="1:20" s="26" customFormat="1" x14ac:dyDescent="0.25">
      <c r="A354" s="16">
        <v>223864</v>
      </c>
      <c r="B354" s="30" t="s">
        <v>207</v>
      </c>
      <c r="C354" s="20" t="s">
        <v>654</v>
      </c>
      <c r="D354" s="20" t="s">
        <v>715</v>
      </c>
      <c r="E354" s="20" t="s">
        <v>2233</v>
      </c>
      <c r="F354" s="20" t="s">
        <v>2234</v>
      </c>
      <c r="G354" s="21">
        <v>13.4</v>
      </c>
      <c r="H354" s="16">
        <v>26</v>
      </c>
      <c r="I354" s="16"/>
      <c r="J3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54" s="22"/>
      <c r="L354" s="23"/>
      <c r="M354" s="23">
        <f>SUM(Tabela174681012142230322681619252731333624210121416182426283038402481012141620222628303234362426810121424610122426244262628262681026286236[[#This Row],[Saldo no cartão]:[Recarga Pendente]])</f>
        <v>0</v>
      </c>
      <c r="N354" s="19">
        <f>Tabela174681012142230322681619252731333624210121416182426283038402481012141620222628303234362426810121424610122426244262628262681026286236[[#This Row],[Uso diário]]*2</f>
        <v>26.8</v>
      </c>
      <c r="O354" s="19">
        <f>Tabela174681012142230322681619252731333624210121416182426283038402481012141620222628303234362426810121424610122426244262628262681026286236[[#This Row],[Total Acumulado]]-P354</f>
        <v>-67</v>
      </c>
      <c r="P354" s="48">
        <f>Tabela174681012142230322681619252731333624210121416182426283038402481012141620222628303234362426810121424610122426244262628262681026286236[[#This Row],[Uso diário]]*5</f>
        <v>67</v>
      </c>
      <c r="Q3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4" s="25">
        <v>3</v>
      </c>
    </row>
    <row r="355" spans="1:20" s="26" customFormat="1" x14ac:dyDescent="0.25">
      <c r="A355" s="16">
        <v>225387</v>
      </c>
      <c r="B355" s="30" t="s">
        <v>1163</v>
      </c>
      <c r="C355" s="20" t="s">
        <v>654</v>
      </c>
      <c r="D355" s="20" t="s">
        <v>715</v>
      </c>
      <c r="E355" s="20" t="s">
        <v>2235</v>
      </c>
      <c r="F355" s="20" t="s">
        <v>2236</v>
      </c>
      <c r="G355" s="21">
        <v>13.4</v>
      </c>
      <c r="H355" s="16">
        <v>26</v>
      </c>
      <c r="I355" s="16"/>
      <c r="J3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55" s="22"/>
      <c r="L355" s="23"/>
      <c r="M355" s="23">
        <f>SUM(Tabela174681012142230322681619252731333624210121416182426283038402481012141620222628303234362426810121424610122426244262628262681026286236[[#This Row],[Saldo no cartão]:[Recarga Pendente]])</f>
        <v>0</v>
      </c>
      <c r="N355" s="19">
        <f>Tabela174681012142230322681619252731333624210121416182426283038402481012141620222628303234362426810121424610122426244262628262681026286236[[#This Row],[Uso diário]]*2</f>
        <v>26.8</v>
      </c>
      <c r="O355" s="19">
        <f>Tabela174681012142230322681619252731333624210121416182426283038402481012141620222628303234362426810121424610122426244262628262681026286236[[#This Row],[Total Acumulado]]-P355</f>
        <v>-67</v>
      </c>
      <c r="P355" s="48">
        <f>Tabela174681012142230322681619252731333624210121416182426283038402481012141620222628303234362426810121424610122426244262628262681026286236[[#This Row],[Uso diário]]*5</f>
        <v>67</v>
      </c>
      <c r="Q3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5" s="25">
        <v>3</v>
      </c>
    </row>
    <row r="356" spans="1:20" s="26" customFormat="1" x14ac:dyDescent="0.25">
      <c r="A356" s="16">
        <v>230475</v>
      </c>
      <c r="B356" s="30" t="s">
        <v>208</v>
      </c>
      <c r="C356" s="20" t="s">
        <v>654</v>
      </c>
      <c r="D356" s="20" t="s">
        <v>715</v>
      </c>
      <c r="E356" s="20" t="s">
        <v>2237</v>
      </c>
      <c r="F356" s="20" t="s">
        <v>2238</v>
      </c>
      <c r="G356" s="21">
        <v>13.4</v>
      </c>
      <c r="H356" s="16">
        <v>26</v>
      </c>
      <c r="I356" s="16"/>
      <c r="J3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56" s="22"/>
      <c r="L356" s="23"/>
      <c r="M356" s="23">
        <f>SUM(Tabela174681012142230322681619252731333624210121416182426283038402481012141620222628303234362426810121424610122426244262628262681026286236[[#This Row],[Saldo no cartão]:[Recarga Pendente]])</f>
        <v>0</v>
      </c>
      <c r="N356" s="19">
        <f>Tabela174681012142230322681619252731333624210121416182426283038402481012141620222628303234362426810121424610122426244262628262681026286236[[#This Row],[Uso diário]]*2</f>
        <v>26.8</v>
      </c>
      <c r="O356" s="19">
        <f>Tabela174681012142230322681619252731333624210121416182426283038402481012141620222628303234362426810121424610122426244262628262681026286236[[#This Row],[Total Acumulado]]-P356</f>
        <v>-67</v>
      </c>
      <c r="P356" s="48">
        <f>Tabela174681012142230322681619252731333624210121416182426283038402481012141620222628303234362426810121424610122426244262628262681026286236[[#This Row],[Uso diário]]*5</f>
        <v>67</v>
      </c>
      <c r="Q3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6" s="25">
        <v>3</v>
      </c>
    </row>
    <row r="357" spans="1:20" s="26" customFormat="1" x14ac:dyDescent="0.25">
      <c r="A357" s="16">
        <v>231485</v>
      </c>
      <c r="B357" s="30" t="s">
        <v>786</v>
      </c>
      <c r="C357" s="20" t="s">
        <v>654</v>
      </c>
      <c r="D357" s="20" t="s">
        <v>715</v>
      </c>
      <c r="E357" s="20" t="s">
        <v>2239</v>
      </c>
      <c r="F357" s="20" t="s">
        <v>2240</v>
      </c>
      <c r="G357" s="21">
        <v>13.4</v>
      </c>
      <c r="H357" s="16">
        <v>26</v>
      </c>
      <c r="I357" s="16">
        <v>3</v>
      </c>
      <c r="J3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357" s="22"/>
      <c r="L357" s="23"/>
      <c r="M357" s="23">
        <f>SUM(Tabela174681012142230322681619252731333624210121416182426283038402481012141620222628303234362426810121424610122426244262628262681026286236[[#This Row],[Saldo no cartão]:[Recarga Pendente]])</f>
        <v>0</v>
      </c>
      <c r="N357" s="19">
        <f>Tabela174681012142230322681619252731333624210121416182426283038402481012141620222628303234362426810121424610122426244262628262681026286236[[#This Row],[Uso diário]]*2</f>
        <v>26.8</v>
      </c>
      <c r="O357" s="19">
        <f>Tabela174681012142230322681619252731333624210121416182426283038402481012141620222628303234362426810121424610122426244262628262681026286236[[#This Row],[Total Acumulado]]-P357</f>
        <v>-67</v>
      </c>
      <c r="P357" s="48">
        <f>Tabela174681012142230322681619252731333624210121416182426283038402481012141620222628303234362426810121424610122426244262628262681026286236[[#This Row],[Uso diário]]*5</f>
        <v>67</v>
      </c>
      <c r="Q3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3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7" s="25">
        <v>3</v>
      </c>
    </row>
    <row r="358" spans="1:20" s="26" customFormat="1" x14ac:dyDescent="0.25">
      <c r="A358" s="16">
        <v>232380</v>
      </c>
      <c r="B358" s="30" t="s">
        <v>899</v>
      </c>
      <c r="C358" s="20" t="s">
        <v>654</v>
      </c>
      <c r="D358" s="20" t="s">
        <v>715</v>
      </c>
      <c r="E358" s="20" t="s">
        <v>2241</v>
      </c>
      <c r="F358" s="20" t="s">
        <v>2242</v>
      </c>
      <c r="G358" s="21">
        <v>13.4</v>
      </c>
      <c r="H358" s="16">
        <v>26</v>
      </c>
      <c r="I358" s="16"/>
      <c r="J3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58" s="22"/>
      <c r="L358" s="23"/>
      <c r="M358" s="23">
        <f>SUM(Tabela174681012142230322681619252731333624210121416182426283038402481012141620222628303234362426810121424610122426244262628262681026286236[[#This Row],[Saldo no cartão]:[Recarga Pendente]])</f>
        <v>0</v>
      </c>
      <c r="N358" s="19">
        <f>Tabela174681012142230322681619252731333624210121416182426283038402481012141620222628303234362426810121424610122426244262628262681026286236[[#This Row],[Uso diário]]*2</f>
        <v>26.8</v>
      </c>
      <c r="O358" s="19">
        <f>Tabela174681012142230322681619252731333624210121416182426283038402481012141620222628303234362426810121424610122426244262628262681026286236[[#This Row],[Total Acumulado]]-P358</f>
        <v>-67</v>
      </c>
      <c r="P358" s="48">
        <f>Tabela174681012142230322681619252731333624210121416182426283038402481012141620222628303234362426810121424610122426244262628262681026286236[[#This Row],[Uso diário]]*5</f>
        <v>67</v>
      </c>
      <c r="Q3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8" s="25">
        <v>3</v>
      </c>
    </row>
    <row r="359" spans="1:20" s="26" customFormat="1" x14ac:dyDescent="0.25">
      <c r="A359" s="16">
        <v>232499</v>
      </c>
      <c r="B359" s="30" t="s">
        <v>900</v>
      </c>
      <c r="C359" s="20" t="s">
        <v>654</v>
      </c>
      <c r="D359" s="20" t="s">
        <v>715</v>
      </c>
      <c r="E359" s="20" t="s">
        <v>2243</v>
      </c>
      <c r="F359" s="20" t="s">
        <v>2244</v>
      </c>
      <c r="G359" s="21">
        <v>18.8</v>
      </c>
      <c r="H359" s="16">
        <v>26</v>
      </c>
      <c r="I359" s="16"/>
      <c r="J3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59" s="22"/>
      <c r="L359" s="23"/>
      <c r="M359" s="23">
        <f>SUM(Tabela174681012142230322681619252731333624210121416182426283038402481012141620222628303234362426810121424610122426244262628262681026286236[[#This Row],[Saldo no cartão]:[Recarga Pendente]])</f>
        <v>0</v>
      </c>
      <c r="N359" s="19">
        <f>Tabela174681012142230322681619252731333624210121416182426283038402481012141620222628303234362426810121424610122426244262628262681026286236[[#This Row],[Uso diário]]*2</f>
        <v>37.6</v>
      </c>
      <c r="O359" s="19">
        <f>Tabela174681012142230322681619252731333624210121416182426283038402481012141620222628303234362426810121424610122426244262628262681026286236[[#This Row],[Total Acumulado]]-P359</f>
        <v>-94</v>
      </c>
      <c r="P359" s="48">
        <f>Tabela174681012142230322681619252731333624210121416182426283038402481012141620222628303234362426810121424610122426244262628262681026286236[[#This Row],[Uso diário]]*5</f>
        <v>94</v>
      </c>
      <c r="Q3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59" s="25">
        <v>3</v>
      </c>
    </row>
    <row r="360" spans="1:20" s="26" customFormat="1" x14ac:dyDescent="0.25">
      <c r="A360" s="16">
        <v>234473</v>
      </c>
      <c r="B360" s="30" t="s">
        <v>1280</v>
      </c>
      <c r="C360" s="20" t="s">
        <v>654</v>
      </c>
      <c r="D360" s="20" t="s">
        <v>715</v>
      </c>
      <c r="E360" s="20" t="s">
        <v>2245</v>
      </c>
      <c r="F360" s="20" t="s">
        <v>2246</v>
      </c>
      <c r="G360" s="21">
        <v>13.4</v>
      </c>
      <c r="H360" s="16">
        <v>26</v>
      </c>
      <c r="I360" s="16"/>
      <c r="J3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60" s="22"/>
      <c r="L360" s="23">
        <v>11.25</v>
      </c>
      <c r="M360" s="23">
        <f>SUM(Tabela174681012142230322681619252731333624210121416182426283038402481012141620222628303234362426810121424610122426244262628262681026286236[[#This Row],[Saldo no cartão]:[Recarga Pendente]])</f>
        <v>11.25</v>
      </c>
      <c r="N360" s="19">
        <f>Tabela174681012142230322681619252731333624210121416182426283038402481012141620222628303234362426810121424610122426244262628262681026286236[[#This Row],[Uso diário]]*2</f>
        <v>26.8</v>
      </c>
      <c r="O360" s="19">
        <f>Tabela174681012142230322681619252731333624210121416182426283038402481012141620222628303234362426810121424610122426244262628262681026286236[[#This Row],[Total Acumulado]]-P360</f>
        <v>-55.75</v>
      </c>
      <c r="P360" s="48">
        <f>Tabela174681012142230322681619252731333624210121416182426283038402481012141620222628303234362426810121424610122426244262628262681026286236[[#This Row],[Uso diário]]*5</f>
        <v>67</v>
      </c>
      <c r="Q3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0" s="25">
        <v>3</v>
      </c>
    </row>
    <row r="361" spans="1:20" s="26" customFormat="1" x14ac:dyDescent="0.25">
      <c r="A361" s="16">
        <v>224116</v>
      </c>
      <c r="B361" s="30" t="s">
        <v>210</v>
      </c>
      <c r="C361" s="20" t="s">
        <v>640</v>
      </c>
      <c r="D361" s="20" t="s">
        <v>701</v>
      </c>
      <c r="E361" s="20" t="s">
        <v>2247</v>
      </c>
      <c r="F361" s="20" t="s">
        <v>2248</v>
      </c>
      <c r="G361" s="21">
        <v>13.4</v>
      </c>
      <c r="H361" s="16">
        <v>26</v>
      </c>
      <c r="I361" s="16"/>
      <c r="J3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61" s="22"/>
      <c r="L361" s="23"/>
      <c r="M361" s="23">
        <f>SUM(Tabela174681012142230322681619252731333624210121416182426283038402481012141620222628303234362426810121424610122426244262628262681026286236[[#This Row],[Saldo no cartão]:[Recarga Pendente]])</f>
        <v>0</v>
      </c>
      <c r="N361" s="19">
        <f>Tabela174681012142230322681619252731333624210121416182426283038402481012141620222628303234362426810121424610122426244262628262681026286236[[#This Row],[Uso diário]]*2</f>
        <v>26.8</v>
      </c>
      <c r="O361" s="19">
        <f>Tabela174681012142230322681619252731333624210121416182426283038402481012141620222628303234362426810121424610122426244262628262681026286236[[#This Row],[Total Acumulado]]-P361</f>
        <v>-67</v>
      </c>
      <c r="P361" s="48">
        <f>Tabela174681012142230322681619252731333624210121416182426283038402481012141620222628303234362426810121424610122426244262628262681026286236[[#This Row],[Uso diário]]*5</f>
        <v>67</v>
      </c>
      <c r="Q3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1" s="25">
        <v>3</v>
      </c>
    </row>
    <row r="362" spans="1:20" s="26" customFormat="1" x14ac:dyDescent="0.25">
      <c r="A362" s="16">
        <v>232379</v>
      </c>
      <c r="B362" s="30" t="s">
        <v>901</v>
      </c>
      <c r="C362" s="20" t="s">
        <v>640</v>
      </c>
      <c r="D362" s="20" t="s">
        <v>702</v>
      </c>
      <c r="E362" s="20" t="s">
        <v>2249</v>
      </c>
      <c r="F362" s="20" t="s">
        <v>2250</v>
      </c>
      <c r="G362" s="21">
        <v>13.4</v>
      </c>
      <c r="H362" s="16">
        <v>26</v>
      </c>
      <c r="I362" s="16"/>
      <c r="J3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62" s="22"/>
      <c r="L362" s="23"/>
      <c r="M362" s="23">
        <f>SUM(Tabela174681012142230322681619252731333624210121416182426283038402481012141620222628303234362426810121424610122426244262628262681026286236[[#This Row],[Saldo no cartão]:[Recarga Pendente]])</f>
        <v>0</v>
      </c>
      <c r="N362" s="19">
        <f>Tabela174681012142230322681619252731333624210121416182426283038402481012141620222628303234362426810121424610122426244262628262681026286236[[#This Row],[Uso diário]]*2</f>
        <v>26.8</v>
      </c>
      <c r="O362" s="19">
        <f>Tabela174681012142230322681619252731333624210121416182426283038402481012141620222628303234362426810121424610122426244262628262681026286236[[#This Row],[Total Acumulado]]-P362</f>
        <v>-67</v>
      </c>
      <c r="P362" s="48">
        <f>Tabela174681012142230322681619252731333624210121416182426283038402481012141620222628303234362426810121424610122426244262628262681026286236[[#This Row],[Uso diário]]*5</f>
        <v>67</v>
      </c>
      <c r="Q3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2" s="25">
        <v>3</v>
      </c>
    </row>
    <row r="363" spans="1:20" s="26" customFormat="1" x14ac:dyDescent="0.25">
      <c r="A363" s="16">
        <v>222344</v>
      </c>
      <c r="B363" s="30" t="s">
        <v>1426</v>
      </c>
      <c r="C363" s="20" t="s">
        <v>655</v>
      </c>
      <c r="D363" s="20" t="s">
        <v>734</v>
      </c>
      <c r="E363" s="20" t="s">
        <v>2251</v>
      </c>
      <c r="F363" s="20" t="s">
        <v>2252</v>
      </c>
      <c r="G363" s="21">
        <v>13.4</v>
      </c>
      <c r="H363" s="16">
        <v>26</v>
      </c>
      <c r="I363" s="16"/>
      <c r="J3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63" s="22"/>
      <c r="L363" s="23">
        <v>40.200000000000003</v>
      </c>
      <c r="M363" s="23">
        <f>SUM(Tabela174681012142230322681619252731333624210121416182426283038402481012141620222628303234362426810121424610122426244262628262681026286236[[#This Row],[Saldo no cartão]:[Recarga Pendente]])</f>
        <v>40.200000000000003</v>
      </c>
      <c r="N363" s="19">
        <f>Tabela174681012142230322681619252731333624210121416182426283038402481012141620222628303234362426810121424610122426244262628262681026286236[[#This Row],[Uso diário]]*2</f>
        <v>26.8</v>
      </c>
      <c r="O363" s="19">
        <f>Tabela174681012142230322681619252731333624210121416182426283038402481012141620222628303234362426810121424610122426244262628262681026286236[[#This Row],[Total Acumulado]]-P363</f>
        <v>-26.799999999999997</v>
      </c>
      <c r="P363" s="48">
        <f>Tabela174681012142230322681619252731333624210121416182426283038402481012141620222628303234362426810121424610122426244262628262681026286236[[#This Row],[Uso diário]]*5</f>
        <v>67</v>
      </c>
      <c r="Q3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3" s="25">
        <v>3</v>
      </c>
    </row>
    <row r="364" spans="1:20" s="26" customFormat="1" x14ac:dyDescent="0.25">
      <c r="A364" s="16">
        <v>230336</v>
      </c>
      <c r="B364" s="30" t="s">
        <v>211</v>
      </c>
      <c r="C364" s="20" t="s">
        <v>655</v>
      </c>
      <c r="D364" s="20" t="s">
        <v>734</v>
      </c>
      <c r="E364" s="20" t="s">
        <v>2253</v>
      </c>
      <c r="F364" s="20" t="s">
        <v>2254</v>
      </c>
      <c r="G364" s="21">
        <v>13.4</v>
      </c>
      <c r="H364" s="16">
        <v>26</v>
      </c>
      <c r="I364" s="16"/>
      <c r="J3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64" s="22"/>
      <c r="L364" s="23">
        <v>10</v>
      </c>
      <c r="M364" s="23">
        <f>SUM(Tabela174681012142230322681619252731333624210121416182426283038402481012141620222628303234362426810121424610122426244262628262681026286236[[#This Row],[Saldo no cartão]:[Recarga Pendente]])</f>
        <v>10</v>
      </c>
      <c r="N364" s="19">
        <f>Tabela174681012142230322681619252731333624210121416182426283038402481012141620222628303234362426810121424610122426244262628262681026286236[[#This Row],[Uso diário]]*2</f>
        <v>26.8</v>
      </c>
      <c r="O364" s="19">
        <f>Tabela174681012142230322681619252731333624210121416182426283038402481012141620222628303234362426810121424610122426244262628262681026286236[[#This Row],[Total Acumulado]]-P364</f>
        <v>-57</v>
      </c>
      <c r="P364" s="48">
        <f>Tabela174681012142230322681619252731333624210121416182426283038402481012141620222628303234362426810121424610122426244262628262681026286236[[#This Row],[Uso diário]]*5</f>
        <v>67</v>
      </c>
      <c r="Q3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4" s="25">
        <v>3</v>
      </c>
    </row>
    <row r="365" spans="1:20" s="26" customFormat="1" x14ac:dyDescent="0.25">
      <c r="A365" s="16">
        <v>231885</v>
      </c>
      <c r="B365" s="30" t="s">
        <v>819</v>
      </c>
      <c r="C365" s="20" t="s">
        <v>655</v>
      </c>
      <c r="D365" s="20" t="s">
        <v>734</v>
      </c>
      <c r="E365" s="20" t="s">
        <v>2255</v>
      </c>
      <c r="F365" s="20" t="s">
        <v>2256</v>
      </c>
      <c r="G365" s="21">
        <v>18.8</v>
      </c>
      <c r="H365" s="16">
        <v>26</v>
      </c>
      <c r="I365" s="16"/>
      <c r="J3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65" s="22"/>
      <c r="L365" s="23"/>
      <c r="M365" s="23">
        <f>SUM(Tabela174681012142230322681619252731333624210121416182426283038402481012141620222628303234362426810121424610122426244262628262681026286236[[#This Row],[Saldo no cartão]:[Recarga Pendente]])</f>
        <v>0</v>
      </c>
      <c r="N365" s="19">
        <f>Tabela174681012142230322681619252731333624210121416182426283038402481012141620222628303234362426810121424610122426244262628262681026286236[[#This Row],[Uso diário]]*2</f>
        <v>37.6</v>
      </c>
      <c r="O365" s="19">
        <f>Tabela174681012142230322681619252731333624210121416182426283038402481012141620222628303234362426810121424610122426244262628262681026286236[[#This Row],[Total Acumulado]]-P365</f>
        <v>-94</v>
      </c>
      <c r="P365" s="48">
        <f>Tabela174681012142230322681619252731333624210121416182426283038402481012141620222628303234362426810121424610122426244262628262681026286236[[#This Row],[Uso diário]]*5</f>
        <v>94</v>
      </c>
      <c r="Q3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5" s="25">
        <v>3</v>
      </c>
    </row>
    <row r="366" spans="1:20" s="26" customFormat="1" x14ac:dyDescent="0.25">
      <c r="A366" s="16">
        <v>213678</v>
      </c>
      <c r="B366" s="30" t="s">
        <v>371</v>
      </c>
      <c r="C366" s="20" t="s">
        <v>641</v>
      </c>
      <c r="D366" s="20" t="s">
        <v>735</v>
      </c>
      <c r="E366" s="20" t="s">
        <v>2257</v>
      </c>
      <c r="F366" s="20">
        <v>0</v>
      </c>
      <c r="G366" s="21">
        <v>32.200000000000003</v>
      </c>
      <c r="H366" s="16">
        <v>26</v>
      </c>
      <c r="I366" s="16"/>
      <c r="J3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837.2</v>
      </c>
      <c r="K366" s="22"/>
      <c r="L366" s="23"/>
      <c r="M366" s="23">
        <f>SUM(Tabela174681012142230322681619252731333624210121416182426283038402481012141620222628303234362426810121424610122426244262628262681026286236[[#This Row],[Saldo no cartão]:[Recarga Pendente]])</f>
        <v>0</v>
      </c>
      <c r="N366" s="19">
        <f>Tabela174681012142230322681619252731333624210121416182426283038402481012141620222628303234362426810121424610122426244262628262681026286236[[#This Row],[Uso diário]]*2</f>
        <v>64.400000000000006</v>
      </c>
      <c r="O366" s="19">
        <f>Tabela174681012142230322681619252731333624210121416182426283038402481012141620222628303234362426810121424610122426244262628262681026286236[[#This Row],[Total Acumulado]]-P366</f>
        <v>-161</v>
      </c>
      <c r="P366" s="48">
        <f>Tabela174681012142230322681619252731333624210121416182426283038402481012141620222628303234362426810121424610122426244262628262681026286236[[#This Row],[Uso diário]]*5</f>
        <v>161</v>
      </c>
      <c r="Q3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837.2</v>
      </c>
      <c r="S3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6" s="25">
        <v>3</v>
      </c>
    </row>
    <row r="367" spans="1:20" s="26" customFormat="1" x14ac:dyDescent="0.25">
      <c r="A367" s="16">
        <v>216620</v>
      </c>
      <c r="B367" s="30" t="s">
        <v>212</v>
      </c>
      <c r="C367" s="20" t="s">
        <v>641</v>
      </c>
      <c r="D367" s="20" t="s">
        <v>705</v>
      </c>
      <c r="E367" s="20" t="s">
        <v>2258</v>
      </c>
      <c r="F367" s="20" t="s">
        <v>2259</v>
      </c>
      <c r="G367" s="21">
        <v>18.8</v>
      </c>
      <c r="H367" s="16">
        <v>26</v>
      </c>
      <c r="I367" s="16">
        <v>1</v>
      </c>
      <c r="J3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367" s="22"/>
      <c r="L367" s="23"/>
      <c r="M367" s="23">
        <f>SUM(Tabela174681012142230322681619252731333624210121416182426283038402481012141620222628303234362426810121424610122426244262628262681026286236[[#This Row],[Saldo no cartão]:[Recarga Pendente]])</f>
        <v>0</v>
      </c>
      <c r="N367" s="19">
        <f>Tabela174681012142230322681619252731333624210121416182426283038402481012141620222628303234362426810121424610122426244262628262681026286236[[#This Row],[Uso diário]]*2</f>
        <v>37.6</v>
      </c>
      <c r="O367" s="19">
        <f>Tabela174681012142230322681619252731333624210121416182426283038402481012141620222628303234362426810121424610122426244262628262681026286236[[#This Row],[Total Acumulado]]-P367</f>
        <v>-94</v>
      </c>
      <c r="P367" s="48">
        <f>Tabela174681012142230322681619252731333624210121416182426283038402481012141620222628303234362426810121424610122426244262628262681026286236[[#This Row],[Uso diário]]*5</f>
        <v>94</v>
      </c>
      <c r="Q3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3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7" s="25">
        <v>3</v>
      </c>
    </row>
    <row r="368" spans="1:20" s="26" customFormat="1" x14ac:dyDescent="0.25">
      <c r="A368" s="16">
        <v>224578</v>
      </c>
      <c r="B368" s="30" t="s">
        <v>1427</v>
      </c>
      <c r="C368" s="20" t="s">
        <v>641</v>
      </c>
      <c r="D368" s="20" t="s">
        <v>704</v>
      </c>
      <c r="E368" s="20" t="s">
        <v>2260</v>
      </c>
      <c r="F368" s="20" t="s">
        <v>2261</v>
      </c>
      <c r="G368" s="21">
        <v>18.8</v>
      </c>
      <c r="H368" s="16">
        <v>26</v>
      </c>
      <c r="I368" s="16"/>
      <c r="J3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68" s="22"/>
      <c r="L368" s="23"/>
      <c r="M368" s="23">
        <f>SUM(Tabela174681012142230322681619252731333624210121416182426283038402481012141620222628303234362426810121424610122426244262628262681026286236[[#This Row],[Saldo no cartão]:[Recarga Pendente]])</f>
        <v>0</v>
      </c>
      <c r="N368" s="19">
        <f>Tabela174681012142230322681619252731333624210121416182426283038402481012141620222628303234362426810121424610122426244262628262681026286236[[#This Row],[Uso diário]]*2</f>
        <v>37.6</v>
      </c>
      <c r="O368" s="19">
        <f>Tabela174681012142230322681619252731333624210121416182426283038402481012141620222628303234362426810121424610122426244262628262681026286236[[#This Row],[Total Acumulado]]-P368</f>
        <v>-94</v>
      </c>
      <c r="P368" s="48">
        <f>Tabela174681012142230322681619252731333624210121416182426283038402481012141620222628303234362426810121424610122426244262628262681026286236[[#This Row],[Uso diário]]*5</f>
        <v>94</v>
      </c>
      <c r="Q3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8" s="25">
        <v>3</v>
      </c>
    </row>
    <row r="369" spans="1:20" s="26" customFormat="1" x14ac:dyDescent="0.25">
      <c r="A369" s="16">
        <v>224579</v>
      </c>
      <c r="B369" s="30" t="s">
        <v>213</v>
      </c>
      <c r="C369" s="20" t="s">
        <v>641</v>
      </c>
      <c r="D369" s="20" t="s">
        <v>704</v>
      </c>
      <c r="E369" s="20" t="s">
        <v>2262</v>
      </c>
      <c r="F369" s="20" t="s">
        <v>2263</v>
      </c>
      <c r="G369" s="21">
        <v>13.4</v>
      </c>
      <c r="H369" s="16">
        <v>26</v>
      </c>
      <c r="I369" s="16"/>
      <c r="J3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69" s="22"/>
      <c r="L369" s="23"/>
      <c r="M369" s="23">
        <f>SUM(Tabela174681012142230322681619252731333624210121416182426283038402481012141620222628303234362426810121424610122426244262628262681026286236[[#This Row],[Saldo no cartão]:[Recarga Pendente]])</f>
        <v>0</v>
      </c>
      <c r="N369" s="19">
        <f>Tabela174681012142230322681619252731333624210121416182426283038402481012141620222628303234362426810121424610122426244262628262681026286236[[#This Row],[Uso diário]]*2</f>
        <v>26.8</v>
      </c>
      <c r="O369" s="19">
        <f>Tabela174681012142230322681619252731333624210121416182426283038402481012141620222628303234362426810121424610122426244262628262681026286236[[#This Row],[Total Acumulado]]-P369</f>
        <v>-67</v>
      </c>
      <c r="P369" s="48">
        <f>Tabela174681012142230322681619252731333624210121416182426283038402481012141620222628303234362426810121424610122426244262628262681026286236[[#This Row],[Uso diário]]*5</f>
        <v>67</v>
      </c>
      <c r="Q3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69" s="25">
        <v>3</v>
      </c>
    </row>
    <row r="370" spans="1:20" s="26" customFormat="1" x14ac:dyDescent="0.25">
      <c r="A370" s="16">
        <v>226680</v>
      </c>
      <c r="B370" s="30" t="s">
        <v>1349</v>
      </c>
      <c r="C370" s="20" t="s">
        <v>641</v>
      </c>
      <c r="D370" s="20" t="s">
        <v>704</v>
      </c>
      <c r="E370" s="20" t="s">
        <v>2264</v>
      </c>
      <c r="F370" s="20" t="s">
        <v>2265</v>
      </c>
      <c r="G370" s="21">
        <v>26.8</v>
      </c>
      <c r="H370" s="16">
        <v>26</v>
      </c>
      <c r="I370" s="16"/>
      <c r="J3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696.80000000000007</v>
      </c>
      <c r="K370" s="22"/>
      <c r="L370" s="23"/>
      <c r="M370" s="23">
        <f>SUM(Tabela174681012142230322681619252731333624210121416182426283038402481012141620222628303234362426810121424610122426244262628262681026286236[[#This Row],[Saldo no cartão]:[Recarga Pendente]])</f>
        <v>0</v>
      </c>
      <c r="N370" s="19">
        <f>Tabela174681012142230322681619252731333624210121416182426283038402481012141620222628303234362426810121424610122426244262628262681026286236[[#This Row],[Uso diário]]*2</f>
        <v>53.6</v>
      </c>
      <c r="O370" s="19">
        <f>Tabela174681012142230322681619252731333624210121416182426283038402481012141620222628303234362426810121424610122426244262628262681026286236[[#This Row],[Total Acumulado]]-P370</f>
        <v>-134</v>
      </c>
      <c r="P370" s="48">
        <f>Tabela174681012142230322681619252731333624210121416182426283038402481012141620222628303234362426810121424610122426244262628262681026286236[[#This Row],[Uso diário]]*5</f>
        <v>134</v>
      </c>
      <c r="Q3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696.80000000000007</v>
      </c>
      <c r="S3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0" s="25">
        <v>3</v>
      </c>
    </row>
    <row r="371" spans="1:20" s="26" customFormat="1" x14ac:dyDescent="0.25">
      <c r="A371" s="16">
        <v>233175</v>
      </c>
      <c r="B371" s="30" t="s">
        <v>972</v>
      </c>
      <c r="C371" s="20" t="s">
        <v>641</v>
      </c>
      <c r="D371" s="20" t="s">
        <v>704</v>
      </c>
      <c r="E371" s="20" t="s">
        <v>2266</v>
      </c>
      <c r="F371" s="20" t="s">
        <v>2267</v>
      </c>
      <c r="G371" s="21">
        <v>13.4</v>
      </c>
      <c r="H371" s="16">
        <v>26</v>
      </c>
      <c r="I371" s="16">
        <v>1</v>
      </c>
      <c r="J3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371" s="22"/>
      <c r="L371" s="23"/>
      <c r="M371" s="23">
        <f>SUM(Tabela174681012142230322681619252731333624210121416182426283038402481012141620222628303234362426810121424610122426244262628262681026286236[[#This Row],[Saldo no cartão]:[Recarga Pendente]])</f>
        <v>0</v>
      </c>
      <c r="N371" s="19">
        <f>Tabela174681012142230322681619252731333624210121416182426283038402481012141620222628303234362426810121424610122426244262628262681026286236[[#This Row],[Uso diário]]*2</f>
        <v>26.8</v>
      </c>
      <c r="O371" s="19">
        <f>Tabela174681012142230322681619252731333624210121416182426283038402481012141620222628303234362426810121424610122426244262628262681026286236[[#This Row],[Total Acumulado]]-P371</f>
        <v>-67</v>
      </c>
      <c r="P371" s="48">
        <f>Tabela174681012142230322681619252731333624210121416182426283038402481012141620222628303234362426810121424610122426244262628262681026286236[[#This Row],[Uso diário]]*5</f>
        <v>67</v>
      </c>
      <c r="Q3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3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1" s="25">
        <v>3</v>
      </c>
    </row>
    <row r="372" spans="1:20" s="26" customFormat="1" x14ac:dyDescent="0.25">
      <c r="A372" s="16">
        <v>234138</v>
      </c>
      <c r="B372" s="30" t="s">
        <v>1164</v>
      </c>
      <c r="C372" s="20" t="s">
        <v>641</v>
      </c>
      <c r="D372" s="20" t="s">
        <v>704</v>
      </c>
      <c r="E372" s="20" t="s">
        <v>2268</v>
      </c>
      <c r="F372" s="20" t="s">
        <v>2269</v>
      </c>
      <c r="G372" s="21">
        <v>18.8</v>
      </c>
      <c r="H372" s="16">
        <v>26</v>
      </c>
      <c r="I372" s="16">
        <v>1</v>
      </c>
      <c r="J3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372" s="22"/>
      <c r="L372" s="23"/>
      <c r="M372" s="23">
        <f>SUM(Tabela174681012142230322681619252731333624210121416182426283038402481012141620222628303234362426810121424610122426244262628262681026286236[[#This Row],[Saldo no cartão]:[Recarga Pendente]])</f>
        <v>0</v>
      </c>
      <c r="N372" s="19">
        <f>Tabela174681012142230322681619252731333624210121416182426283038402481012141620222628303234362426810121424610122426244262628262681026286236[[#This Row],[Uso diário]]*2</f>
        <v>37.6</v>
      </c>
      <c r="O372" s="19">
        <f>Tabela174681012142230322681619252731333624210121416182426283038402481012141620222628303234362426810121424610122426244262628262681026286236[[#This Row],[Total Acumulado]]-P372</f>
        <v>-94</v>
      </c>
      <c r="P372" s="48">
        <f>Tabela174681012142230322681619252731333624210121416182426283038402481012141620222628303234362426810121424610122426244262628262681026286236[[#This Row],[Uso diário]]*5</f>
        <v>94</v>
      </c>
      <c r="Q3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3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2" s="25">
        <v>3</v>
      </c>
    </row>
    <row r="373" spans="1:20" s="26" customFormat="1" x14ac:dyDescent="0.25">
      <c r="A373" s="16">
        <v>234722</v>
      </c>
      <c r="B373" s="30" t="s">
        <v>1350</v>
      </c>
      <c r="C373" s="20" t="s">
        <v>641</v>
      </c>
      <c r="D373" s="20" t="s">
        <v>704</v>
      </c>
      <c r="E373" s="20" t="s">
        <v>2270</v>
      </c>
      <c r="F373" s="20" t="s">
        <v>2271</v>
      </c>
      <c r="G373" s="21">
        <v>13.4</v>
      </c>
      <c r="H373" s="16">
        <v>26</v>
      </c>
      <c r="I373" s="16"/>
      <c r="J3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73" s="22"/>
      <c r="L373" s="23"/>
      <c r="M373" s="23">
        <f>SUM(Tabela174681012142230322681619252731333624210121416182426283038402481012141620222628303234362426810121424610122426244262628262681026286236[[#This Row],[Saldo no cartão]:[Recarga Pendente]])</f>
        <v>0</v>
      </c>
      <c r="N373" s="19">
        <f>Tabela174681012142230322681619252731333624210121416182426283038402481012141620222628303234362426810121424610122426244262628262681026286236[[#This Row],[Uso diário]]*2</f>
        <v>26.8</v>
      </c>
      <c r="O373" s="19">
        <f>Tabela174681012142230322681619252731333624210121416182426283038402481012141620222628303234362426810121424610122426244262628262681026286236[[#This Row],[Total Acumulado]]-P373</f>
        <v>-67</v>
      </c>
      <c r="P373" s="48">
        <f>Tabela174681012142230322681619252731333624210121416182426283038402481012141620222628303234362426810121424610122426244262628262681026286236[[#This Row],[Uso diário]]*5</f>
        <v>67</v>
      </c>
      <c r="Q3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3" s="25">
        <v>3</v>
      </c>
    </row>
    <row r="374" spans="1:20" s="26" customFormat="1" x14ac:dyDescent="0.25">
      <c r="A374" s="16">
        <v>234979</v>
      </c>
      <c r="B374" s="30" t="s">
        <v>1428</v>
      </c>
      <c r="C374" s="20" t="s">
        <v>645</v>
      </c>
      <c r="D374" s="20" t="s">
        <v>711</v>
      </c>
      <c r="E374" s="20" t="e">
        <v>#N/A</v>
      </c>
      <c r="F374" s="20" t="e">
        <v>#N/A</v>
      </c>
      <c r="G374" s="21">
        <v>13.4</v>
      </c>
      <c r="H374" s="16">
        <v>26</v>
      </c>
      <c r="I374" s="16"/>
      <c r="J3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74" s="22"/>
      <c r="L374" s="23"/>
      <c r="M374" s="23">
        <f>SUM(Tabela174681012142230322681619252731333624210121416182426283038402481012141620222628303234362426810121424610122426244262628262681026286236[[#This Row],[Saldo no cartão]:[Recarga Pendente]])</f>
        <v>0</v>
      </c>
      <c r="N374" s="19">
        <f>Tabela174681012142230322681619252731333624210121416182426283038402481012141620222628303234362426810121424610122426244262628262681026286236[[#This Row],[Uso diário]]*2</f>
        <v>26.8</v>
      </c>
      <c r="O374" s="19">
        <f>Tabela174681012142230322681619252731333624210121416182426283038402481012141620222628303234362426810121424610122426244262628262681026286236[[#This Row],[Total Acumulado]]-P374</f>
        <v>-67</v>
      </c>
      <c r="P374" s="48">
        <f>Tabela174681012142230322681619252731333624210121416182426283038402481012141620222628303234362426810121424610122426244262628262681026286236[[#This Row],[Uso diário]]*5</f>
        <v>67</v>
      </c>
      <c r="Q3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4" s="25">
        <v>3</v>
      </c>
    </row>
    <row r="375" spans="1:20" s="26" customFormat="1" x14ac:dyDescent="0.25">
      <c r="A375" s="16">
        <v>208051</v>
      </c>
      <c r="B375" s="30" t="s">
        <v>214</v>
      </c>
      <c r="C375" s="20" t="s">
        <v>647</v>
      </c>
      <c r="D375" s="20" t="s">
        <v>720</v>
      </c>
      <c r="E375" s="20" t="s">
        <v>2272</v>
      </c>
      <c r="F375" s="20" t="s">
        <v>2273</v>
      </c>
      <c r="G375" s="21">
        <v>13.4</v>
      </c>
      <c r="H375" s="16">
        <v>26</v>
      </c>
      <c r="I375" s="16"/>
      <c r="J3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75" s="22"/>
      <c r="L375" s="23"/>
      <c r="M375" s="23">
        <f>SUM(Tabela174681012142230322681619252731333624210121416182426283038402481012141620222628303234362426810121424610122426244262628262681026286236[[#This Row],[Saldo no cartão]:[Recarga Pendente]])</f>
        <v>0</v>
      </c>
      <c r="N375" s="19">
        <f>Tabela174681012142230322681619252731333624210121416182426283038402481012141620222628303234362426810121424610122426244262628262681026286236[[#This Row],[Uso diário]]*2</f>
        <v>26.8</v>
      </c>
      <c r="O375" s="19">
        <f>Tabela174681012142230322681619252731333624210121416182426283038402481012141620222628303234362426810121424610122426244262628262681026286236[[#This Row],[Total Acumulado]]-P375</f>
        <v>-67</v>
      </c>
      <c r="P375" s="48">
        <f>Tabela174681012142230322681619252731333624210121416182426283038402481012141620222628303234362426810121424610122426244262628262681026286236[[#This Row],[Uso diário]]*5</f>
        <v>67</v>
      </c>
      <c r="Q3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5" s="25">
        <v>4</v>
      </c>
    </row>
    <row r="376" spans="1:20" s="26" customFormat="1" x14ac:dyDescent="0.25">
      <c r="A376" s="16">
        <v>212000</v>
      </c>
      <c r="B376" s="30" t="s">
        <v>1165</v>
      </c>
      <c r="C376" s="20" t="s">
        <v>647</v>
      </c>
      <c r="D376" s="20" t="s">
        <v>720</v>
      </c>
      <c r="E376" s="20" t="s">
        <v>2274</v>
      </c>
      <c r="F376" s="20" t="s">
        <v>2275</v>
      </c>
      <c r="G376" s="21">
        <v>18.8</v>
      </c>
      <c r="H376" s="16">
        <v>26</v>
      </c>
      <c r="I376" s="16"/>
      <c r="J3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76" s="22"/>
      <c r="L376" s="23"/>
      <c r="M376" s="23">
        <f>SUM(Tabela174681012142230322681619252731333624210121416182426283038402481012141620222628303234362426810121424610122426244262628262681026286236[[#This Row],[Saldo no cartão]:[Recarga Pendente]])</f>
        <v>0</v>
      </c>
      <c r="N376" s="19">
        <f>Tabela174681012142230322681619252731333624210121416182426283038402481012141620222628303234362426810121424610122426244262628262681026286236[[#This Row],[Uso diário]]*2</f>
        <v>37.6</v>
      </c>
      <c r="O376" s="19">
        <f>Tabela174681012142230322681619252731333624210121416182426283038402481012141620222628303234362426810121424610122426244262628262681026286236[[#This Row],[Total Acumulado]]-P376</f>
        <v>-94</v>
      </c>
      <c r="P376" s="48">
        <f>Tabela174681012142230322681619252731333624210121416182426283038402481012141620222628303234362426810121424610122426244262628262681026286236[[#This Row],[Uso diário]]*5</f>
        <v>94</v>
      </c>
      <c r="Q3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6" s="25">
        <v>4</v>
      </c>
    </row>
    <row r="377" spans="1:20" s="26" customFormat="1" x14ac:dyDescent="0.25">
      <c r="A377" s="16">
        <v>218725</v>
      </c>
      <c r="B377" s="30" t="s">
        <v>1166</v>
      </c>
      <c r="C377" s="20" t="s">
        <v>647</v>
      </c>
      <c r="D377" s="20" t="s">
        <v>720</v>
      </c>
      <c r="E377" s="20" t="s">
        <v>2276</v>
      </c>
      <c r="F377" s="20" t="s">
        <v>2277</v>
      </c>
      <c r="G377" s="21">
        <v>14.2</v>
      </c>
      <c r="H377" s="16">
        <v>26</v>
      </c>
      <c r="I377" s="16"/>
      <c r="J3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377" s="22"/>
      <c r="L377" s="23"/>
      <c r="M377" s="23">
        <f>SUM(Tabela174681012142230322681619252731333624210121416182426283038402481012141620222628303234362426810121424610122426244262628262681026286236[[#This Row],[Saldo no cartão]:[Recarga Pendente]])</f>
        <v>0</v>
      </c>
      <c r="N377" s="19">
        <f>Tabela174681012142230322681619252731333624210121416182426283038402481012141620222628303234362426810121424610122426244262628262681026286236[[#This Row],[Uso diário]]*2</f>
        <v>28.4</v>
      </c>
      <c r="O377" s="19">
        <f>Tabela174681012142230322681619252731333624210121416182426283038402481012141620222628303234362426810121424610122426244262628262681026286236[[#This Row],[Total Acumulado]]-P377</f>
        <v>-71</v>
      </c>
      <c r="P377" s="48">
        <f>Tabela174681012142230322681619252731333624210121416182426283038402481012141620222628303234362426810121424610122426244262628262681026286236[[#This Row],[Uso diário]]*5</f>
        <v>71</v>
      </c>
      <c r="Q3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3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7" s="25">
        <v>4</v>
      </c>
    </row>
    <row r="378" spans="1:20" s="26" customFormat="1" x14ac:dyDescent="0.25">
      <c r="A378" s="16">
        <v>218757</v>
      </c>
      <c r="B378" s="30" t="s">
        <v>215</v>
      </c>
      <c r="C378" s="20" t="s">
        <v>647</v>
      </c>
      <c r="D378" s="20" t="s">
        <v>720</v>
      </c>
      <c r="E378" s="20" t="s">
        <v>2278</v>
      </c>
      <c r="F378" s="20" t="s">
        <v>2279</v>
      </c>
      <c r="G378" s="21">
        <v>18.8</v>
      </c>
      <c r="H378" s="16">
        <v>26</v>
      </c>
      <c r="I378" s="16"/>
      <c r="J3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78" s="22"/>
      <c r="L378" s="23"/>
      <c r="M378" s="23">
        <f>SUM(Tabela174681012142230322681619252731333624210121416182426283038402481012141620222628303234362426810121424610122426244262628262681026286236[[#This Row],[Saldo no cartão]:[Recarga Pendente]])</f>
        <v>0</v>
      </c>
      <c r="N378" s="19">
        <f>Tabela174681012142230322681619252731333624210121416182426283038402481012141620222628303234362426810121424610122426244262628262681026286236[[#This Row],[Uso diário]]*2</f>
        <v>37.6</v>
      </c>
      <c r="O378" s="19">
        <f>Tabela174681012142230322681619252731333624210121416182426283038402481012141620222628303234362426810121424610122426244262628262681026286236[[#This Row],[Total Acumulado]]-P378</f>
        <v>-94</v>
      </c>
      <c r="P378" s="48">
        <f>Tabela174681012142230322681619252731333624210121416182426283038402481012141620222628303234362426810121424610122426244262628262681026286236[[#This Row],[Uso diário]]*5</f>
        <v>94</v>
      </c>
      <c r="Q3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8" s="25">
        <v>4</v>
      </c>
    </row>
    <row r="379" spans="1:20" s="26" customFormat="1" x14ac:dyDescent="0.25">
      <c r="A379" s="16">
        <v>221852</v>
      </c>
      <c r="B379" s="30" t="s">
        <v>1429</v>
      </c>
      <c r="C379" s="20" t="s">
        <v>647</v>
      </c>
      <c r="D379" s="20" t="s">
        <v>720</v>
      </c>
      <c r="E379" s="20" t="s">
        <v>2280</v>
      </c>
      <c r="F379" s="20" t="s">
        <v>2281</v>
      </c>
      <c r="G379" s="21">
        <v>13.4</v>
      </c>
      <c r="H379" s="16">
        <v>26</v>
      </c>
      <c r="I379" s="16">
        <v>3</v>
      </c>
      <c r="J3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379" s="22"/>
      <c r="L379" s="23"/>
      <c r="M379" s="23">
        <f>SUM(Tabela174681012142230322681619252731333624210121416182426283038402481012141620222628303234362426810121424610122426244262628262681026286236[[#This Row],[Saldo no cartão]:[Recarga Pendente]])</f>
        <v>0</v>
      </c>
      <c r="N379" s="19">
        <f>Tabela174681012142230322681619252731333624210121416182426283038402481012141620222628303234362426810121424610122426244262628262681026286236[[#This Row],[Uso diário]]*2</f>
        <v>26.8</v>
      </c>
      <c r="O379" s="19">
        <f>Tabela174681012142230322681619252731333624210121416182426283038402481012141620222628303234362426810121424610122426244262628262681026286236[[#This Row],[Total Acumulado]]-P379</f>
        <v>-67</v>
      </c>
      <c r="P379" s="48">
        <f>Tabela174681012142230322681619252731333624210121416182426283038402481012141620222628303234362426810121424610122426244262628262681026286236[[#This Row],[Uso diário]]*5</f>
        <v>67</v>
      </c>
      <c r="Q3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3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79" s="25">
        <v>4</v>
      </c>
    </row>
    <row r="380" spans="1:20" s="26" customFormat="1" x14ac:dyDescent="0.25">
      <c r="A380" s="16">
        <v>226424</v>
      </c>
      <c r="B380" s="30" t="s">
        <v>217</v>
      </c>
      <c r="C380" s="20" t="s">
        <v>647</v>
      </c>
      <c r="D380" s="20" t="s">
        <v>721</v>
      </c>
      <c r="E380" s="20" t="s">
        <v>2282</v>
      </c>
      <c r="F380" s="20" t="s">
        <v>2283</v>
      </c>
      <c r="G380" s="21">
        <v>18.8</v>
      </c>
      <c r="H380" s="16">
        <v>26</v>
      </c>
      <c r="I380" s="16"/>
      <c r="J3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80" s="22"/>
      <c r="L380" s="23"/>
      <c r="M380" s="23">
        <f>SUM(Tabela174681012142230322681619252731333624210121416182426283038402481012141620222628303234362426810121424610122426244262628262681026286236[[#This Row],[Saldo no cartão]:[Recarga Pendente]])</f>
        <v>0</v>
      </c>
      <c r="N380" s="19">
        <f>Tabela174681012142230322681619252731333624210121416182426283038402481012141620222628303234362426810121424610122426244262628262681026286236[[#This Row],[Uso diário]]*2</f>
        <v>37.6</v>
      </c>
      <c r="O380" s="19">
        <f>Tabela174681012142230322681619252731333624210121416182426283038402481012141620222628303234362426810121424610122426244262628262681026286236[[#This Row],[Total Acumulado]]-P380</f>
        <v>-94</v>
      </c>
      <c r="P380" s="48">
        <f>Tabela174681012142230322681619252731333624210121416182426283038402481012141620222628303234362426810121424610122426244262628262681026286236[[#This Row],[Uso diário]]*5</f>
        <v>94</v>
      </c>
      <c r="Q3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0" s="25">
        <v>4</v>
      </c>
    </row>
    <row r="381" spans="1:20" s="26" customFormat="1" x14ac:dyDescent="0.25">
      <c r="A381" s="16">
        <v>230909</v>
      </c>
      <c r="B381" s="30" t="s">
        <v>529</v>
      </c>
      <c r="C381" s="20" t="s">
        <v>647</v>
      </c>
      <c r="D381" s="20" t="s">
        <v>720</v>
      </c>
      <c r="E381" s="20" t="s">
        <v>2284</v>
      </c>
      <c r="F381" s="20" t="s">
        <v>2285</v>
      </c>
      <c r="G381" s="21">
        <v>13.4</v>
      </c>
      <c r="H381" s="16">
        <v>26</v>
      </c>
      <c r="I381" s="16">
        <v>3</v>
      </c>
      <c r="J3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381" s="22"/>
      <c r="L381" s="23"/>
      <c r="M381" s="23">
        <f>SUM(Tabela174681012142230322681619252731333624210121416182426283038402481012141620222628303234362426810121424610122426244262628262681026286236[[#This Row],[Saldo no cartão]:[Recarga Pendente]])</f>
        <v>0</v>
      </c>
      <c r="N381" s="19">
        <f>Tabela174681012142230322681619252731333624210121416182426283038402481012141620222628303234362426810121424610122426244262628262681026286236[[#This Row],[Uso diário]]*2</f>
        <v>26.8</v>
      </c>
      <c r="O381" s="19">
        <f>Tabela174681012142230322681619252731333624210121416182426283038402481012141620222628303234362426810121424610122426244262628262681026286236[[#This Row],[Total Acumulado]]-P381</f>
        <v>-67</v>
      </c>
      <c r="P381" s="48">
        <f>Tabela174681012142230322681619252731333624210121416182426283038402481012141620222628303234362426810121424610122426244262628262681026286236[[#This Row],[Uso diário]]*5</f>
        <v>67</v>
      </c>
      <c r="Q3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3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1" s="25">
        <v>4</v>
      </c>
    </row>
    <row r="382" spans="1:20" s="26" customFormat="1" x14ac:dyDescent="0.25">
      <c r="A382" s="16">
        <v>232621</v>
      </c>
      <c r="B382" s="30" t="s">
        <v>1430</v>
      </c>
      <c r="C382" s="20" t="s">
        <v>647</v>
      </c>
      <c r="D382" s="20" t="s">
        <v>721</v>
      </c>
      <c r="E382" s="20" t="s">
        <v>2286</v>
      </c>
      <c r="F382" s="20" t="s">
        <v>2287</v>
      </c>
      <c r="G382" s="21">
        <v>18.8</v>
      </c>
      <c r="H382" s="16">
        <v>26</v>
      </c>
      <c r="I382" s="16"/>
      <c r="J3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82" s="22"/>
      <c r="L382" s="23"/>
      <c r="M382" s="23">
        <f>SUM(Tabela174681012142230322681619252731333624210121416182426283038402481012141620222628303234362426810121424610122426244262628262681026286236[[#This Row],[Saldo no cartão]:[Recarga Pendente]])</f>
        <v>0</v>
      </c>
      <c r="N382" s="19">
        <f>Tabela174681012142230322681619252731333624210121416182426283038402481012141620222628303234362426810121424610122426244262628262681026286236[[#This Row],[Uso diário]]*2</f>
        <v>37.6</v>
      </c>
      <c r="O382" s="19">
        <f>Tabela174681012142230322681619252731333624210121416182426283038402481012141620222628303234362426810121424610122426244262628262681026286236[[#This Row],[Total Acumulado]]-P382</f>
        <v>-94</v>
      </c>
      <c r="P382" s="48">
        <f>Tabela174681012142230322681619252731333624210121416182426283038402481012141620222628303234362426810121424610122426244262628262681026286236[[#This Row],[Uso diário]]*5</f>
        <v>94</v>
      </c>
      <c r="Q3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2" s="25">
        <v>4</v>
      </c>
    </row>
    <row r="383" spans="1:20" s="26" customFormat="1" x14ac:dyDescent="0.25">
      <c r="A383" s="16">
        <v>232622</v>
      </c>
      <c r="B383" s="30" t="s">
        <v>933</v>
      </c>
      <c r="C383" s="20" t="s">
        <v>647</v>
      </c>
      <c r="D383" s="20" t="s">
        <v>721</v>
      </c>
      <c r="E383" s="20" t="s">
        <v>2288</v>
      </c>
      <c r="F383" s="20" t="s">
        <v>2289</v>
      </c>
      <c r="G383" s="21">
        <v>13.4</v>
      </c>
      <c r="H383" s="16">
        <v>26</v>
      </c>
      <c r="I383" s="16"/>
      <c r="J3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83" s="22"/>
      <c r="L383" s="23"/>
      <c r="M383" s="23">
        <f>SUM(Tabela174681012142230322681619252731333624210121416182426283038402481012141620222628303234362426810121424610122426244262628262681026286236[[#This Row],[Saldo no cartão]:[Recarga Pendente]])</f>
        <v>0</v>
      </c>
      <c r="N383" s="19">
        <f>Tabela174681012142230322681619252731333624210121416182426283038402481012141620222628303234362426810121424610122426244262628262681026286236[[#This Row],[Uso diário]]*2</f>
        <v>26.8</v>
      </c>
      <c r="O383" s="19">
        <f>Tabela174681012142230322681619252731333624210121416182426283038402481012141620222628303234362426810121424610122426244262628262681026286236[[#This Row],[Total Acumulado]]-P383</f>
        <v>-67</v>
      </c>
      <c r="P383" s="48">
        <f>Tabela174681012142230322681619252731333624210121416182426283038402481012141620222628303234362426810121424610122426244262628262681026286236[[#This Row],[Uso diário]]*5</f>
        <v>67</v>
      </c>
      <c r="Q3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3" s="25">
        <v>4</v>
      </c>
    </row>
    <row r="384" spans="1:20" s="26" customFormat="1" x14ac:dyDescent="0.25">
      <c r="A384" s="16">
        <v>232671</v>
      </c>
      <c r="B384" s="30" t="s">
        <v>934</v>
      </c>
      <c r="C384" s="20" t="s">
        <v>647</v>
      </c>
      <c r="D384" s="20" t="s">
        <v>720</v>
      </c>
      <c r="E384" s="20" t="s">
        <v>2290</v>
      </c>
      <c r="F384" s="20" t="s">
        <v>2291</v>
      </c>
      <c r="G384" s="21">
        <v>18.8</v>
      </c>
      <c r="H384" s="16">
        <v>26</v>
      </c>
      <c r="I384" s="16"/>
      <c r="J3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84" s="22"/>
      <c r="L384" s="23"/>
      <c r="M384" s="23">
        <f>SUM(Tabela174681012142230322681619252731333624210121416182426283038402481012141620222628303234362426810121424610122426244262628262681026286236[[#This Row],[Saldo no cartão]:[Recarga Pendente]])</f>
        <v>0</v>
      </c>
      <c r="N384" s="19">
        <f>Tabela174681012142230322681619252731333624210121416182426283038402481012141620222628303234362426810121424610122426244262628262681026286236[[#This Row],[Uso diário]]*2</f>
        <v>37.6</v>
      </c>
      <c r="O384" s="19">
        <f>Tabela174681012142230322681619252731333624210121416182426283038402481012141620222628303234362426810121424610122426244262628262681026286236[[#This Row],[Total Acumulado]]-P384</f>
        <v>-94</v>
      </c>
      <c r="P384" s="48">
        <f>Tabela174681012142230322681619252731333624210121416182426283038402481012141620222628303234362426810121424610122426244262628262681026286236[[#This Row],[Uso diário]]*5</f>
        <v>94</v>
      </c>
      <c r="Q3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4" s="25">
        <v>4</v>
      </c>
    </row>
    <row r="385" spans="1:20" s="26" customFormat="1" x14ac:dyDescent="0.25">
      <c r="A385" s="16">
        <v>233527</v>
      </c>
      <c r="B385" s="30" t="s">
        <v>1055</v>
      </c>
      <c r="C385" s="20" t="s">
        <v>647</v>
      </c>
      <c r="D385" s="20" t="s">
        <v>721</v>
      </c>
      <c r="E385" s="20" t="s">
        <v>2292</v>
      </c>
      <c r="F385" s="20" t="s">
        <v>2293</v>
      </c>
      <c r="G385" s="21">
        <v>18.8</v>
      </c>
      <c r="H385" s="16">
        <v>26</v>
      </c>
      <c r="I385" s="16"/>
      <c r="J3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85" s="22"/>
      <c r="L385" s="23"/>
      <c r="M385" s="23">
        <f>SUM(Tabela174681012142230322681619252731333624210121416182426283038402481012141620222628303234362426810121424610122426244262628262681026286236[[#This Row],[Saldo no cartão]:[Recarga Pendente]])</f>
        <v>0</v>
      </c>
      <c r="N385" s="19">
        <f>Tabela174681012142230322681619252731333624210121416182426283038402481012141620222628303234362426810121424610122426244262628262681026286236[[#This Row],[Uso diário]]*2</f>
        <v>37.6</v>
      </c>
      <c r="O385" s="19">
        <f>Tabela174681012142230322681619252731333624210121416182426283038402481012141620222628303234362426810121424610122426244262628262681026286236[[#This Row],[Total Acumulado]]-P385</f>
        <v>-94</v>
      </c>
      <c r="P385" s="48">
        <f>Tabela174681012142230322681619252731333624210121416182426283038402481012141620222628303234362426810121424610122426244262628262681026286236[[#This Row],[Uso diário]]*5</f>
        <v>94</v>
      </c>
      <c r="Q3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5" s="25">
        <v>4</v>
      </c>
    </row>
    <row r="386" spans="1:20" s="26" customFormat="1" x14ac:dyDescent="0.25">
      <c r="A386" s="16">
        <v>234100</v>
      </c>
      <c r="B386" s="30" t="s">
        <v>1167</v>
      </c>
      <c r="C386" s="20" t="s">
        <v>647</v>
      </c>
      <c r="D386" s="20" t="s">
        <v>721</v>
      </c>
      <c r="E386" s="20" t="s">
        <v>2294</v>
      </c>
      <c r="F386" s="20" t="s">
        <v>2295</v>
      </c>
      <c r="G386" s="21">
        <v>13.4</v>
      </c>
      <c r="H386" s="16">
        <v>26</v>
      </c>
      <c r="I386" s="16"/>
      <c r="J3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86" s="22"/>
      <c r="L386" s="23"/>
      <c r="M386" s="23">
        <f>SUM(Tabela174681012142230322681619252731333624210121416182426283038402481012141620222628303234362426810121424610122426244262628262681026286236[[#This Row],[Saldo no cartão]:[Recarga Pendente]])</f>
        <v>0</v>
      </c>
      <c r="N386" s="19">
        <f>Tabela174681012142230322681619252731333624210121416182426283038402481012141620222628303234362426810121424610122426244262628262681026286236[[#This Row],[Uso diário]]*2</f>
        <v>26.8</v>
      </c>
      <c r="O386" s="19">
        <f>Tabela174681012142230322681619252731333624210121416182426283038402481012141620222628303234362426810121424610122426244262628262681026286236[[#This Row],[Total Acumulado]]-P386</f>
        <v>-67</v>
      </c>
      <c r="P386" s="48">
        <f>Tabela174681012142230322681619252731333624210121416182426283038402481012141620222628303234362426810121424610122426244262628262681026286236[[#This Row],[Uso diário]]*5</f>
        <v>67</v>
      </c>
      <c r="Q3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6" s="25">
        <v>4</v>
      </c>
    </row>
    <row r="387" spans="1:20" s="26" customFormat="1" x14ac:dyDescent="0.25">
      <c r="A387" s="16">
        <v>234969</v>
      </c>
      <c r="B387" s="30" t="s">
        <v>1431</v>
      </c>
      <c r="C387" s="20" t="s">
        <v>647</v>
      </c>
      <c r="D387" s="20" t="s">
        <v>721</v>
      </c>
      <c r="E387" s="20" t="s">
        <v>2296</v>
      </c>
      <c r="F387" s="20" t="s">
        <v>2297</v>
      </c>
      <c r="G387" s="21">
        <v>13.4</v>
      </c>
      <c r="H387" s="16">
        <v>26</v>
      </c>
      <c r="I387" s="16"/>
      <c r="J3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87" s="22"/>
      <c r="L387" s="23"/>
      <c r="M387" s="23">
        <f>SUM(Tabela174681012142230322681619252731333624210121416182426283038402481012141620222628303234362426810121424610122426244262628262681026286236[[#This Row],[Saldo no cartão]:[Recarga Pendente]])</f>
        <v>0</v>
      </c>
      <c r="N387" s="19">
        <f>Tabela174681012142230322681619252731333624210121416182426283038402481012141620222628303234362426810121424610122426244262628262681026286236[[#This Row],[Uso diário]]*2</f>
        <v>26.8</v>
      </c>
      <c r="O387" s="19">
        <f>Tabela174681012142230322681619252731333624210121416182426283038402481012141620222628303234362426810121424610122426244262628262681026286236[[#This Row],[Total Acumulado]]-P387</f>
        <v>-67</v>
      </c>
      <c r="P387" s="48">
        <f>Tabela174681012142230322681619252731333624210121416182426283038402481012141620222628303234362426810121424610122426244262628262681026286236[[#This Row],[Uso diário]]*5</f>
        <v>67</v>
      </c>
      <c r="Q3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7" s="25">
        <v>4</v>
      </c>
    </row>
    <row r="388" spans="1:20" s="26" customFormat="1" x14ac:dyDescent="0.25">
      <c r="A388" s="16">
        <v>234981</v>
      </c>
      <c r="B388" s="30" t="s">
        <v>1432</v>
      </c>
      <c r="C388" s="20" t="s">
        <v>647</v>
      </c>
      <c r="D388" s="20" t="s">
        <v>724</v>
      </c>
      <c r="E388" s="20" t="s">
        <v>2298</v>
      </c>
      <c r="F388" s="20" t="s">
        <v>2299</v>
      </c>
      <c r="G388" s="21">
        <v>13.4</v>
      </c>
      <c r="H388" s="16">
        <v>26</v>
      </c>
      <c r="I388" s="16"/>
      <c r="J3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88" s="22"/>
      <c r="L388" s="23"/>
      <c r="M388" s="23">
        <f>SUM(Tabela174681012142230322681619252731333624210121416182426283038402481012141620222628303234362426810121424610122426244262628262681026286236[[#This Row],[Saldo no cartão]:[Recarga Pendente]])</f>
        <v>0</v>
      </c>
      <c r="N388" s="19">
        <f>Tabela174681012142230322681619252731333624210121416182426283038402481012141620222628303234362426810121424610122426244262628262681026286236[[#This Row],[Uso diário]]*2</f>
        <v>26.8</v>
      </c>
      <c r="O388" s="19">
        <f>Tabela174681012142230322681619252731333624210121416182426283038402481012141620222628303234362426810121424610122426244262628262681026286236[[#This Row],[Total Acumulado]]-P388</f>
        <v>-67</v>
      </c>
      <c r="P388" s="48">
        <f>Tabela174681012142230322681619252731333624210121416182426283038402481012141620222628303234362426810121424610122426244262628262681026286236[[#This Row],[Uso diário]]*5</f>
        <v>67</v>
      </c>
      <c r="Q3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8" s="25">
        <v>4</v>
      </c>
    </row>
    <row r="389" spans="1:20" s="26" customFormat="1" x14ac:dyDescent="0.25">
      <c r="A389" s="16">
        <v>219941</v>
      </c>
      <c r="B389" s="30" t="s">
        <v>365</v>
      </c>
      <c r="C389" s="20" t="s">
        <v>630</v>
      </c>
      <c r="D389" s="20" t="s">
        <v>736</v>
      </c>
      <c r="E389" s="20" t="s">
        <v>2300</v>
      </c>
      <c r="F389" s="20" t="s">
        <v>2301</v>
      </c>
      <c r="G389" s="21">
        <v>18.8</v>
      </c>
      <c r="H389" s="16">
        <v>22</v>
      </c>
      <c r="I389" s="16"/>
      <c r="J3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389" s="22"/>
      <c r="L389" s="23"/>
      <c r="M389" s="23">
        <f>SUM(Tabela174681012142230322681619252731333624210121416182426283038402481012141620222628303234362426810121424610122426244262628262681026286236[[#This Row],[Saldo no cartão]:[Recarga Pendente]])</f>
        <v>0</v>
      </c>
      <c r="N389" s="19">
        <f>Tabela174681012142230322681619252731333624210121416182426283038402481012141620222628303234362426810121424610122426244262628262681026286236[[#This Row],[Uso diário]]*2</f>
        <v>37.6</v>
      </c>
      <c r="O389" s="19">
        <f>Tabela174681012142230322681619252731333624210121416182426283038402481012141620222628303234362426810121424610122426244262628262681026286236[[#This Row],[Total Acumulado]]-P389</f>
        <v>-94</v>
      </c>
      <c r="P389" s="48">
        <f>Tabela174681012142230322681619252731333624210121416182426283038402481012141620222628303234362426810121424610122426244262628262681026286236[[#This Row],[Uso diário]]*5</f>
        <v>94</v>
      </c>
      <c r="Q3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3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89" s="25">
        <v>4</v>
      </c>
    </row>
    <row r="390" spans="1:20" s="26" customFormat="1" x14ac:dyDescent="0.25">
      <c r="A390" s="16">
        <v>220524</v>
      </c>
      <c r="B390" s="30" t="s">
        <v>1433</v>
      </c>
      <c r="C390" s="20" t="s">
        <v>648</v>
      </c>
      <c r="D390" s="20" t="s">
        <v>718</v>
      </c>
      <c r="E390" s="20" t="s">
        <v>2302</v>
      </c>
      <c r="F390" s="20" t="s">
        <v>2303</v>
      </c>
      <c r="G390" s="21">
        <v>18.8</v>
      </c>
      <c r="H390" s="16">
        <v>26</v>
      </c>
      <c r="I390" s="16">
        <v>4</v>
      </c>
      <c r="J3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390" s="22"/>
      <c r="L390" s="23"/>
      <c r="M390" s="23">
        <f>SUM(Tabela174681012142230322681619252731333624210121416182426283038402481012141620222628303234362426810121424610122426244262628262681026286236[[#This Row],[Saldo no cartão]:[Recarga Pendente]])</f>
        <v>0</v>
      </c>
      <c r="N390" s="19">
        <f>Tabela174681012142230322681619252731333624210121416182426283038402481012141620222628303234362426810121424610122426244262628262681026286236[[#This Row],[Uso diário]]*2</f>
        <v>37.6</v>
      </c>
      <c r="O390" s="19">
        <f>Tabela174681012142230322681619252731333624210121416182426283038402481012141620222628303234362426810121424610122426244262628262681026286236[[#This Row],[Total Acumulado]]-P390</f>
        <v>-94</v>
      </c>
      <c r="P390" s="48">
        <f>Tabela174681012142230322681619252731333624210121416182426283038402481012141620222628303234362426810121424610122426244262628262681026286236[[#This Row],[Uso diário]]*5</f>
        <v>94</v>
      </c>
      <c r="Q3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3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0" s="25">
        <v>4</v>
      </c>
    </row>
    <row r="391" spans="1:20" s="26" customFormat="1" x14ac:dyDescent="0.25">
      <c r="A391" s="16">
        <v>222513</v>
      </c>
      <c r="B391" s="30" t="s">
        <v>216</v>
      </c>
      <c r="C391" s="20" t="s">
        <v>648</v>
      </c>
      <c r="D391" s="20" t="s">
        <v>718</v>
      </c>
      <c r="E391" s="20" t="s">
        <v>2304</v>
      </c>
      <c r="F391" s="20" t="s">
        <v>2305</v>
      </c>
      <c r="G391" s="21">
        <v>18.8</v>
      </c>
      <c r="H391" s="16">
        <v>17</v>
      </c>
      <c r="I391" s="16"/>
      <c r="J3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319.60000000000002</v>
      </c>
      <c r="K391" s="22"/>
      <c r="L391" s="23"/>
      <c r="M391" s="23">
        <f>SUM(Tabela174681012142230322681619252731333624210121416182426283038402481012141620222628303234362426810121424610122426244262628262681026286236[[#This Row],[Saldo no cartão]:[Recarga Pendente]])</f>
        <v>0</v>
      </c>
      <c r="N391" s="19">
        <f>Tabela174681012142230322681619252731333624210121416182426283038402481012141620222628303234362426810121424610122426244262628262681026286236[[#This Row],[Uso diário]]*2</f>
        <v>37.6</v>
      </c>
      <c r="O391" s="19">
        <f>Tabela174681012142230322681619252731333624210121416182426283038402481012141620222628303234362426810121424610122426244262628262681026286236[[#This Row],[Total Acumulado]]-P391</f>
        <v>-94</v>
      </c>
      <c r="P391" s="48">
        <f>Tabela174681012142230322681619252731333624210121416182426283038402481012141620222628303234362426810121424610122426244262628262681026286236[[#This Row],[Uso diário]]*5</f>
        <v>94</v>
      </c>
      <c r="Q3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319.60000000000002</v>
      </c>
      <c r="S3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1" s="25">
        <v>4</v>
      </c>
    </row>
    <row r="392" spans="1:20" s="26" customFormat="1" x14ac:dyDescent="0.25">
      <c r="A392" s="16">
        <v>223742</v>
      </c>
      <c r="B392" s="30" t="s">
        <v>1168</v>
      </c>
      <c r="C392" s="20" t="s">
        <v>648</v>
      </c>
      <c r="D392" s="20" t="s">
        <v>718</v>
      </c>
      <c r="E392" s="20" t="s">
        <v>2306</v>
      </c>
      <c r="F392" s="20" t="s">
        <v>2307</v>
      </c>
      <c r="G392" s="21">
        <v>13.4</v>
      </c>
      <c r="H392" s="16">
        <v>26</v>
      </c>
      <c r="I392" s="16"/>
      <c r="J3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92" s="22"/>
      <c r="L392" s="23"/>
      <c r="M392" s="23">
        <f>SUM(Tabela174681012142230322681619252731333624210121416182426283038402481012141620222628303234362426810121424610122426244262628262681026286236[[#This Row],[Saldo no cartão]:[Recarga Pendente]])</f>
        <v>0</v>
      </c>
      <c r="N392" s="19">
        <f>Tabela174681012142230322681619252731333624210121416182426283038402481012141620222628303234362426810121424610122426244262628262681026286236[[#This Row],[Uso diário]]*2</f>
        <v>26.8</v>
      </c>
      <c r="O392" s="19">
        <f>Tabela174681012142230322681619252731333624210121416182426283038402481012141620222628303234362426810121424610122426244262628262681026286236[[#This Row],[Total Acumulado]]-P392</f>
        <v>-67</v>
      </c>
      <c r="P392" s="48">
        <f>Tabela174681012142230322681619252731333624210121416182426283038402481012141620222628303234362426810121424610122426244262628262681026286236[[#This Row],[Uso diário]]*5</f>
        <v>67</v>
      </c>
      <c r="Q3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2" s="25">
        <v>4</v>
      </c>
    </row>
    <row r="393" spans="1:20" s="26" customFormat="1" x14ac:dyDescent="0.25">
      <c r="A393" s="16">
        <v>226081</v>
      </c>
      <c r="B393" s="30" t="s">
        <v>181</v>
      </c>
      <c r="C393" s="20" t="s">
        <v>648</v>
      </c>
      <c r="D393" s="20" t="s">
        <v>737</v>
      </c>
      <c r="E393" s="20" t="s">
        <v>2308</v>
      </c>
      <c r="F393" s="20" t="s">
        <v>2309</v>
      </c>
      <c r="G393" s="21">
        <v>18.8</v>
      </c>
      <c r="H393" s="16">
        <v>26</v>
      </c>
      <c r="I393" s="16"/>
      <c r="J3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93" s="22"/>
      <c r="L393" s="23"/>
      <c r="M393" s="23">
        <f>SUM(Tabela174681012142230322681619252731333624210121416182426283038402481012141620222628303234362426810121424610122426244262628262681026286236[[#This Row],[Saldo no cartão]:[Recarga Pendente]])</f>
        <v>0</v>
      </c>
      <c r="N393" s="19">
        <f>Tabela174681012142230322681619252731333624210121416182426283038402481012141620222628303234362426810121424610122426244262628262681026286236[[#This Row],[Uso diário]]*2</f>
        <v>37.6</v>
      </c>
      <c r="O393" s="19">
        <f>Tabela174681012142230322681619252731333624210121416182426283038402481012141620222628303234362426810121424610122426244262628262681026286236[[#This Row],[Total Acumulado]]-P393</f>
        <v>-94</v>
      </c>
      <c r="P393" s="48">
        <f>Tabela174681012142230322681619252731333624210121416182426283038402481012141620222628303234362426810121424610122426244262628262681026286236[[#This Row],[Uso diário]]*5</f>
        <v>94</v>
      </c>
      <c r="Q3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3" s="25">
        <v>4</v>
      </c>
    </row>
    <row r="394" spans="1:20" s="26" customFormat="1" x14ac:dyDescent="0.25">
      <c r="A394" s="16">
        <v>228923</v>
      </c>
      <c r="B394" s="30" t="s">
        <v>218</v>
      </c>
      <c r="C394" s="20" t="s">
        <v>648</v>
      </c>
      <c r="D394" s="20" t="s">
        <v>718</v>
      </c>
      <c r="E394" s="20" t="s">
        <v>2310</v>
      </c>
      <c r="F394" s="20" t="s">
        <v>2311</v>
      </c>
      <c r="G394" s="21">
        <v>13.4</v>
      </c>
      <c r="H394" s="16">
        <v>26</v>
      </c>
      <c r="I394" s="16"/>
      <c r="J3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94" s="22"/>
      <c r="L394" s="23"/>
      <c r="M394" s="23">
        <f>SUM(Tabela174681012142230322681619252731333624210121416182426283038402481012141620222628303234362426810121424610122426244262628262681026286236[[#This Row],[Saldo no cartão]:[Recarga Pendente]])</f>
        <v>0</v>
      </c>
      <c r="N394" s="19">
        <f>Tabela174681012142230322681619252731333624210121416182426283038402481012141620222628303234362426810121424610122426244262628262681026286236[[#This Row],[Uso diário]]*2</f>
        <v>26.8</v>
      </c>
      <c r="O394" s="19">
        <f>Tabela174681012142230322681619252731333624210121416182426283038402481012141620222628303234362426810121424610122426244262628262681026286236[[#This Row],[Total Acumulado]]-P394</f>
        <v>-67</v>
      </c>
      <c r="P394" s="48">
        <f>Tabela174681012142230322681619252731333624210121416182426283038402481012141620222628303234362426810121424610122426244262628262681026286236[[#This Row],[Uso diário]]*5</f>
        <v>67</v>
      </c>
      <c r="Q3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4" s="25">
        <v>4</v>
      </c>
    </row>
    <row r="395" spans="1:20" s="26" customFormat="1" x14ac:dyDescent="0.25">
      <c r="A395" s="16">
        <v>233453</v>
      </c>
      <c r="B395" s="30" t="s">
        <v>1351</v>
      </c>
      <c r="C395" s="20" t="s">
        <v>648</v>
      </c>
      <c r="D395" s="20" t="s">
        <v>718</v>
      </c>
      <c r="E395" s="20" t="s">
        <v>2312</v>
      </c>
      <c r="F395" s="20" t="s">
        <v>2313</v>
      </c>
      <c r="G395" s="21">
        <v>13.4</v>
      </c>
      <c r="H395" s="16">
        <v>26</v>
      </c>
      <c r="I395" s="16"/>
      <c r="J3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95" s="22"/>
      <c r="L395" s="23">
        <v>261.8</v>
      </c>
      <c r="M395" s="23">
        <f>SUM(Tabela174681012142230322681619252731333624210121416182426283038402481012141620222628303234362426810121424610122426244262628262681026286236[[#This Row],[Saldo no cartão]:[Recarga Pendente]])</f>
        <v>261.8</v>
      </c>
      <c r="N395" s="19">
        <f>Tabela174681012142230322681619252731333624210121416182426283038402481012141620222628303234362426810121424610122426244262628262681026286236[[#This Row],[Uso diário]]*2</f>
        <v>26.8</v>
      </c>
      <c r="O395" s="19">
        <f>Tabela174681012142230322681619252731333624210121416182426283038402481012141620222628303234362426810121424610122426244262628262681026286236[[#This Row],[Total Acumulado]]-P395</f>
        <v>194.8</v>
      </c>
      <c r="P395" s="48">
        <f>Tabela174681012142230322681619252731333624210121416182426283038402481012141620222628303234362426810121424610122426244262628262681026286236[[#This Row],[Uso diário]]*5</f>
        <v>67</v>
      </c>
      <c r="Q3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194.8</v>
      </c>
      <c r="R3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153.60000000000002</v>
      </c>
      <c r="S395" s="18" t="s">
        <v>11</v>
      </c>
      <c r="T395" s="25">
        <v>4</v>
      </c>
    </row>
    <row r="396" spans="1:20" s="26" customFormat="1" x14ac:dyDescent="0.25">
      <c r="A396" s="16">
        <v>215216</v>
      </c>
      <c r="B396" s="30" t="s">
        <v>219</v>
      </c>
      <c r="C396" s="20" t="s">
        <v>650</v>
      </c>
      <c r="D396" s="20" t="s">
        <v>726</v>
      </c>
      <c r="E396" s="20" t="s">
        <v>2314</v>
      </c>
      <c r="F396" s="20" t="s">
        <v>2315</v>
      </c>
      <c r="G396" s="21">
        <v>18.8</v>
      </c>
      <c r="H396" s="16">
        <v>26</v>
      </c>
      <c r="I396" s="16"/>
      <c r="J3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396" s="22"/>
      <c r="L396" s="23"/>
      <c r="M396" s="23">
        <f>SUM(Tabela174681012142230322681619252731333624210121416182426283038402481012141620222628303234362426810121424610122426244262628262681026286236[[#This Row],[Saldo no cartão]:[Recarga Pendente]])</f>
        <v>0</v>
      </c>
      <c r="N396" s="19">
        <f>Tabela174681012142230322681619252731333624210121416182426283038402481012141620222628303234362426810121424610122426244262628262681026286236[[#This Row],[Uso diário]]*2</f>
        <v>37.6</v>
      </c>
      <c r="O396" s="19">
        <f>Tabela174681012142230322681619252731333624210121416182426283038402481012141620222628303234362426810121424610122426244262628262681026286236[[#This Row],[Total Acumulado]]-P396</f>
        <v>-94</v>
      </c>
      <c r="P396" s="48">
        <f>Tabela174681012142230322681619252731333624210121416182426283038402481012141620222628303234362426810121424610122426244262628262681026286236[[#This Row],[Uso diário]]*5</f>
        <v>94</v>
      </c>
      <c r="Q3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3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6" s="25">
        <v>4</v>
      </c>
    </row>
    <row r="397" spans="1:20" s="26" customFormat="1" x14ac:dyDescent="0.25">
      <c r="A397" s="16">
        <v>219926</v>
      </c>
      <c r="B397" s="30" t="s">
        <v>1056</v>
      </c>
      <c r="C397" s="20" t="s">
        <v>650</v>
      </c>
      <c r="D397" s="20" t="s">
        <v>726</v>
      </c>
      <c r="E397" s="20" t="s">
        <v>2316</v>
      </c>
      <c r="F397" s="20" t="s">
        <v>2317</v>
      </c>
      <c r="G397" s="21">
        <v>13.4</v>
      </c>
      <c r="H397" s="16">
        <v>26</v>
      </c>
      <c r="I397" s="16"/>
      <c r="J3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97" s="22"/>
      <c r="L397" s="23"/>
      <c r="M397" s="23">
        <f>SUM(Tabela174681012142230322681619252731333624210121416182426283038402481012141620222628303234362426810121424610122426244262628262681026286236[[#This Row],[Saldo no cartão]:[Recarga Pendente]])</f>
        <v>0</v>
      </c>
      <c r="N397" s="19">
        <f>Tabela174681012142230322681619252731333624210121416182426283038402481012141620222628303234362426810121424610122426244262628262681026286236[[#This Row],[Uso diário]]*2</f>
        <v>26.8</v>
      </c>
      <c r="O397" s="19">
        <f>Tabela174681012142230322681619252731333624210121416182426283038402481012141620222628303234362426810121424610122426244262628262681026286236[[#This Row],[Total Acumulado]]-P397</f>
        <v>-67</v>
      </c>
      <c r="P397" s="48">
        <f>Tabela174681012142230322681619252731333624210121416182426283038402481012141620222628303234362426810121424610122426244262628262681026286236[[#This Row],[Uso diário]]*5</f>
        <v>67</v>
      </c>
      <c r="Q3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7" s="25">
        <v>4</v>
      </c>
    </row>
    <row r="398" spans="1:20" s="26" customFormat="1" x14ac:dyDescent="0.25">
      <c r="A398" s="16">
        <v>220714</v>
      </c>
      <c r="B398" s="30" t="s">
        <v>1169</v>
      </c>
      <c r="C398" s="20" t="s">
        <v>650</v>
      </c>
      <c r="D398" s="20" t="s">
        <v>726</v>
      </c>
      <c r="E398" s="20" t="s">
        <v>2318</v>
      </c>
      <c r="F398" s="20" t="s">
        <v>2319</v>
      </c>
      <c r="G398" s="21">
        <v>13.4</v>
      </c>
      <c r="H398" s="16">
        <v>26</v>
      </c>
      <c r="I398" s="16"/>
      <c r="J3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98" s="22"/>
      <c r="L398" s="23"/>
      <c r="M398" s="23">
        <f>SUM(Tabela174681012142230322681619252731333624210121416182426283038402481012141620222628303234362426810121424610122426244262628262681026286236[[#This Row],[Saldo no cartão]:[Recarga Pendente]])</f>
        <v>0</v>
      </c>
      <c r="N398" s="19">
        <f>Tabela174681012142230322681619252731333624210121416182426283038402481012141620222628303234362426810121424610122426244262628262681026286236[[#This Row],[Uso diário]]*2</f>
        <v>26.8</v>
      </c>
      <c r="O398" s="19">
        <f>Tabela174681012142230322681619252731333624210121416182426283038402481012141620222628303234362426810121424610122426244262628262681026286236[[#This Row],[Total Acumulado]]-P398</f>
        <v>-67</v>
      </c>
      <c r="P398" s="48">
        <f>Tabela174681012142230322681619252731333624210121416182426283038402481012141620222628303234362426810121424610122426244262628262681026286236[[#This Row],[Uso diário]]*5</f>
        <v>67</v>
      </c>
      <c r="Q3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8" s="25">
        <v>4</v>
      </c>
    </row>
    <row r="399" spans="1:20" s="26" customFormat="1" x14ac:dyDescent="0.25">
      <c r="A399" s="16">
        <v>232712</v>
      </c>
      <c r="B399" s="30" t="s">
        <v>935</v>
      </c>
      <c r="C399" s="20" t="s">
        <v>650</v>
      </c>
      <c r="D399" s="20" t="s">
        <v>726</v>
      </c>
      <c r="E399" s="20" t="s">
        <v>2320</v>
      </c>
      <c r="F399" s="20" t="s">
        <v>2321</v>
      </c>
      <c r="G399" s="21">
        <v>13.4</v>
      </c>
      <c r="H399" s="16">
        <v>26</v>
      </c>
      <c r="I399" s="16"/>
      <c r="J3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399" s="22"/>
      <c r="L399" s="23"/>
      <c r="M399" s="23">
        <f>SUM(Tabela174681012142230322681619252731333624210121416182426283038402481012141620222628303234362426810121424610122426244262628262681026286236[[#This Row],[Saldo no cartão]:[Recarga Pendente]])</f>
        <v>0</v>
      </c>
      <c r="N399" s="19">
        <f>Tabela174681012142230322681619252731333624210121416182426283038402481012141620222628303234362426810121424610122426244262628262681026286236[[#This Row],[Uso diário]]*2</f>
        <v>26.8</v>
      </c>
      <c r="O399" s="19">
        <f>Tabela174681012142230322681619252731333624210121416182426283038402481012141620222628303234362426810121424610122426244262628262681026286236[[#This Row],[Total Acumulado]]-P399</f>
        <v>-67</v>
      </c>
      <c r="P399" s="48">
        <f>Tabela174681012142230322681619252731333624210121416182426283038402481012141620222628303234362426810121424610122426244262628262681026286236[[#This Row],[Uso diário]]*5</f>
        <v>67</v>
      </c>
      <c r="Q3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3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3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399" s="25">
        <v>4</v>
      </c>
    </row>
    <row r="400" spans="1:20" s="26" customFormat="1" x14ac:dyDescent="0.25">
      <c r="A400" s="16">
        <v>210740</v>
      </c>
      <c r="B400" s="30" t="s">
        <v>187</v>
      </c>
      <c r="C400" s="20" t="s">
        <v>651</v>
      </c>
      <c r="D400" s="20" t="s">
        <v>727</v>
      </c>
      <c r="E400" s="20" t="s">
        <v>2322</v>
      </c>
      <c r="F400" s="20" t="s">
        <v>2323</v>
      </c>
      <c r="G400" s="21">
        <v>18.8</v>
      </c>
      <c r="H400" s="16">
        <v>26</v>
      </c>
      <c r="I400" s="16"/>
      <c r="J4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00" s="22"/>
      <c r="L400" s="23">
        <v>38.5</v>
      </c>
      <c r="M400" s="23">
        <f>SUM(Tabela174681012142230322681619252731333624210121416182426283038402481012141620222628303234362426810121424610122426244262628262681026286236[[#This Row],[Saldo no cartão]:[Recarga Pendente]])</f>
        <v>38.5</v>
      </c>
      <c r="N400" s="19">
        <f>Tabela174681012142230322681619252731333624210121416182426283038402481012141620222628303234362426810121424610122426244262628262681026286236[[#This Row],[Uso diário]]*2</f>
        <v>37.6</v>
      </c>
      <c r="O400" s="19">
        <f>Tabela174681012142230322681619252731333624210121416182426283038402481012141620222628303234362426810121424610122426244262628262681026286236[[#This Row],[Total Acumulado]]-P400</f>
        <v>-55.5</v>
      </c>
      <c r="P400" s="48">
        <f>Tabela174681012142230322681619252731333624210121416182426283038402481012141620222628303234362426810121424610122426244262628262681026286236[[#This Row],[Uso diário]]*5</f>
        <v>94</v>
      </c>
      <c r="Q4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0" s="25">
        <v>4</v>
      </c>
    </row>
    <row r="401" spans="1:20" s="26" customFormat="1" x14ac:dyDescent="0.25">
      <c r="A401" s="16">
        <v>211040</v>
      </c>
      <c r="B401" s="30" t="s">
        <v>1057</v>
      </c>
      <c r="C401" s="20" t="s">
        <v>651</v>
      </c>
      <c r="D401" s="20" t="s">
        <v>717</v>
      </c>
      <c r="E401" s="20" t="s">
        <v>2324</v>
      </c>
      <c r="F401" s="20" t="s">
        <v>2325</v>
      </c>
      <c r="G401" s="21">
        <v>18.8</v>
      </c>
      <c r="H401" s="16">
        <v>16</v>
      </c>
      <c r="I401" s="16"/>
      <c r="J4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01" s="22"/>
      <c r="L401" s="23"/>
      <c r="M401" s="23">
        <f>SUM(Tabela174681012142230322681619252731333624210121416182426283038402481012141620222628303234362426810121424610122426244262628262681026286236[[#This Row],[Saldo no cartão]:[Recarga Pendente]])</f>
        <v>0</v>
      </c>
      <c r="N401" s="19">
        <f>Tabela174681012142230322681619252731333624210121416182426283038402481012141620222628303234362426810121424610122426244262628262681026286236[[#This Row],[Uso diário]]*2</f>
        <v>37.6</v>
      </c>
      <c r="O401" s="19">
        <f>Tabela174681012142230322681619252731333624210121416182426283038402481012141620222628303234362426810121424610122426244262628262681026286236[[#This Row],[Total Acumulado]]-P401</f>
        <v>-94</v>
      </c>
      <c r="P401" s="48">
        <f>Tabela174681012142230322681619252731333624210121416182426283038402481012141620222628303234362426810121424610122426244262628262681026286236[[#This Row],[Uso diário]]*5</f>
        <v>94</v>
      </c>
      <c r="Q4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1" s="25">
        <v>4</v>
      </c>
    </row>
    <row r="402" spans="1:20" s="26" customFormat="1" x14ac:dyDescent="0.25">
      <c r="A402" s="16">
        <v>216391</v>
      </c>
      <c r="B402" s="30" t="s">
        <v>1434</v>
      </c>
      <c r="C402" s="20" t="s">
        <v>651</v>
      </c>
      <c r="D402" s="20" t="s">
        <v>719</v>
      </c>
      <c r="E402" s="20" t="s">
        <v>2326</v>
      </c>
      <c r="F402" s="20" t="s">
        <v>2327</v>
      </c>
      <c r="G402" s="21">
        <v>18.8</v>
      </c>
      <c r="H402" s="16">
        <v>16</v>
      </c>
      <c r="I402" s="16"/>
      <c r="J4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02" s="22"/>
      <c r="L402" s="23"/>
      <c r="M402" s="23">
        <f>SUM(Tabela174681012142230322681619252731333624210121416182426283038402481012141620222628303234362426810121424610122426244262628262681026286236[[#This Row],[Saldo no cartão]:[Recarga Pendente]])</f>
        <v>0</v>
      </c>
      <c r="N402" s="19">
        <f>Tabela174681012142230322681619252731333624210121416182426283038402481012141620222628303234362426810121424610122426244262628262681026286236[[#This Row],[Uso diário]]*2</f>
        <v>37.6</v>
      </c>
      <c r="O402" s="19">
        <f>Tabela174681012142230322681619252731333624210121416182426283038402481012141620222628303234362426810121424610122426244262628262681026286236[[#This Row],[Total Acumulado]]-P402</f>
        <v>-94</v>
      </c>
      <c r="P402" s="48">
        <f>Tabela174681012142230322681619252731333624210121416182426283038402481012141620222628303234362426810121424610122426244262628262681026286236[[#This Row],[Uso diário]]*5</f>
        <v>94</v>
      </c>
      <c r="Q4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2" s="25">
        <v>4</v>
      </c>
    </row>
    <row r="403" spans="1:20" s="26" customFormat="1" x14ac:dyDescent="0.25">
      <c r="A403" s="16">
        <v>219403</v>
      </c>
      <c r="B403" s="30" t="s">
        <v>1170</v>
      </c>
      <c r="C403" s="20" t="s">
        <v>651</v>
      </c>
      <c r="D403" s="20" t="s">
        <v>717</v>
      </c>
      <c r="E403" s="20" t="s">
        <v>2328</v>
      </c>
      <c r="F403" s="20" t="s">
        <v>2329</v>
      </c>
      <c r="G403" s="21">
        <v>18.8</v>
      </c>
      <c r="H403" s="16">
        <v>16</v>
      </c>
      <c r="I403" s="16"/>
      <c r="J4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03" s="22"/>
      <c r="L403" s="23"/>
      <c r="M403" s="23">
        <f>SUM(Tabela174681012142230322681619252731333624210121416182426283038402481012141620222628303234362426810121424610122426244262628262681026286236[[#This Row],[Saldo no cartão]:[Recarga Pendente]])</f>
        <v>0</v>
      </c>
      <c r="N403" s="19">
        <f>Tabela174681012142230322681619252731333624210121416182426283038402481012141620222628303234362426810121424610122426244262628262681026286236[[#This Row],[Uso diário]]*2</f>
        <v>37.6</v>
      </c>
      <c r="O403" s="19">
        <f>Tabela174681012142230322681619252731333624210121416182426283038402481012141620222628303234362426810121424610122426244262628262681026286236[[#This Row],[Total Acumulado]]-P403</f>
        <v>-94</v>
      </c>
      <c r="P403" s="48">
        <f>Tabela174681012142230322681619252731333624210121416182426283038402481012141620222628303234362426810121424610122426244262628262681026286236[[#This Row],[Uso diário]]*5</f>
        <v>94</v>
      </c>
      <c r="Q4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3" s="25">
        <v>4</v>
      </c>
    </row>
    <row r="404" spans="1:20" s="26" customFormat="1" x14ac:dyDescent="0.25">
      <c r="A404" s="16">
        <v>220674</v>
      </c>
      <c r="B404" s="30" t="s">
        <v>220</v>
      </c>
      <c r="C404" s="20" t="s">
        <v>651</v>
      </c>
      <c r="D404" s="20" t="s">
        <v>719</v>
      </c>
      <c r="E404" s="20" t="s">
        <v>2330</v>
      </c>
      <c r="F404" s="20" t="s">
        <v>2331</v>
      </c>
      <c r="G404" s="21">
        <v>13.4</v>
      </c>
      <c r="H404" s="16">
        <v>16</v>
      </c>
      <c r="I404" s="16"/>
      <c r="J4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04" s="22"/>
      <c r="L404" s="23"/>
      <c r="M404" s="23">
        <f>SUM(Tabela174681012142230322681619252731333624210121416182426283038402481012141620222628303234362426810121424610122426244262628262681026286236[[#This Row],[Saldo no cartão]:[Recarga Pendente]])</f>
        <v>0</v>
      </c>
      <c r="N404" s="19">
        <f>Tabela174681012142230322681619252731333624210121416182426283038402481012141620222628303234362426810121424610122426244262628262681026286236[[#This Row],[Uso diário]]*2</f>
        <v>26.8</v>
      </c>
      <c r="O404" s="19">
        <f>Tabela174681012142230322681619252731333624210121416182426283038402481012141620222628303234362426810121424610122426244262628262681026286236[[#This Row],[Total Acumulado]]-P404</f>
        <v>-67</v>
      </c>
      <c r="P404" s="48">
        <f>Tabela174681012142230322681619252731333624210121416182426283038402481012141620222628303234362426810121424610122426244262628262681026286236[[#This Row],[Uso diário]]*5</f>
        <v>67</v>
      </c>
      <c r="Q4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4" s="25">
        <v>4</v>
      </c>
    </row>
    <row r="405" spans="1:20" s="26" customFormat="1" x14ac:dyDescent="0.25">
      <c r="A405" s="16">
        <v>222049</v>
      </c>
      <c r="B405" s="30" t="s">
        <v>221</v>
      </c>
      <c r="C405" s="20" t="s">
        <v>651</v>
      </c>
      <c r="D405" s="20" t="s">
        <v>717</v>
      </c>
      <c r="E405" s="20" t="s">
        <v>2332</v>
      </c>
      <c r="F405" s="20" t="s">
        <v>2333</v>
      </c>
      <c r="G405" s="21">
        <v>18.8</v>
      </c>
      <c r="H405" s="16">
        <v>16</v>
      </c>
      <c r="I405" s="16"/>
      <c r="J4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05" s="22"/>
      <c r="L405" s="23"/>
      <c r="M405" s="23">
        <f>SUM(Tabela174681012142230322681619252731333624210121416182426283038402481012141620222628303234362426810121424610122426244262628262681026286236[[#This Row],[Saldo no cartão]:[Recarga Pendente]])</f>
        <v>0</v>
      </c>
      <c r="N405" s="19">
        <f>Tabela174681012142230322681619252731333624210121416182426283038402481012141620222628303234362426810121424610122426244262628262681026286236[[#This Row],[Uso diário]]*2</f>
        <v>37.6</v>
      </c>
      <c r="O405" s="19">
        <f>Tabela174681012142230322681619252731333624210121416182426283038402481012141620222628303234362426810121424610122426244262628262681026286236[[#This Row],[Total Acumulado]]-P405</f>
        <v>-94</v>
      </c>
      <c r="P405" s="48">
        <f>Tabela174681012142230322681619252731333624210121416182426283038402481012141620222628303234362426810121424610122426244262628262681026286236[[#This Row],[Uso diário]]*5</f>
        <v>94</v>
      </c>
      <c r="Q4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5" s="25">
        <v>4</v>
      </c>
    </row>
    <row r="406" spans="1:20" s="26" customFormat="1" x14ac:dyDescent="0.25">
      <c r="A406" s="16">
        <v>223411</v>
      </c>
      <c r="B406" s="30" t="s">
        <v>1058</v>
      </c>
      <c r="C406" s="20" t="s">
        <v>651</v>
      </c>
      <c r="D406" s="20" t="s">
        <v>719</v>
      </c>
      <c r="E406" s="20" t="s">
        <v>2334</v>
      </c>
      <c r="F406" s="20" t="s">
        <v>2335</v>
      </c>
      <c r="G406" s="21">
        <v>18.8</v>
      </c>
      <c r="H406" s="16">
        <v>16</v>
      </c>
      <c r="I406" s="16"/>
      <c r="J4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06" s="22"/>
      <c r="L406" s="23"/>
      <c r="M406" s="23">
        <f>SUM(Tabela174681012142230322681619252731333624210121416182426283038402481012141620222628303234362426810121424610122426244262628262681026286236[[#This Row],[Saldo no cartão]:[Recarga Pendente]])</f>
        <v>0</v>
      </c>
      <c r="N406" s="19">
        <f>Tabela174681012142230322681619252731333624210121416182426283038402481012141620222628303234362426810121424610122426244262628262681026286236[[#This Row],[Uso diário]]*2</f>
        <v>37.6</v>
      </c>
      <c r="O406" s="19">
        <f>Tabela174681012142230322681619252731333624210121416182426283038402481012141620222628303234362426810121424610122426244262628262681026286236[[#This Row],[Total Acumulado]]-P406</f>
        <v>-94</v>
      </c>
      <c r="P406" s="48">
        <f>Tabela174681012142230322681619252731333624210121416182426283038402481012141620222628303234362426810121424610122426244262628262681026286236[[#This Row],[Uso diário]]*5</f>
        <v>94</v>
      </c>
      <c r="Q4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6" s="25">
        <v>4</v>
      </c>
    </row>
    <row r="407" spans="1:20" s="26" customFormat="1" x14ac:dyDescent="0.25">
      <c r="A407" s="16">
        <v>225965</v>
      </c>
      <c r="B407" s="30" t="s">
        <v>222</v>
      </c>
      <c r="C407" s="20" t="s">
        <v>651</v>
      </c>
      <c r="D407" s="20" t="s">
        <v>719</v>
      </c>
      <c r="E407" s="20" t="s">
        <v>2336</v>
      </c>
      <c r="F407" s="20" t="s">
        <v>2337</v>
      </c>
      <c r="G407" s="21">
        <v>18.8</v>
      </c>
      <c r="H407" s="16">
        <v>16</v>
      </c>
      <c r="I407" s="16">
        <v>3</v>
      </c>
      <c r="J4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407" s="22"/>
      <c r="L407" s="23"/>
      <c r="M407" s="23">
        <f>SUM(Tabela174681012142230322681619252731333624210121416182426283038402481012141620222628303234362426810121424610122426244262628262681026286236[[#This Row],[Saldo no cartão]:[Recarga Pendente]])</f>
        <v>0</v>
      </c>
      <c r="N407" s="19">
        <f>Tabela174681012142230322681619252731333624210121416182426283038402481012141620222628303234362426810121424610122426244262628262681026286236[[#This Row],[Uso diário]]*2</f>
        <v>37.6</v>
      </c>
      <c r="O407" s="19">
        <f>Tabela174681012142230322681619252731333624210121416182426283038402481012141620222628303234362426810121424610122426244262628262681026286236[[#This Row],[Total Acumulado]]-P407</f>
        <v>-94</v>
      </c>
      <c r="P407" s="48">
        <f>Tabela174681012142230322681619252731333624210121416182426283038402481012141620222628303234362426810121424610122426244262628262681026286236[[#This Row],[Uso diário]]*5</f>
        <v>94</v>
      </c>
      <c r="Q4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4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7" s="25">
        <v>4</v>
      </c>
    </row>
    <row r="408" spans="1:20" s="26" customFormat="1" x14ac:dyDescent="0.25">
      <c r="A408" s="16">
        <v>226557</v>
      </c>
      <c r="B408" s="30" t="s">
        <v>1435</v>
      </c>
      <c r="C408" s="20" t="s">
        <v>651</v>
      </c>
      <c r="D408" s="20" t="s">
        <v>719</v>
      </c>
      <c r="E408" s="20" t="s">
        <v>2338</v>
      </c>
      <c r="F408" s="20" t="s">
        <v>2339</v>
      </c>
      <c r="G408" s="21">
        <v>18.8</v>
      </c>
      <c r="H408" s="16">
        <v>16</v>
      </c>
      <c r="I408" s="16"/>
      <c r="J4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08" s="22"/>
      <c r="L408" s="23"/>
      <c r="M408" s="23">
        <f>SUM(Tabela174681012142230322681619252731333624210121416182426283038402481012141620222628303234362426810121424610122426244262628262681026286236[[#This Row],[Saldo no cartão]:[Recarga Pendente]])</f>
        <v>0</v>
      </c>
      <c r="N408" s="19">
        <f>Tabela174681012142230322681619252731333624210121416182426283038402481012141620222628303234362426810121424610122426244262628262681026286236[[#This Row],[Uso diário]]*2</f>
        <v>37.6</v>
      </c>
      <c r="O408" s="19">
        <f>Tabela174681012142230322681619252731333624210121416182426283038402481012141620222628303234362426810121424610122426244262628262681026286236[[#This Row],[Total Acumulado]]-P408</f>
        <v>-94</v>
      </c>
      <c r="P408" s="48">
        <f>Tabela174681012142230322681619252731333624210121416182426283038402481012141620222628303234362426810121424610122426244262628262681026286236[[#This Row],[Uso diário]]*5</f>
        <v>94</v>
      </c>
      <c r="Q4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8" s="25">
        <v>4</v>
      </c>
    </row>
    <row r="409" spans="1:20" s="26" customFormat="1" x14ac:dyDescent="0.25">
      <c r="A409" s="16">
        <v>228128</v>
      </c>
      <c r="B409" s="30" t="s">
        <v>223</v>
      </c>
      <c r="C409" s="20" t="s">
        <v>651</v>
      </c>
      <c r="D409" s="20" t="s">
        <v>716</v>
      </c>
      <c r="E409" s="20" t="s">
        <v>2340</v>
      </c>
      <c r="F409" s="20" t="s">
        <v>2341</v>
      </c>
      <c r="G409" s="21">
        <v>13.4</v>
      </c>
      <c r="H409" s="16">
        <v>16</v>
      </c>
      <c r="I409" s="16"/>
      <c r="J4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09" s="22"/>
      <c r="L409" s="23"/>
      <c r="M409" s="23">
        <f>SUM(Tabela174681012142230322681619252731333624210121416182426283038402481012141620222628303234362426810121424610122426244262628262681026286236[[#This Row],[Saldo no cartão]:[Recarga Pendente]])</f>
        <v>0</v>
      </c>
      <c r="N409" s="19">
        <f>Tabela174681012142230322681619252731333624210121416182426283038402481012141620222628303234362426810121424610122426244262628262681026286236[[#This Row],[Uso diário]]*2</f>
        <v>26.8</v>
      </c>
      <c r="O409" s="19">
        <f>Tabela174681012142230322681619252731333624210121416182426283038402481012141620222628303234362426810121424610122426244262628262681026286236[[#This Row],[Total Acumulado]]-P409</f>
        <v>-67</v>
      </c>
      <c r="P409" s="48">
        <f>Tabela174681012142230322681619252731333624210121416182426283038402481012141620222628303234362426810121424610122426244262628262681026286236[[#This Row],[Uso diário]]*5</f>
        <v>67</v>
      </c>
      <c r="Q4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09" s="25">
        <v>4</v>
      </c>
    </row>
    <row r="410" spans="1:20" s="26" customFormat="1" x14ac:dyDescent="0.25">
      <c r="A410" s="16">
        <v>228129</v>
      </c>
      <c r="B410" s="30" t="s">
        <v>224</v>
      </c>
      <c r="C410" s="20" t="s">
        <v>651</v>
      </c>
      <c r="D410" s="20" t="s">
        <v>719</v>
      </c>
      <c r="E410" s="20" t="s">
        <v>2342</v>
      </c>
      <c r="F410" s="20" t="s">
        <v>2343</v>
      </c>
      <c r="G410" s="21">
        <v>18.8</v>
      </c>
      <c r="H410" s="16">
        <v>10</v>
      </c>
      <c r="I410" s="16">
        <v>4</v>
      </c>
      <c r="J4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112.80000000000001</v>
      </c>
      <c r="K410" s="22"/>
      <c r="L410" s="23"/>
      <c r="M410" s="23">
        <f>SUM(Tabela174681012142230322681619252731333624210121416182426283038402481012141620222628303234362426810121424610122426244262628262681026286236[[#This Row],[Saldo no cartão]:[Recarga Pendente]])</f>
        <v>0</v>
      </c>
      <c r="N410" s="19">
        <f>Tabela174681012142230322681619252731333624210121416182426283038402481012141620222628303234362426810121424610122426244262628262681026286236[[#This Row],[Uso diário]]*2</f>
        <v>37.6</v>
      </c>
      <c r="O410" s="19">
        <f>Tabela174681012142230322681619252731333624210121416182426283038402481012141620222628303234362426810121424610122426244262628262681026286236[[#This Row],[Total Acumulado]]-P410</f>
        <v>-94</v>
      </c>
      <c r="P410" s="48">
        <f>Tabela174681012142230322681619252731333624210121416182426283038402481012141620222628303234362426810121424610122426244262628262681026286236[[#This Row],[Uso diário]]*5</f>
        <v>94</v>
      </c>
      <c r="Q4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112.80000000000001</v>
      </c>
      <c r="S4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0" s="25">
        <v>4</v>
      </c>
    </row>
    <row r="411" spans="1:20" s="26" customFormat="1" x14ac:dyDescent="0.25">
      <c r="A411" s="16">
        <v>228657</v>
      </c>
      <c r="B411" s="30" t="s">
        <v>226</v>
      </c>
      <c r="C411" s="20" t="s">
        <v>651</v>
      </c>
      <c r="D411" s="20" t="s">
        <v>719</v>
      </c>
      <c r="E411" s="20" t="s">
        <v>2344</v>
      </c>
      <c r="F411" s="20" t="s">
        <v>2345</v>
      </c>
      <c r="G411" s="21">
        <v>13.4</v>
      </c>
      <c r="H411" s="16">
        <v>16</v>
      </c>
      <c r="I411" s="16">
        <v>3</v>
      </c>
      <c r="J4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174.20000000000002</v>
      </c>
      <c r="K411" s="22"/>
      <c r="L411" s="23"/>
      <c r="M411" s="23">
        <f>SUM(Tabela174681012142230322681619252731333624210121416182426283038402481012141620222628303234362426810121424610122426244262628262681026286236[[#This Row],[Saldo no cartão]:[Recarga Pendente]])</f>
        <v>0</v>
      </c>
      <c r="N411" s="19">
        <f>Tabela174681012142230322681619252731333624210121416182426283038402481012141620222628303234362426810121424610122426244262628262681026286236[[#This Row],[Uso diário]]*2</f>
        <v>26.8</v>
      </c>
      <c r="O411" s="19">
        <f>Tabela174681012142230322681619252731333624210121416182426283038402481012141620222628303234362426810121424610122426244262628262681026286236[[#This Row],[Total Acumulado]]-P411</f>
        <v>-67</v>
      </c>
      <c r="P411" s="48">
        <f>Tabela174681012142230322681619252731333624210121416182426283038402481012141620222628303234362426810121424610122426244262628262681026286236[[#This Row],[Uso diário]]*5</f>
        <v>67</v>
      </c>
      <c r="Q4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174.20000000000002</v>
      </c>
      <c r="S4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1" s="25">
        <v>4</v>
      </c>
    </row>
    <row r="412" spans="1:20" s="26" customFormat="1" x14ac:dyDescent="0.25">
      <c r="A412" s="16">
        <v>229142</v>
      </c>
      <c r="B412" s="30" t="s">
        <v>227</v>
      </c>
      <c r="C412" s="20" t="s">
        <v>651</v>
      </c>
      <c r="D412" s="20" t="s">
        <v>719</v>
      </c>
      <c r="E412" s="20" t="s">
        <v>2346</v>
      </c>
      <c r="F412" s="20" t="s">
        <v>2347</v>
      </c>
      <c r="G412" s="21">
        <v>13.4</v>
      </c>
      <c r="H412" s="16">
        <v>16</v>
      </c>
      <c r="I412" s="16"/>
      <c r="J4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12" s="22"/>
      <c r="L412" s="23"/>
      <c r="M412" s="23">
        <f>SUM(Tabela174681012142230322681619252731333624210121416182426283038402481012141620222628303234362426810121424610122426244262628262681026286236[[#This Row],[Saldo no cartão]:[Recarga Pendente]])</f>
        <v>0</v>
      </c>
      <c r="N412" s="19">
        <f>Tabela174681012142230322681619252731333624210121416182426283038402481012141620222628303234362426810121424610122426244262628262681026286236[[#This Row],[Uso diário]]*2</f>
        <v>26.8</v>
      </c>
      <c r="O412" s="19">
        <f>Tabela174681012142230322681619252731333624210121416182426283038402481012141620222628303234362426810121424610122426244262628262681026286236[[#This Row],[Total Acumulado]]-P412</f>
        <v>-67</v>
      </c>
      <c r="P412" s="48">
        <f>Tabela174681012142230322681619252731333624210121416182426283038402481012141620222628303234362426810121424610122426244262628262681026286236[[#This Row],[Uso diário]]*5</f>
        <v>67</v>
      </c>
      <c r="Q4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2" s="25">
        <v>4</v>
      </c>
    </row>
    <row r="413" spans="1:20" s="26" customFormat="1" x14ac:dyDescent="0.25">
      <c r="A413" s="16">
        <v>229166</v>
      </c>
      <c r="B413" s="30" t="s">
        <v>228</v>
      </c>
      <c r="C413" s="20" t="s">
        <v>651</v>
      </c>
      <c r="D413" s="20" t="s">
        <v>719</v>
      </c>
      <c r="E413" s="20" t="s">
        <v>2348</v>
      </c>
      <c r="F413" s="20" t="s">
        <v>2349</v>
      </c>
      <c r="G413" s="21">
        <v>13.4</v>
      </c>
      <c r="H413" s="16">
        <v>16</v>
      </c>
      <c r="I413" s="16"/>
      <c r="J4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13" s="22"/>
      <c r="L413" s="23"/>
      <c r="M413" s="23">
        <f>SUM(Tabela174681012142230322681619252731333624210121416182426283038402481012141620222628303234362426810121424610122426244262628262681026286236[[#This Row],[Saldo no cartão]:[Recarga Pendente]])</f>
        <v>0</v>
      </c>
      <c r="N413" s="19">
        <f>Tabela174681012142230322681619252731333624210121416182426283038402481012141620222628303234362426810121424610122426244262628262681026286236[[#This Row],[Uso diário]]*2</f>
        <v>26.8</v>
      </c>
      <c r="O413" s="19">
        <f>Tabela174681012142230322681619252731333624210121416182426283038402481012141620222628303234362426810121424610122426244262628262681026286236[[#This Row],[Total Acumulado]]-P413</f>
        <v>-67</v>
      </c>
      <c r="P413" s="48">
        <f>Tabela174681012142230322681619252731333624210121416182426283038402481012141620222628303234362426810121424610122426244262628262681026286236[[#This Row],[Uso diário]]*5</f>
        <v>67</v>
      </c>
      <c r="Q4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3" s="25">
        <v>4</v>
      </c>
    </row>
    <row r="414" spans="1:20" s="26" customFormat="1" x14ac:dyDescent="0.25">
      <c r="A414" s="16">
        <v>229250</v>
      </c>
      <c r="B414" s="30" t="s">
        <v>1059</v>
      </c>
      <c r="C414" s="20" t="s">
        <v>651</v>
      </c>
      <c r="D414" s="20" t="s">
        <v>719</v>
      </c>
      <c r="E414" s="20" t="s">
        <v>2350</v>
      </c>
      <c r="F414" s="20" t="s">
        <v>2351</v>
      </c>
      <c r="G414" s="21">
        <v>18.8</v>
      </c>
      <c r="H414" s="16">
        <v>16</v>
      </c>
      <c r="I414" s="16"/>
      <c r="J4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14" s="22"/>
      <c r="L414" s="23"/>
      <c r="M414" s="23">
        <f>SUM(Tabela174681012142230322681619252731333624210121416182426283038402481012141620222628303234362426810121424610122426244262628262681026286236[[#This Row],[Saldo no cartão]:[Recarga Pendente]])</f>
        <v>0</v>
      </c>
      <c r="N414" s="19">
        <f>Tabela174681012142230322681619252731333624210121416182426283038402481012141620222628303234362426810121424610122426244262628262681026286236[[#This Row],[Uso diário]]*2</f>
        <v>37.6</v>
      </c>
      <c r="O414" s="19">
        <f>Tabela174681012142230322681619252731333624210121416182426283038402481012141620222628303234362426810121424610122426244262628262681026286236[[#This Row],[Total Acumulado]]-P414</f>
        <v>-94</v>
      </c>
      <c r="P414" s="48">
        <f>Tabela174681012142230322681619252731333624210121416182426283038402481012141620222628303234362426810121424610122426244262628262681026286236[[#This Row],[Uso diário]]*5</f>
        <v>94</v>
      </c>
      <c r="Q4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4" s="25">
        <v>4</v>
      </c>
    </row>
    <row r="415" spans="1:20" s="26" customFormat="1" x14ac:dyDescent="0.25">
      <c r="A415" s="16">
        <v>229408</v>
      </c>
      <c r="B415" s="30" t="s">
        <v>229</v>
      </c>
      <c r="C415" s="20" t="s">
        <v>651</v>
      </c>
      <c r="D415" s="20" t="s">
        <v>719</v>
      </c>
      <c r="E415" s="20" t="s">
        <v>2352</v>
      </c>
      <c r="F415" s="20" t="s">
        <v>2353</v>
      </c>
      <c r="G415" s="21">
        <v>13.4</v>
      </c>
      <c r="H415" s="16">
        <v>16</v>
      </c>
      <c r="I415" s="16"/>
      <c r="J4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15" s="22"/>
      <c r="L415" s="23"/>
      <c r="M415" s="23">
        <f>SUM(Tabela174681012142230322681619252731333624210121416182426283038402481012141620222628303234362426810121424610122426244262628262681026286236[[#This Row],[Saldo no cartão]:[Recarga Pendente]])</f>
        <v>0</v>
      </c>
      <c r="N415" s="19">
        <f>Tabela174681012142230322681619252731333624210121416182426283038402481012141620222628303234362426810121424610122426244262628262681026286236[[#This Row],[Uso diário]]*2</f>
        <v>26.8</v>
      </c>
      <c r="O415" s="19">
        <f>Tabela174681012142230322681619252731333624210121416182426283038402481012141620222628303234362426810121424610122426244262628262681026286236[[#This Row],[Total Acumulado]]-P415</f>
        <v>-67</v>
      </c>
      <c r="P415" s="48">
        <f>Tabela174681012142230322681619252731333624210121416182426283038402481012141620222628303234362426810121424610122426244262628262681026286236[[#This Row],[Uso diário]]*5</f>
        <v>67</v>
      </c>
      <c r="Q4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5" s="25">
        <v>4</v>
      </c>
    </row>
    <row r="416" spans="1:20" s="26" customFormat="1" x14ac:dyDescent="0.25">
      <c r="A416" s="16">
        <v>229434</v>
      </c>
      <c r="B416" s="30" t="s">
        <v>230</v>
      </c>
      <c r="C416" s="20" t="s">
        <v>651</v>
      </c>
      <c r="D416" s="20" t="s">
        <v>719</v>
      </c>
      <c r="E416" s="20" t="s">
        <v>2354</v>
      </c>
      <c r="F416" s="20" t="s">
        <v>2355</v>
      </c>
      <c r="G416" s="21">
        <v>13.4</v>
      </c>
      <c r="H416" s="16">
        <v>16</v>
      </c>
      <c r="I416" s="16">
        <v>1</v>
      </c>
      <c r="J4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416" s="22"/>
      <c r="L416" s="23"/>
      <c r="M416" s="23">
        <f>SUM(Tabela174681012142230322681619252731333624210121416182426283038402481012141620222628303234362426810121424610122426244262628262681026286236[[#This Row],[Saldo no cartão]:[Recarga Pendente]])</f>
        <v>0</v>
      </c>
      <c r="N416" s="19">
        <f>Tabela174681012142230322681619252731333624210121416182426283038402481012141620222628303234362426810121424610122426244262628262681026286236[[#This Row],[Uso diário]]*2</f>
        <v>26.8</v>
      </c>
      <c r="O416" s="19">
        <f>Tabela174681012142230322681619252731333624210121416182426283038402481012141620222628303234362426810121424610122426244262628262681026286236[[#This Row],[Total Acumulado]]-P416</f>
        <v>-67</v>
      </c>
      <c r="P416" s="48">
        <f>Tabela174681012142230322681619252731333624210121416182426283038402481012141620222628303234362426810121424610122426244262628262681026286236[[#This Row],[Uso diário]]*5</f>
        <v>67</v>
      </c>
      <c r="Q4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4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6" s="25">
        <v>4</v>
      </c>
    </row>
    <row r="417" spans="1:20" s="26" customFormat="1" x14ac:dyDescent="0.25">
      <c r="A417" s="16">
        <v>229510</v>
      </c>
      <c r="B417" s="30" t="s">
        <v>231</v>
      </c>
      <c r="C417" s="20" t="s">
        <v>651</v>
      </c>
      <c r="D417" s="20" t="s">
        <v>719</v>
      </c>
      <c r="E417" s="20" t="s">
        <v>2356</v>
      </c>
      <c r="F417" s="20" t="s">
        <v>2357</v>
      </c>
      <c r="G417" s="21">
        <v>18.8</v>
      </c>
      <c r="H417" s="16">
        <v>16</v>
      </c>
      <c r="I417" s="16"/>
      <c r="J4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17" s="22"/>
      <c r="L417" s="23"/>
      <c r="M417" s="23">
        <f>SUM(Tabela174681012142230322681619252731333624210121416182426283038402481012141620222628303234362426810121424610122426244262628262681026286236[[#This Row],[Saldo no cartão]:[Recarga Pendente]])</f>
        <v>0</v>
      </c>
      <c r="N417" s="19">
        <f>Tabela174681012142230322681619252731333624210121416182426283038402481012141620222628303234362426810121424610122426244262628262681026286236[[#This Row],[Uso diário]]*2</f>
        <v>37.6</v>
      </c>
      <c r="O417" s="19">
        <f>Tabela174681012142230322681619252731333624210121416182426283038402481012141620222628303234362426810121424610122426244262628262681026286236[[#This Row],[Total Acumulado]]-P417</f>
        <v>-94</v>
      </c>
      <c r="P417" s="48">
        <f>Tabela174681012142230322681619252731333624210121416182426283038402481012141620222628303234362426810121424610122426244262628262681026286236[[#This Row],[Uso diário]]*5</f>
        <v>94</v>
      </c>
      <c r="Q4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7" s="25">
        <v>4</v>
      </c>
    </row>
    <row r="418" spans="1:20" s="26" customFormat="1" x14ac:dyDescent="0.25">
      <c r="A418" s="16">
        <v>229531</v>
      </c>
      <c r="B418" s="30" t="s">
        <v>232</v>
      </c>
      <c r="C418" s="20" t="s">
        <v>651</v>
      </c>
      <c r="D418" s="20" t="s">
        <v>719</v>
      </c>
      <c r="E418" s="20" t="s">
        <v>2358</v>
      </c>
      <c r="F418" s="20" t="s">
        <v>2359</v>
      </c>
      <c r="G418" s="21">
        <v>13.4</v>
      </c>
      <c r="H418" s="16">
        <v>10</v>
      </c>
      <c r="I418" s="16">
        <v>1</v>
      </c>
      <c r="J4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120.60000000000001</v>
      </c>
      <c r="K418" s="22"/>
      <c r="L418" s="23"/>
      <c r="M418" s="23">
        <f>SUM(Tabela174681012142230322681619252731333624210121416182426283038402481012141620222628303234362426810121424610122426244262628262681026286236[[#This Row],[Saldo no cartão]:[Recarga Pendente]])</f>
        <v>0</v>
      </c>
      <c r="N418" s="19">
        <f>Tabela174681012142230322681619252731333624210121416182426283038402481012141620222628303234362426810121424610122426244262628262681026286236[[#This Row],[Uso diário]]*2</f>
        <v>26.8</v>
      </c>
      <c r="O418" s="19">
        <f>Tabela174681012142230322681619252731333624210121416182426283038402481012141620222628303234362426810121424610122426244262628262681026286236[[#This Row],[Total Acumulado]]-P418</f>
        <v>-67</v>
      </c>
      <c r="P418" s="48">
        <f>Tabela174681012142230322681619252731333624210121416182426283038402481012141620222628303234362426810121424610122426244262628262681026286236[[#This Row],[Uso diário]]*5</f>
        <v>67</v>
      </c>
      <c r="Q4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120.60000000000001</v>
      </c>
      <c r="S4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8" s="25">
        <v>4</v>
      </c>
    </row>
    <row r="419" spans="1:20" s="26" customFormat="1" x14ac:dyDescent="0.25">
      <c r="A419" s="16">
        <v>229591</v>
      </c>
      <c r="B419" s="30" t="s">
        <v>234</v>
      </c>
      <c r="C419" s="20" t="s">
        <v>651</v>
      </c>
      <c r="D419" s="20" t="s">
        <v>719</v>
      </c>
      <c r="E419" s="20" t="s">
        <v>2360</v>
      </c>
      <c r="F419" s="20" t="s">
        <v>2361</v>
      </c>
      <c r="G419" s="21">
        <v>18.8</v>
      </c>
      <c r="H419" s="16">
        <v>16</v>
      </c>
      <c r="I419" s="16"/>
      <c r="J4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19" s="22"/>
      <c r="L419" s="23"/>
      <c r="M419" s="23">
        <f>SUM(Tabela174681012142230322681619252731333624210121416182426283038402481012141620222628303234362426810121424610122426244262628262681026286236[[#This Row],[Saldo no cartão]:[Recarga Pendente]])</f>
        <v>0</v>
      </c>
      <c r="N419" s="19">
        <f>Tabela174681012142230322681619252731333624210121416182426283038402481012141620222628303234362426810121424610122426244262628262681026286236[[#This Row],[Uso diário]]*2</f>
        <v>37.6</v>
      </c>
      <c r="O419" s="19">
        <f>Tabela174681012142230322681619252731333624210121416182426283038402481012141620222628303234362426810121424610122426244262628262681026286236[[#This Row],[Total Acumulado]]-P419</f>
        <v>-94</v>
      </c>
      <c r="P419" s="48">
        <f>Tabela174681012142230322681619252731333624210121416182426283038402481012141620222628303234362426810121424610122426244262628262681026286236[[#This Row],[Uso diário]]*5</f>
        <v>94</v>
      </c>
      <c r="Q4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19" s="25">
        <v>4</v>
      </c>
    </row>
    <row r="420" spans="1:20" s="26" customFormat="1" x14ac:dyDescent="0.25">
      <c r="A420" s="16">
        <v>229593</v>
      </c>
      <c r="B420" s="30" t="s">
        <v>1436</v>
      </c>
      <c r="C420" s="20" t="s">
        <v>651</v>
      </c>
      <c r="D420" s="20" t="s">
        <v>717</v>
      </c>
      <c r="E420" s="20" t="s">
        <v>2362</v>
      </c>
      <c r="F420" s="20" t="s">
        <v>2363</v>
      </c>
      <c r="G420" s="21">
        <v>13.4</v>
      </c>
      <c r="H420" s="16">
        <v>16</v>
      </c>
      <c r="I420" s="16"/>
      <c r="J4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0" s="22"/>
      <c r="L420" s="23"/>
      <c r="M420" s="23">
        <f>SUM(Tabela174681012142230322681619252731333624210121416182426283038402481012141620222628303234362426810121424610122426244262628262681026286236[[#This Row],[Saldo no cartão]:[Recarga Pendente]])</f>
        <v>0</v>
      </c>
      <c r="N420" s="19">
        <f>Tabela174681012142230322681619252731333624210121416182426283038402481012141620222628303234362426810121424610122426244262628262681026286236[[#This Row],[Uso diário]]*2</f>
        <v>26.8</v>
      </c>
      <c r="O420" s="19">
        <f>Tabela174681012142230322681619252731333624210121416182426283038402481012141620222628303234362426810121424610122426244262628262681026286236[[#This Row],[Total Acumulado]]-P420</f>
        <v>-67</v>
      </c>
      <c r="P420" s="48">
        <f>Tabela174681012142230322681619252731333624210121416182426283038402481012141620222628303234362426810121424610122426244262628262681026286236[[#This Row],[Uso diário]]*5</f>
        <v>67</v>
      </c>
      <c r="Q4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0" s="25">
        <v>4</v>
      </c>
    </row>
    <row r="421" spans="1:20" s="26" customFormat="1" x14ac:dyDescent="0.25">
      <c r="A421" s="16">
        <v>230791</v>
      </c>
      <c r="B421" s="30" t="s">
        <v>235</v>
      </c>
      <c r="C421" s="20" t="s">
        <v>651</v>
      </c>
      <c r="D421" s="20" t="s">
        <v>716</v>
      </c>
      <c r="E421" s="20" t="s">
        <v>2364</v>
      </c>
      <c r="F421" s="20" t="s">
        <v>2365</v>
      </c>
      <c r="G421" s="21">
        <v>13.4</v>
      </c>
      <c r="H421" s="16">
        <v>16</v>
      </c>
      <c r="I421" s="16"/>
      <c r="J4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1" s="22"/>
      <c r="L421" s="23"/>
      <c r="M421" s="23">
        <f>SUM(Tabela174681012142230322681619252731333624210121416182426283038402481012141620222628303234362426810121424610122426244262628262681026286236[[#This Row],[Saldo no cartão]:[Recarga Pendente]])</f>
        <v>0</v>
      </c>
      <c r="N421" s="19">
        <f>Tabela174681012142230322681619252731333624210121416182426283038402481012141620222628303234362426810121424610122426244262628262681026286236[[#This Row],[Uso diário]]*2</f>
        <v>26.8</v>
      </c>
      <c r="O421" s="19">
        <f>Tabela174681012142230322681619252731333624210121416182426283038402481012141620222628303234362426810121424610122426244262628262681026286236[[#This Row],[Total Acumulado]]-P421</f>
        <v>-67</v>
      </c>
      <c r="P421" s="48">
        <f>Tabela174681012142230322681619252731333624210121416182426283038402481012141620222628303234362426810121424610122426244262628262681026286236[[#This Row],[Uso diário]]*5</f>
        <v>67</v>
      </c>
      <c r="Q4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1" s="25">
        <v>4</v>
      </c>
    </row>
    <row r="422" spans="1:20" s="26" customFormat="1" x14ac:dyDescent="0.25">
      <c r="A422" s="16">
        <v>230883</v>
      </c>
      <c r="B422" s="30" t="s">
        <v>237</v>
      </c>
      <c r="C422" s="20" t="s">
        <v>651</v>
      </c>
      <c r="D422" s="20" t="s">
        <v>719</v>
      </c>
      <c r="E422" s="20" t="s">
        <v>2366</v>
      </c>
      <c r="F422" s="20" t="s">
        <v>2367</v>
      </c>
      <c r="G422" s="21">
        <v>13.4</v>
      </c>
      <c r="H422" s="16">
        <v>16</v>
      </c>
      <c r="I422" s="16"/>
      <c r="J4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2" s="22"/>
      <c r="L422" s="23"/>
      <c r="M422" s="23">
        <f>SUM(Tabela174681012142230322681619252731333624210121416182426283038402481012141620222628303234362426810121424610122426244262628262681026286236[[#This Row],[Saldo no cartão]:[Recarga Pendente]])</f>
        <v>0</v>
      </c>
      <c r="N422" s="19">
        <f>Tabela174681012142230322681619252731333624210121416182426283038402481012141620222628303234362426810121424610122426244262628262681026286236[[#This Row],[Uso diário]]*2</f>
        <v>26.8</v>
      </c>
      <c r="O422" s="19">
        <f>Tabela174681012142230322681619252731333624210121416182426283038402481012141620222628303234362426810121424610122426244262628262681026286236[[#This Row],[Total Acumulado]]-P422</f>
        <v>-67</v>
      </c>
      <c r="P422" s="48">
        <f>Tabela174681012142230322681619252731333624210121416182426283038402481012141620222628303234362426810121424610122426244262628262681026286236[[#This Row],[Uso diário]]*5</f>
        <v>67</v>
      </c>
      <c r="Q4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2" s="25">
        <v>4</v>
      </c>
    </row>
    <row r="423" spans="1:20" s="26" customFormat="1" x14ac:dyDescent="0.25">
      <c r="A423" s="16">
        <v>230884</v>
      </c>
      <c r="B423" s="30" t="s">
        <v>238</v>
      </c>
      <c r="C423" s="20" t="s">
        <v>651</v>
      </c>
      <c r="D423" s="20" t="s">
        <v>719</v>
      </c>
      <c r="E423" s="20" t="s">
        <v>2368</v>
      </c>
      <c r="F423" s="20" t="s">
        <v>2369</v>
      </c>
      <c r="G423" s="21">
        <v>18.8</v>
      </c>
      <c r="H423" s="16">
        <v>16</v>
      </c>
      <c r="I423" s="16"/>
      <c r="J4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23" s="22"/>
      <c r="L423" s="23"/>
      <c r="M423" s="23">
        <f>SUM(Tabela174681012142230322681619252731333624210121416182426283038402481012141620222628303234362426810121424610122426244262628262681026286236[[#This Row],[Saldo no cartão]:[Recarga Pendente]])</f>
        <v>0</v>
      </c>
      <c r="N423" s="19">
        <f>Tabela174681012142230322681619252731333624210121416182426283038402481012141620222628303234362426810121424610122426244262628262681026286236[[#This Row],[Uso diário]]*2</f>
        <v>37.6</v>
      </c>
      <c r="O423" s="19">
        <f>Tabela174681012142230322681619252731333624210121416182426283038402481012141620222628303234362426810121424610122426244262628262681026286236[[#This Row],[Total Acumulado]]-P423</f>
        <v>-94</v>
      </c>
      <c r="P423" s="48">
        <f>Tabela174681012142230322681619252731333624210121416182426283038402481012141620222628303234362426810121424610122426244262628262681026286236[[#This Row],[Uso diário]]*5</f>
        <v>94</v>
      </c>
      <c r="Q4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3" s="25">
        <v>4</v>
      </c>
    </row>
    <row r="424" spans="1:20" s="26" customFormat="1" x14ac:dyDescent="0.25">
      <c r="A424" s="16">
        <v>230919</v>
      </c>
      <c r="B424" s="30" t="s">
        <v>1437</v>
      </c>
      <c r="C424" s="20" t="s">
        <v>651</v>
      </c>
      <c r="D424" s="20" t="s">
        <v>719</v>
      </c>
      <c r="E424" s="20" t="s">
        <v>2370</v>
      </c>
      <c r="F424" s="20" t="s">
        <v>2371</v>
      </c>
      <c r="G424" s="21">
        <v>13.4</v>
      </c>
      <c r="H424" s="16">
        <v>16</v>
      </c>
      <c r="I424" s="16"/>
      <c r="J4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4" s="22"/>
      <c r="L424" s="23"/>
      <c r="M424" s="23">
        <f>SUM(Tabela174681012142230322681619252731333624210121416182426283038402481012141620222628303234362426810121424610122426244262628262681026286236[[#This Row],[Saldo no cartão]:[Recarga Pendente]])</f>
        <v>0</v>
      </c>
      <c r="N424" s="19">
        <f>Tabela174681012142230322681619252731333624210121416182426283038402481012141620222628303234362426810121424610122426244262628262681026286236[[#This Row],[Uso diário]]*2</f>
        <v>26.8</v>
      </c>
      <c r="O424" s="19">
        <f>Tabela174681012142230322681619252731333624210121416182426283038402481012141620222628303234362426810121424610122426244262628262681026286236[[#This Row],[Total Acumulado]]-P424</f>
        <v>-67</v>
      </c>
      <c r="P424" s="48">
        <f>Tabela174681012142230322681619252731333624210121416182426283038402481012141620222628303234362426810121424610122426244262628262681026286236[[#This Row],[Uso diário]]*5</f>
        <v>67</v>
      </c>
      <c r="Q4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4" s="25">
        <v>4</v>
      </c>
    </row>
    <row r="425" spans="1:20" s="26" customFormat="1" x14ac:dyDescent="0.25">
      <c r="A425" s="16">
        <v>231059</v>
      </c>
      <c r="B425" s="30" t="s">
        <v>765</v>
      </c>
      <c r="C425" s="20" t="s">
        <v>651</v>
      </c>
      <c r="D425" s="20" t="s">
        <v>719</v>
      </c>
      <c r="E425" s="20" t="s">
        <v>2372</v>
      </c>
      <c r="F425" s="20" t="s">
        <v>2373</v>
      </c>
      <c r="G425" s="21">
        <v>18.8</v>
      </c>
      <c r="H425" s="16">
        <v>16</v>
      </c>
      <c r="I425" s="16">
        <v>7</v>
      </c>
      <c r="J4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169.20000000000002</v>
      </c>
      <c r="K425" s="22"/>
      <c r="L425" s="23"/>
      <c r="M425" s="23">
        <f>SUM(Tabela174681012142230322681619252731333624210121416182426283038402481012141620222628303234362426810121424610122426244262628262681026286236[[#This Row],[Saldo no cartão]:[Recarga Pendente]])</f>
        <v>0</v>
      </c>
      <c r="N425" s="19">
        <f>Tabela174681012142230322681619252731333624210121416182426283038402481012141620222628303234362426810121424610122426244262628262681026286236[[#This Row],[Uso diário]]*2</f>
        <v>37.6</v>
      </c>
      <c r="O425" s="19">
        <f>Tabela174681012142230322681619252731333624210121416182426283038402481012141620222628303234362426810121424610122426244262628262681026286236[[#This Row],[Total Acumulado]]-P425</f>
        <v>-94</v>
      </c>
      <c r="P425" s="48">
        <f>Tabela174681012142230322681619252731333624210121416182426283038402481012141620222628303234362426810121424610122426244262628262681026286236[[#This Row],[Uso diário]]*5</f>
        <v>94</v>
      </c>
      <c r="Q4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169.20000000000002</v>
      </c>
      <c r="S4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5" s="25">
        <v>4</v>
      </c>
    </row>
    <row r="426" spans="1:20" s="26" customFormat="1" x14ac:dyDescent="0.25">
      <c r="A426" s="16">
        <v>231060</v>
      </c>
      <c r="B426" s="30" t="s">
        <v>1438</v>
      </c>
      <c r="C426" s="20" t="s">
        <v>651</v>
      </c>
      <c r="D426" s="20" t="s">
        <v>716</v>
      </c>
      <c r="E426" s="20" t="s">
        <v>2374</v>
      </c>
      <c r="F426" s="20" t="s">
        <v>2375</v>
      </c>
      <c r="G426" s="21">
        <v>13.4</v>
      </c>
      <c r="H426" s="16">
        <v>16</v>
      </c>
      <c r="I426" s="16"/>
      <c r="J4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6" s="22"/>
      <c r="L426" s="23"/>
      <c r="M426" s="23">
        <f>SUM(Tabela174681012142230322681619252731333624210121416182426283038402481012141620222628303234362426810121424610122426244262628262681026286236[[#This Row],[Saldo no cartão]:[Recarga Pendente]])</f>
        <v>0</v>
      </c>
      <c r="N426" s="19">
        <f>Tabela174681012142230322681619252731333624210121416182426283038402481012141620222628303234362426810121424610122426244262628262681026286236[[#This Row],[Uso diário]]*2</f>
        <v>26.8</v>
      </c>
      <c r="O426" s="19">
        <f>Tabela174681012142230322681619252731333624210121416182426283038402481012141620222628303234362426810121424610122426244262628262681026286236[[#This Row],[Total Acumulado]]-P426</f>
        <v>-67</v>
      </c>
      <c r="P426" s="48">
        <f>Tabela174681012142230322681619252731333624210121416182426283038402481012141620222628303234362426810121424610122426244262628262681026286236[[#This Row],[Uso diário]]*5</f>
        <v>67</v>
      </c>
      <c r="Q4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6" s="25">
        <v>4</v>
      </c>
    </row>
    <row r="427" spans="1:20" s="26" customFormat="1" x14ac:dyDescent="0.25">
      <c r="A427" s="16">
        <v>231104</v>
      </c>
      <c r="B427" s="30" t="s">
        <v>766</v>
      </c>
      <c r="C427" s="20" t="s">
        <v>651</v>
      </c>
      <c r="D427" s="20" t="s">
        <v>719</v>
      </c>
      <c r="E427" s="20" t="s">
        <v>2376</v>
      </c>
      <c r="F427" s="20" t="s">
        <v>2377</v>
      </c>
      <c r="G427" s="21">
        <v>18.8</v>
      </c>
      <c r="H427" s="16">
        <v>16</v>
      </c>
      <c r="I427" s="16"/>
      <c r="J4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27" s="22"/>
      <c r="L427" s="23"/>
      <c r="M427" s="23">
        <f>SUM(Tabela174681012142230322681619252731333624210121416182426283038402481012141620222628303234362426810121424610122426244262628262681026286236[[#This Row],[Saldo no cartão]:[Recarga Pendente]])</f>
        <v>0</v>
      </c>
      <c r="N427" s="19">
        <f>Tabela174681012142230322681619252731333624210121416182426283038402481012141620222628303234362426810121424610122426244262628262681026286236[[#This Row],[Uso diário]]*2</f>
        <v>37.6</v>
      </c>
      <c r="O427" s="19">
        <f>Tabela174681012142230322681619252731333624210121416182426283038402481012141620222628303234362426810121424610122426244262628262681026286236[[#This Row],[Total Acumulado]]-P427</f>
        <v>-94</v>
      </c>
      <c r="P427" s="48">
        <f>Tabela174681012142230322681619252731333624210121416182426283038402481012141620222628303234362426810121424610122426244262628262681026286236[[#This Row],[Uso diário]]*5</f>
        <v>94</v>
      </c>
      <c r="Q4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7" s="25">
        <v>4</v>
      </c>
    </row>
    <row r="428" spans="1:20" s="26" customFormat="1" x14ac:dyDescent="0.25">
      <c r="A428" s="16">
        <v>231105</v>
      </c>
      <c r="B428" s="30" t="s">
        <v>767</v>
      </c>
      <c r="C428" s="20" t="s">
        <v>651</v>
      </c>
      <c r="D428" s="20" t="s">
        <v>716</v>
      </c>
      <c r="E428" s="20" t="s">
        <v>2378</v>
      </c>
      <c r="F428" s="20" t="s">
        <v>2379</v>
      </c>
      <c r="G428" s="21">
        <v>13.4</v>
      </c>
      <c r="H428" s="16">
        <v>16</v>
      </c>
      <c r="I428" s="16"/>
      <c r="J4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8" s="22"/>
      <c r="L428" s="23"/>
      <c r="M428" s="23">
        <f>SUM(Tabela174681012142230322681619252731333624210121416182426283038402481012141620222628303234362426810121424610122426244262628262681026286236[[#This Row],[Saldo no cartão]:[Recarga Pendente]])</f>
        <v>0</v>
      </c>
      <c r="N428" s="19">
        <f>Tabela174681012142230322681619252731333624210121416182426283038402481012141620222628303234362426810121424610122426244262628262681026286236[[#This Row],[Uso diário]]*2</f>
        <v>26.8</v>
      </c>
      <c r="O428" s="19">
        <f>Tabela174681012142230322681619252731333624210121416182426283038402481012141620222628303234362426810121424610122426244262628262681026286236[[#This Row],[Total Acumulado]]-P428</f>
        <v>-67</v>
      </c>
      <c r="P428" s="48">
        <f>Tabela174681012142230322681619252731333624210121416182426283038402481012141620222628303234362426810121424610122426244262628262681026286236[[#This Row],[Uso diário]]*5</f>
        <v>67</v>
      </c>
      <c r="Q4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8" s="25">
        <v>4</v>
      </c>
    </row>
    <row r="429" spans="1:20" s="26" customFormat="1" x14ac:dyDescent="0.25">
      <c r="A429" s="16">
        <v>231148</v>
      </c>
      <c r="B429" s="30" t="s">
        <v>768</v>
      </c>
      <c r="C429" s="20" t="s">
        <v>651</v>
      </c>
      <c r="D429" s="20" t="s">
        <v>719</v>
      </c>
      <c r="E429" s="20" t="s">
        <v>2380</v>
      </c>
      <c r="F429" s="20" t="s">
        <v>2381</v>
      </c>
      <c r="G429" s="21">
        <v>13.4</v>
      </c>
      <c r="H429" s="16">
        <v>16</v>
      </c>
      <c r="I429" s="16"/>
      <c r="J4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29" s="22"/>
      <c r="L429" s="23"/>
      <c r="M429" s="23">
        <f>SUM(Tabela174681012142230322681619252731333624210121416182426283038402481012141620222628303234362426810121424610122426244262628262681026286236[[#This Row],[Saldo no cartão]:[Recarga Pendente]])</f>
        <v>0</v>
      </c>
      <c r="N429" s="19">
        <f>Tabela174681012142230322681619252731333624210121416182426283038402481012141620222628303234362426810121424610122426244262628262681026286236[[#This Row],[Uso diário]]*2</f>
        <v>26.8</v>
      </c>
      <c r="O429" s="19">
        <f>Tabela174681012142230322681619252731333624210121416182426283038402481012141620222628303234362426810121424610122426244262628262681026286236[[#This Row],[Total Acumulado]]-P429</f>
        <v>-67</v>
      </c>
      <c r="P429" s="48">
        <f>Tabela174681012142230322681619252731333624210121416182426283038402481012141620222628303234362426810121424610122426244262628262681026286236[[#This Row],[Uso diário]]*5</f>
        <v>67</v>
      </c>
      <c r="Q4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29" s="25">
        <v>4</v>
      </c>
    </row>
    <row r="430" spans="1:20" s="26" customFormat="1" x14ac:dyDescent="0.25">
      <c r="A430" s="16">
        <v>231327</v>
      </c>
      <c r="B430" s="30" t="s">
        <v>787</v>
      </c>
      <c r="C430" s="20" t="s">
        <v>651</v>
      </c>
      <c r="D430" s="20" t="s">
        <v>719</v>
      </c>
      <c r="E430" s="20" t="s">
        <v>2382</v>
      </c>
      <c r="F430" s="20" t="s">
        <v>2383</v>
      </c>
      <c r="G430" s="21">
        <v>13.4</v>
      </c>
      <c r="H430" s="16">
        <v>16</v>
      </c>
      <c r="I430" s="16"/>
      <c r="J4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30" s="22"/>
      <c r="L430" s="23"/>
      <c r="M430" s="23">
        <f>SUM(Tabela174681012142230322681619252731333624210121416182426283038402481012141620222628303234362426810121424610122426244262628262681026286236[[#This Row],[Saldo no cartão]:[Recarga Pendente]])</f>
        <v>0</v>
      </c>
      <c r="N430" s="19">
        <f>Tabela174681012142230322681619252731333624210121416182426283038402481012141620222628303234362426810121424610122426244262628262681026286236[[#This Row],[Uso diário]]*2</f>
        <v>26.8</v>
      </c>
      <c r="O430" s="19">
        <f>Tabela174681012142230322681619252731333624210121416182426283038402481012141620222628303234362426810121424610122426244262628262681026286236[[#This Row],[Total Acumulado]]-P430</f>
        <v>-67</v>
      </c>
      <c r="P430" s="48">
        <f>Tabela174681012142230322681619252731333624210121416182426283038402481012141620222628303234362426810121424610122426244262628262681026286236[[#This Row],[Uso diário]]*5</f>
        <v>67</v>
      </c>
      <c r="Q4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0" s="25">
        <v>4</v>
      </c>
    </row>
    <row r="431" spans="1:20" s="26" customFormat="1" x14ac:dyDescent="0.25">
      <c r="A431" s="16">
        <v>231573</v>
      </c>
      <c r="B431" s="30" t="s">
        <v>839</v>
      </c>
      <c r="C431" s="20" t="s">
        <v>651</v>
      </c>
      <c r="D431" s="20" t="s">
        <v>719</v>
      </c>
      <c r="E431" s="20" t="s">
        <v>2384</v>
      </c>
      <c r="F431" s="20" t="s">
        <v>2385</v>
      </c>
      <c r="G431" s="21">
        <v>18.8</v>
      </c>
      <c r="H431" s="16">
        <v>16</v>
      </c>
      <c r="I431" s="16"/>
      <c r="J4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31" s="22"/>
      <c r="L431" s="23"/>
      <c r="M431" s="23">
        <f>SUM(Tabela174681012142230322681619252731333624210121416182426283038402481012141620222628303234362426810121424610122426244262628262681026286236[[#This Row],[Saldo no cartão]:[Recarga Pendente]])</f>
        <v>0</v>
      </c>
      <c r="N431" s="19">
        <f>Tabela174681012142230322681619252731333624210121416182426283038402481012141620222628303234362426810121424610122426244262628262681026286236[[#This Row],[Uso diário]]*2</f>
        <v>37.6</v>
      </c>
      <c r="O431" s="19">
        <f>Tabela174681012142230322681619252731333624210121416182426283038402481012141620222628303234362426810121424610122426244262628262681026286236[[#This Row],[Total Acumulado]]-P431</f>
        <v>-94</v>
      </c>
      <c r="P431" s="48">
        <f>Tabela174681012142230322681619252731333624210121416182426283038402481012141620222628303234362426810121424610122426244262628262681026286236[[#This Row],[Uso diário]]*5</f>
        <v>94</v>
      </c>
      <c r="Q4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1" s="25">
        <v>4</v>
      </c>
    </row>
    <row r="432" spans="1:20" s="26" customFormat="1" x14ac:dyDescent="0.25">
      <c r="A432" s="16">
        <v>232557</v>
      </c>
      <c r="B432" s="30" t="s">
        <v>902</v>
      </c>
      <c r="C432" s="20" t="s">
        <v>651</v>
      </c>
      <c r="D432" s="20" t="s">
        <v>716</v>
      </c>
      <c r="E432" s="20" t="s">
        <v>2386</v>
      </c>
      <c r="F432" s="20" t="s">
        <v>2387</v>
      </c>
      <c r="G432" s="21">
        <v>20.100000000000001</v>
      </c>
      <c r="H432" s="16">
        <v>16</v>
      </c>
      <c r="I432" s="16"/>
      <c r="J4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432" s="22"/>
      <c r="L432" s="23">
        <v>71.400000000000006</v>
      </c>
      <c r="M432" s="23">
        <f>SUM(Tabela174681012142230322681619252731333624210121416182426283038402481012141620222628303234362426810121424610122426244262628262681026286236[[#This Row],[Saldo no cartão]:[Recarga Pendente]])</f>
        <v>71.400000000000006</v>
      </c>
      <c r="N432" s="19">
        <f>Tabela174681012142230322681619252731333624210121416182426283038402481012141620222628303234362426810121424610122426244262628262681026286236[[#This Row],[Uso diário]]*2</f>
        <v>40.200000000000003</v>
      </c>
      <c r="O432" s="19">
        <f>Tabela174681012142230322681619252731333624210121416182426283038402481012141620222628303234362426810121424610122426244262628262681026286236[[#This Row],[Total Acumulado]]-P432</f>
        <v>-29.099999999999994</v>
      </c>
      <c r="P432" s="48">
        <f>Tabela174681012142230322681619252731333624210121416182426283038402481012141620222628303234362426810121424610122426244262628262681026286236[[#This Row],[Uso diário]]*5</f>
        <v>100.5</v>
      </c>
      <c r="Q4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4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2" s="25">
        <v>4</v>
      </c>
    </row>
    <row r="433" spans="1:20" s="26" customFormat="1" x14ac:dyDescent="0.25">
      <c r="A433" s="16">
        <v>232848</v>
      </c>
      <c r="B433" s="30" t="s">
        <v>936</v>
      </c>
      <c r="C433" s="20" t="s">
        <v>651</v>
      </c>
      <c r="D433" s="20" t="s">
        <v>716</v>
      </c>
      <c r="E433" s="20" t="s">
        <v>2388</v>
      </c>
      <c r="F433" s="20" t="s">
        <v>2389</v>
      </c>
      <c r="G433" s="21">
        <v>18.8</v>
      </c>
      <c r="H433" s="16">
        <v>16</v>
      </c>
      <c r="I433" s="16"/>
      <c r="J4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33" s="22"/>
      <c r="L433" s="23"/>
      <c r="M433" s="23">
        <f>SUM(Tabela174681012142230322681619252731333624210121416182426283038402481012141620222628303234362426810121424610122426244262628262681026286236[[#This Row],[Saldo no cartão]:[Recarga Pendente]])</f>
        <v>0</v>
      </c>
      <c r="N433" s="19">
        <f>Tabela174681012142230322681619252731333624210121416182426283038402481012141620222628303234362426810121424610122426244262628262681026286236[[#This Row],[Uso diário]]*2</f>
        <v>37.6</v>
      </c>
      <c r="O433" s="19">
        <f>Tabela174681012142230322681619252731333624210121416182426283038402481012141620222628303234362426810121424610122426244262628262681026286236[[#This Row],[Total Acumulado]]-P433</f>
        <v>-94</v>
      </c>
      <c r="P433" s="48">
        <f>Tabela174681012142230322681619252731333624210121416182426283038402481012141620222628303234362426810121424610122426244262628262681026286236[[#This Row],[Uso diário]]*5</f>
        <v>94</v>
      </c>
      <c r="Q4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3" s="25">
        <v>4</v>
      </c>
    </row>
    <row r="434" spans="1:20" s="26" customFormat="1" x14ac:dyDescent="0.25">
      <c r="A434" s="16">
        <v>232849</v>
      </c>
      <c r="B434" s="30" t="s">
        <v>937</v>
      </c>
      <c r="C434" s="20" t="s">
        <v>651</v>
      </c>
      <c r="D434" s="20" t="s">
        <v>716</v>
      </c>
      <c r="E434" s="20" t="s">
        <v>2390</v>
      </c>
      <c r="F434" s="20" t="s">
        <v>2391</v>
      </c>
      <c r="G434" s="21">
        <v>13.4</v>
      </c>
      <c r="H434" s="16">
        <v>16</v>
      </c>
      <c r="I434" s="16"/>
      <c r="J4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34" s="22"/>
      <c r="L434" s="23"/>
      <c r="M434" s="23">
        <f>SUM(Tabela174681012142230322681619252731333624210121416182426283038402481012141620222628303234362426810121424610122426244262628262681026286236[[#This Row],[Saldo no cartão]:[Recarga Pendente]])</f>
        <v>0</v>
      </c>
      <c r="N434" s="19">
        <f>Tabela174681012142230322681619252731333624210121416182426283038402481012141620222628303234362426810121424610122426244262628262681026286236[[#This Row],[Uso diário]]*2</f>
        <v>26.8</v>
      </c>
      <c r="O434" s="19">
        <f>Tabela174681012142230322681619252731333624210121416182426283038402481012141620222628303234362426810121424610122426244262628262681026286236[[#This Row],[Total Acumulado]]-P434</f>
        <v>-67</v>
      </c>
      <c r="P434" s="48">
        <f>Tabela174681012142230322681619252731333624210121416182426283038402481012141620222628303234362426810121424610122426244262628262681026286236[[#This Row],[Uso diário]]*5</f>
        <v>67</v>
      </c>
      <c r="Q4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4" s="25">
        <v>4</v>
      </c>
    </row>
    <row r="435" spans="1:20" s="26" customFormat="1" x14ac:dyDescent="0.25">
      <c r="A435" s="16">
        <v>233059</v>
      </c>
      <c r="B435" s="30" t="s">
        <v>973</v>
      </c>
      <c r="C435" s="20" t="s">
        <v>651</v>
      </c>
      <c r="D435" s="20" t="s">
        <v>716</v>
      </c>
      <c r="E435" s="20" t="s">
        <v>2392</v>
      </c>
      <c r="F435" s="20" t="s">
        <v>2393</v>
      </c>
      <c r="G435" s="21">
        <v>18.8</v>
      </c>
      <c r="H435" s="16">
        <v>16</v>
      </c>
      <c r="I435" s="16"/>
      <c r="J4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35" s="22"/>
      <c r="L435" s="23"/>
      <c r="M435" s="23">
        <f>SUM(Tabela174681012142230322681619252731333624210121416182426283038402481012141620222628303234362426810121424610122426244262628262681026286236[[#This Row],[Saldo no cartão]:[Recarga Pendente]])</f>
        <v>0</v>
      </c>
      <c r="N435" s="19">
        <f>Tabela174681012142230322681619252731333624210121416182426283038402481012141620222628303234362426810121424610122426244262628262681026286236[[#This Row],[Uso diário]]*2</f>
        <v>37.6</v>
      </c>
      <c r="O435" s="19">
        <f>Tabela174681012142230322681619252731333624210121416182426283038402481012141620222628303234362426810121424610122426244262628262681026286236[[#This Row],[Total Acumulado]]-P435</f>
        <v>-94</v>
      </c>
      <c r="P435" s="48">
        <f>Tabela174681012142230322681619252731333624210121416182426283038402481012141620222628303234362426810121424610122426244262628262681026286236[[#This Row],[Uso diário]]*5</f>
        <v>94</v>
      </c>
      <c r="Q4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5" s="25">
        <v>4</v>
      </c>
    </row>
    <row r="436" spans="1:20" s="26" customFormat="1" x14ac:dyDescent="0.25">
      <c r="A436" s="16">
        <v>233061</v>
      </c>
      <c r="B436" s="30" t="s">
        <v>974</v>
      </c>
      <c r="C436" s="20" t="s">
        <v>651</v>
      </c>
      <c r="D436" s="20" t="s">
        <v>716</v>
      </c>
      <c r="E436" s="20" t="s">
        <v>2394</v>
      </c>
      <c r="F436" s="20" t="s">
        <v>2395</v>
      </c>
      <c r="G436" s="21">
        <v>18.8</v>
      </c>
      <c r="H436" s="16">
        <v>16</v>
      </c>
      <c r="I436" s="16">
        <v>1</v>
      </c>
      <c r="J4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436" s="22"/>
      <c r="L436" s="23"/>
      <c r="M436" s="23">
        <f>SUM(Tabela174681012142230322681619252731333624210121416182426283038402481012141620222628303234362426810121424610122426244262628262681026286236[[#This Row],[Saldo no cartão]:[Recarga Pendente]])</f>
        <v>0</v>
      </c>
      <c r="N436" s="19">
        <f>Tabela174681012142230322681619252731333624210121416182426283038402481012141620222628303234362426810121424610122426244262628262681026286236[[#This Row],[Uso diário]]*2</f>
        <v>37.6</v>
      </c>
      <c r="O436" s="19">
        <f>Tabela174681012142230322681619252731333624210121416182426283038402481012141620222628303234362426810121424610122426244262628262681026286236[[#This Row],[Total Acumulado]]-P436</f>
        <v>-94</v>
      </c>
      <c r="P436" s="48">
        <f>Tabela174681012142230322681619252731333624210121416182426283038402481012141620222628303234362426810121424610122426244262628262681026286236[[#This Row],[Uso diário]]*5</f>
        <v>94</v>
      </c>
      <c r="Q4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4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6" s="25">
        <v>4</v>
      </c>
    </row>
    <row r="437" spans="1:20" s="26" customFormat="1" x14ac:dyDescent="0.25">
      <c r="A437" s="16">
        <v>233178</v>
      </c>
      <c r="B437" s="30" t="s">
        <v>975</v>
      </c>
      <c r="C437" s="20" t="s">
        <v>651</v>
      </c>
      <c r="D437" s="20" t="s">
        <v>716</v>
      </c>
      <c r="E437" s="20" t="s">
        <v>2396</v>
      </c>
      <c r="F437" s="20" t="s">
        <v>2397</v>
      </c>
      <c r="G437" s="21">
        <v>13.4</v>
      </c>
      <c r="H437" s="16">
        <v>16</v>
      </c>
      <c r="I437" s="16"/>
      <c r="J4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37" s="22"/>
      <c r="L437" s="23"/>
      <c r="M437" s="23">
        <f>SUM(Tabela174681012142230322681619252731333624210121416182426283038402481012141620222628303234362426810121424610122426244262628262681026286236[[#This Row],[Saldo no cartão]:[Recarga Pendente]])</f>
        <v>0</v>
      </c>
      <c r="N437" s="19">
        <f>Tabela174681012142230322681619252731333624210121416182426283038402481012141620222628303234362426810121424610122426244262628262681026286236[[#This Row],[Uso diário]]*2</f>
        <v>26.8</v>
      </c>
      <c r="O437" s="19">
        <f>Tabela174681012142230322681619252731333624210121416182426283038402481012141620222628303234362426810121424610122426244262628262681026286236[[#This Row],[Total Acumulado]]-P437</f>
        <v>-67</v>
      </c>
      <c r="P437" s="48">
        <f>Tabela174681012142230322681619252731333624210121416182426283038402481012141620222628303234362426810121424610122426244262628262681026286236[[#This Row],[Uso diário]]*5</f>
        <v>67</v>
      </c>
      <c r="Q4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7" s="25">
        <v>4</v>
      </c>
    </row>
    <row r="438" spans="1:20" s="26" customFormat="1" x14ac:dyDescent="0.25">
      <c r="A438" s="16">
        <v>233245</v>
      </c>
      <c r="B438" s="30" t="s">
        <v>976</v>
      </c>
      <c r="C438" s="20" t="s">
        <v>651</v>
      </c>
      <c r="D438" s="20" t="s">
        <v>716</v>
      </c>
      <c r="E438" s="20" t="s">
        <v>2398</v>
      </c>
      <c r="F438" s="20" t="s">
        <v>2399</v>
      </c>
      <c r="G438" s="21">
        <v>13.4</v>
      </c>
      <c r="H438" s="16">
        <v>16</v>
      </c>
      <c r="I438" s="16">
        <v>1</v>
      </c>
      <c r="J4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438" s="22"/>
      <c r="L438" s="23"/>
      <c r="M438" s="23">
        <f>SUM(Tabela174681012142230322681619252731333624210121416182426283038402481012141620222628303234362426810121424610122426244262628262681026286236[[#This Row],[Saldo no cartão]:[Recarga Pendente]])</f>
        <v>0</v>
      </c>
      <c r="N438" s="19">
        <f>Tabela174681012142230322681619252731333624210121416182426283038402481012141620222628303234362426810121424610122426244262628262681026286236[[#This Row],[Uso diário]]*2</f>
        <v>26.8</v>
      </c>
      <c r="O438" s="19">
        <f>Tabela174681012142230322681619252731333624210121416182426283038402481012141620222628303234362426810121424610122426244262628262681026286236[[#This Row],[Total Acumulado]]-P438</f>
        <v>-67</v>
      </c>
      <c r="P438" s="48">
        <f>Tabela174681012142230322681619252731333624210121416182426283038402481012141620222628303234362426810121424610122426244262628262681026286236[[#This Row],[Uso diário]]*5</f>
        <v>67</v>
      </c>
      <c r="Q4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4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8" s="25">
        <v>4</v>
      </c>
    </row>
    <row r="439" spans="1:20" s="26" customFormat="1" x14ac:dyDescent="0.25">
      <c r="A439" s="16">
        <v>233246</v>
      </c>
      <c r="B439" s="30" t="s">
        <v>977</v>
      </c>
      <c r="C439" s="20" t="s">
        <v>651</v>
      </c>
      <c r="D439" s="20" t="s">
        <v>716</v>
      </c>
      <c r="E439" s="20" t="s">
        <v>2400</v>
      </c>
      <c r="F439" s="20" t="s">
        <v>2401</v>
      </c>
      <c r="G439" s="21">
        <v>18.8</v>
      </c>
      <c r="H439" s="16">
        <v>16</v>
      </c>
      <c r="I439" s="16">
        <v>1</v>
      </c>
      <c r="J4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439" s="22"/>
      <c r="L439" s="23"/>
      <c r="M439" s="23">
        <f>SUM(Tabela174681012142230322681619252731333624210121416182426283038402481012141620222628303234362426810121424610122426244262628262681026286236[[#This Row],[Saldo no cartão]:[Recarga Pendente]])</f>
        <v>0</v>
      </c>
      <c r="N439" s="19">
        <f>Tabela174681012142230322681619252731333624210121416182426283038402481012141620222628303234362426810121424610122426244262628262681026286236[[#This Row],[Uso diário]]*2</f>
        <v>37.6</v>
      </c>
      <c r="O439" s="19">
        <f>Tabela174681012142230322681619252731333624210121416182426283038402481012141620222628303234362426810121424610122426244262628262681026286236[[#This Row],[Total Acumulado]]-P439</f>
        <v>-94</v>
      </c>
      <c r="P439" s="48">
        <f>Tabela174681012142230322681619252731333624210121416182426283038402481012141620222628303234362426810121424610122426244262628262681026286236[[#This Row],[Uso diário]]*5</f>
        <v>94</v>
      </c>
      <c r="Q4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4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39" s="25">
        <v>4</v>
      </c>
    </row>
    <row r="440" spans="1:20" s="26" customFormat="1" x14ac:dyDescent="0.25">
      <c r="A440" s="16">
        <v>233317</v>
      </c>
      <c r="B440" s="30" t="s">
        <v>1060</v>
      </c>
      <c r="C440" s="20" t="s">
        <v>651</v>
      </c>
      <c r="D440" s="20" t="s">
        <v>716</v>
      </c>
      <c r="E440" s="20" t="s">
        <v>2402</v>
      </c>
      <c r="F440" s="20" t="s">
        <v>2403</v>
      </c>
      <c r="G440" s="21">
        <v>18.8</v>
      </c>
      <c r="H440" s="16">
        <v>16</v>
      </c>
      <c r="I440" s="16"/>
      <c r="J4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40" s="22"/>
      <c r="L440" s="23"/>
      <c r="M440" s="23">
        <f>SUM(Tabela174681012142230322681619252731333624210121416182426283038402481012141620222628303234362426810121424610122426244262628262681026286236[[#This Row],[Saldo no cartão]:[Recarga Pendente]])</f>
        <v>0</v>
      </c>
      <c r="N440" s="19">
        <f>Tabela174681012142230322681619252731333624210121416182426283038402481012141620222628303234362426810121424610122426244262628262681026286236[[#This Row],[Uso diário]]*2</f>
        <v>37.6</v>
      </c>
      <c r="O440" s="19">
        <f>Tabela174681012142230322681619252731333624210121416182426283038402481012141620222628303234362426810121424610122426244262628262681026286236[[#This Row],[Total Acumulado]]-P440</f>
        <v>-94</v>
      </c>
      <c r="P440" s="48">
        <f>Tabela174681012142230322681619252731333624210121416182426283038402481012141620222628303234362426810121424610122426244262628262681026286236[[#This Row],[Uso diário]]*5</f>
        <v>94</v>
      </c>
      <c r="Q4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0" s="25">
        <v>4</v>
      </c>
    </row>
    <row r="441" spans="1:20" s="26" customFormat="1" x14ac:dyDescent="0.25">
      <c r="A441" s="16">
        <v>233353</v>
      </c>
      <c r="B441" s="30" t="s">
        <v>1439</v>
      </c>
      <c r="C441" s="20" t="s">
        <v>651</v>
      </c>
      <c r="D441" s="20" t="s">
        <v>716</v>
      </c>
      <c r="E441" s="20" t="s">
        <v>2404</v>
      </c>
      <c r="F441" s="20" t="s">
        <v>2405</v>
      </c>
      <c r="G441" s="21">
        <v>18.8</v>
      </c>
      <c r="H441" s="16">
        <v>16</v>
      </c>
      <c r="I441" s="16">
        <v>1</v>
      </c>
      <c r="J4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441" s="22"/>
      <c r="L441" s="23"/>
      <c r="M441" s="23">
        <f>SUM(Tabela174681012142230322681619252731333624210121416182426283038402481012141620222628303234362426810121424610122426244262628262681026286236[[#This Row],[Saldo no cartão]:[Recarga Pendente]])</f>
        <v>0</v>
      </c>
      <c r="N441" s="19">
        <f>Tabela174681012142230322681619252731333624210121416182426283038402481012141620222628303234362426810121424610122426244262628262681026286236[[#This Row],[Uso diário]]*2</f>
        <v>37.6</v>
      </c>
      <c r="O441" s="19">
        <f>Tabela174681012142230322681619252731333624210121416182426283038402481012141620222628303234362426810121424610122426244262628262681026286236[[#This Row],[Total Acumulado]]-P441</f>
        <v>-94</v>
      </c>
      <c r="P441" s="48">
        <f>Tabela174681012142230322681619252731333624210121416182426283038402481012141620222628303234362426810121424610122426244262628262681026286236[[#This Row],[Uso diário]]*5</f>
        <v>94</v>
      </c>
      <c r="Q4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4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1" s="25">
        <v>4</v>
      </c>
    </row>
    <row r="442" spans="1:20" s="26" customFormat="1" x14ac:dyDescent="0.25">
      <c r="A442" s="16">
        <v>233565</v>
      </c>
      <c r="B442" s="30" t="s">
        <v>1061</v>
      </c>
      <c r="C442" s="20" t="s">
        <v>651</v>
      </c>
      <c r="D442" s="20" t="s">
        <v>719</v>
      </c>
      <c r="E442" s="20" t="s">
        <v>2406</v>
      </c>
      <c r="F442" s="20" t="s">
        <v>2407</v>
      </c>
      <c r="G442" s="21">
        <v>18.8</v>
      </c>
      <c r="H442" s="16">
        <v>16</v>
      </c>
      <c r="I442" s="16"/>
      <c r="J4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42" s="22"/>
      <c r="L442" s="23"/>
      <c r="M442" s="23">
        <f>SUM(Tabela174681012142230322681619252731333624210121416182426283038402481012141620222628303234362426810121424610122426244262628262681026286236[[#This Row],[Saldo no cartão]:[Recarga Pendente]])</f>
        <v>0</v>
      </c>
      <c r="N442" s="19">
        <f>Tabela174681012142230322681619252731333624210121416182426283038402481012141620222628303234362426810121424610122426244262628262681026286236[[#This Row],[Uso diário]]*2</f>
        <v>37.6</v>
      </c>
      <c r="O442" s="19">
        <f>Tabela174681012142230322681619252731333624210121416182426283038402481012141620222628303234362426810121424610122426244262628262681026286236[[#This Row],[Total Acumulado]]-P442</f>
        <v>-94</v>
      </c>
      <c r="P442" s="48">
        <f>Tabela174681012142230322681619252731333624210121416182426283038402481012141620222628303234362426810121424610122426244262628262681026286236[[#This Row],[Uso diário]]*5</f>
        <v>94</v>
      </c>
      <c r="Q4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2" s="25">
        <v>4</v>
      </c>
    </row>
    <row r="443" spans="1:20" s="26" customFormat="1" x14ac:dyDescent="0.25">
      <c r="A443" s="16">
        <v>233961</v>
      </c>
      <c r="B443" s="30" t="s">
        <v>1171</v>
      </c>
      <c r="C443" s="20" t="s">
        <v>651</v>
      </c>
      <c r="D443" s="20" t="s">
        <v>716</v>
      </c>
      <c r="E443" s="20" t="s">
        <v>2408</v>
      </c>
      <c r="F443" s="20" t="s">
        <v>2409</v>
      </c>
      <c r="G443" s="21">
        <v>18.8</v>
      </c>
      <c r="H443" s="16">
        <v>16</v>
      </c>
      <c r="I443" s="16"/>
      <c r="J4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43" s="22"/>
      <c r="L443" s="23"/>
      <c r="M443" s="23">
        <f>SUM(Tabela174681012142230322681619252731333624210121416182426283038402481012141620222628303234362426810121424610122426244262628262681026286236[[#This Row],[Saldo no cartão]:[Recarga Pendente]])</f>
        <v>0</v>
      </c>
      <c r="N443" s="19">
        <f>Tabela174681012142230322681619252731333624210121416182426283038402481012141620222628303234362426810121424610122426244262628262681026286236[[#This Row],[Uso diário]]*2</f>
        <v>37.6</v>
      </c>
      <c r="O443" s="19">
        <f>Tabela174681012142230322681619252731333624210121416182426283038402481012141620222628303234362426810121424610122426244262628262681026286236[[#This Row],[Total Acumulado]]-P443</f>
        <v>-94</v>
      </c>
      <c r="P443" s="48">
        <f>Tabela174681012142230322681619252731333624210121416182426283038402481012141620222628303234362426810121424610122426244262628262681026286236[[#This Row],[Uso diário]]*5</f>
        <v>94</v>
      </c>
      <c r="Q4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3" s="25">
        <v>4</v>
      </c>
    </row>
    <row r="444" spans="1:20" s="26" customFormat="1" x14ac:dyDescent="0.25">
      <c r="A444" s="16">
        <v>234020</v>
      </c>
      <c r="B444" s="30" t="s">
        <v>1172</v>
      </c>
      <c r="C444" s="20" t="s">
        <v>651</v>
      </c>
      <c r="D444" s="20" t="s">
        <v>716</v>
      </c>
      <c r="E444" s="20" t="s">
        <v>2410</v>
      </c>
      <c r="F444" s="20" t="s">
        <v>2411</v>
      </c>
      <c r="G444" s="21">
        <v>13.4</v>
      </c>
      <c r="H444" s="16">
        <v>16</v>
      </c>
      <c r="I444" s="16"/>
      <c r="J4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44" s="22"/>
      <c r="L444" s="23"/>
      <c r="M444" s="23">
        <f>SUM(Tabela174681012142230322681619252731333624210121416182426283038402481012141620222628303234362426810121424610122426244262628262681026286236[[#This Row],[Saldo no cartão]:[Recarga Pendente]])</f>
        <v>0</v>
      </c>
      <c r="N444" s="19">
        <f>Tabela174681012142230322681619252731333624210121416182426283038402481012141620222628303234362426810121424610122426244262628262681026286236[[#This Row],[Uso diário]]*2</f>
        <v>26.8</v>
      </c>
      <c r="O444" s="19">
        <f>Tabela174681012142230322681619252731333624210121416182426283038402481012141620222628303234362426810121424610122426244262628262681026286236[[#This Row],[Total Acumulado]]-P444</f>
        <v>-67</v>
      </c>
      <c r="P444" s="48">
        <f>Tabela174681012142230322681619252731333624210121416182426283038402481012141620222628303234362426810121424610122426244262628262681026286236[[#This Row],[Uso diário]]*5</f>
        <v>67</v>
      </c>
      <c r="Q4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4" s="25">
        <v>4</v>
      </c>
    </row>
    <row r="445" spans="1:20" s="26" customFormat="1" x14ac:dyDescent="0.25">
      <c r="A445" s="16">
        <v>234442</v>
      </c>
      <c r="B445" s="30" t="s">
        <v>1281</v>
      </c>
      <c r="C445" s="20" t="s">
        <v>651</v>
      </c>
      <c r="D445" s="20" t="s">
        <v>716</v>
      </c>
      <c r="E445" s="20" t="s">
        <v>2412</v>
      </c>
      <c r="F445" s="20" t="s">
        <v>2413</v>
      </c>
      <c r="G445" s="21">
        <v>13.4</v>
      </c>
      <c r="H445" s="16">
        <v>16</v>
      </c>
      <c r="I445" s="16"/>
      <c r="J4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45" s="22"/>
      <c r="L445" s="23"/>
      <c r="M445" s="23">
        <f>SUM(Tabela174681012142230322681619252731333624210121416182426283038402481012141620222628303234362426810121424610122426244262628262681026286236[[#This Row],[Saldo no cartão]:[Recarga Pendente]])</f>
        <v>0</v>
      </c>
      <c r="N445" s="19">
        <f>Tabela174681012142230322681619252731333624210121416182426283038402481012141620222628303234362426810121424610122426244262628262681026286236[[#This Row],[Uso diário]]*2</f>
        <v>26.8</v>
      </c>
      <c r="O445" s="19">
        <f>Tabela174681012142230322681619252731333624210121416182426283038402481012141620222628303234362426810121424610122426244262628262681026286236[[#This Row],[Total Acumulado]]-P445</f>
        <v>-67</v>
      </c>
      <c r="P445" s="48">
        <f>Tabela174681012142230322681619252731333624210121416182426283038402481012141620222628303234362426810121424610122426244262628262681026286236[[#This Row],[Uso diário]]*5</f>
        <v>67</v>
      </c>
      <c r="Q4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5" s="25">
        <v>4</v>
      </c>
    </row>
    <row r="446" spans="1:20" s="26" customFormat="1" x14ac:dyDescent="0.25">
      <c r="A446" s="16">
        <v>234486</v>
      </c>
      <c r="B446" s="30" t="s">
        <v>1282</v>
      </c>
      <c r="C446" s="20" t="s">
        <v>651</v>
      </c>
      <c r="D446" s="20" t="s">
        <v>719</v>
      </c>
      <c r="E446" s="20" t="s">
        <v>2414</v>
      </c>
      <c r="F446" s="20" t="s">
        <v>2415</v>
      </c>
      <c r="G446" s="21">
        <v>18.8</v>
      </c>
      <c r="H446" s="16">
        <v>16</v>
      </c>
      <c r="I446" s="16"/>
      <c r="J4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46" s="22"/>
      <c r="L446" s="23"/>
      <c r="M446" s="23">
        <f>SUM(Tabela174681012142230322681619252731333624210121416182426283038402481012141620222628303234362426810121424610122426244262628262681026286236[[#This Row],[Saldo no cartão]:[Recarga Pendente]])</f>
        <v>0</v>
      </c>
      <c r="N446" s="19">
        <f>Tabela174681012142230322681619252731333624210121416182426283038402481012141620222628303234362426810121424610122426244262628262681026286236[[#This Row],[Uso diário]]*2</f>
        <v>37.6</v>
      </c>
      <c r="O446" s="19">
        <f>Tabela174681012142230322681619252731333624210121416182426283038402481012141620222628303234362426810121424610122426244262628262681026286236[[#This Row],[Total Acumulado]]-P446</f>
        <v>-94</v>
      </c>
      <c r="P446" s="48">
        <f>Tabela174681012142230322681619252731333624210121416182426283038402481012141620222628303234362426810121424610122426244262628262681026286236[[#This Row],[Uso diário]]*5</f>
        <v>94</v>
      </c>
      <c r="Q4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6" s="25">
        <v>4</v>
      </c>
    </row>
    <row r="447" spans="1:20" s="26" customFormat="1" x14ac:dyDescent="0.25">
      <c r="A447" s="16">
        <v>234491</v>
      </c>
      <c r="B447" s="30" t="s">
        <v>1283</v>
      </c>
      <c r="C447" s="20" t="s">
        <v>651</v>
      </c>
      <c r="D447" s="20" t="s">
        <v>716</v>
      </c>
      <c r="E447" s="20" t="s">
        <v>2416</v>
      </c>
      <c r="F447" s="20" t="s">
        <v>2417</v>
      </c>
      <c r="G447" s="21">
        <v>18.8</v>
      </c>
      <c r="H447" s="16">
        <v>16</v>
      </c>
      <c r="I447" s="16"/>
      <c r="J4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47" s="22"/>
      <c r="L447" s="23"/>
      <c r="M447" s="23">
        <f>SUM(Tabela174681012142230322681619252731333624210121416182426283038402481012141620222628303234362426810121424610122426244262628262681026286236[[#This Row],[Saldo no cartão]:[Recarga Pendente]])</f>
        <v>0</v>
      </c>
      <c r="N447" s="19">
        <f>Tabela174681012142230322681619252731333624210121416182426283038402481012141620222628303234362426810121424610122426244262628262681026286236[[#This Row],[Uso diário]]*2</f>
        <v>37.6</v>
      </c>
      <c r="O447" s="19">
        <f>Tabela174681012142230322681619252731333624210121416182426283038402481012141620222628303234362426810121424610122426244262628262681026286236[[#This Row],[Total Acumulado]]-P447</f>
        <v>-94</v>
      </c>
      <c r="P447" s="48">
        <f>Tabela174681012142230322681619252731333624210121416182426283038402481012141620222628303234362426810121424610122426244262628262681026286236[[#This Row],[Uso diário]]*5</f>
        <v>94</v>
      </c>
      <c r="Q4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7" s="25">
        <v>4</v>
      </c>
    </row>
    <row r="448" spans="1:20" s="26" customFormat="1" x14ac:dyDescent="0.25">
      <c r="A448" s="16">
        <v>234590</v>
      </c>
      <c r="B448" s="30" t="s">
        <v>1307</v>
      </c>
      <c r="C448" s="20" t="s">
        <v>651</v>
      </c>
      <c r="D448" s="20" t="s">
        <v>719</v>
      </c>
      <c r="E448" s="20" t="s">
        <v>2418</v>
      </c>
      <c r="F448" s="20" t="s">
        <v>2419</v>
      </c>
      <c r="G448" s="21">
        <v>18.8</v>
      </c>
      <c r="H448" s="16">
        <v>16</v>
      </c>
      <c r="I448" s="16"/>
      <c r="J4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48" s="22"/>
      <c r="L448" s="23"/>
      <c r="M448" s="23">
        <f>SUM(Tabela174681012142230322681619252731333624210121416182426283038402481012141620222628303234362426810121424610122426244262628262681026286236[[#This Row],[Saldo no cartão]:[Recarga Pendente]])</f>
        <v>0</v>
      </c>
      <c r="N448" s="19">
        <f>Tabela174681012142230322681619252731333624210121416182426283038402481012141620222628303234362426810121424610122426244262628262681026286236[[#This Row],[Uso diário]]*2</f>
        <v>37.6</v>
      </c>
      <c r="O448" s="19">
        <f>Tabela174681012142230322681619252731333624210121416182426283038402481012141620222628303234362426810121424610122426244262628262681026286236[[#This Row],[Total Acumulado]]-P448</f>
        <v>-94</v>
      </c>
      <c r="P448" s="48">
        <f>Tabela174681012142230322681619252731333624210121416182426283038402481012141620222628303234362426810121424610122426244262628262681026286236[[#This Row],[Uso diário]]*5</f>
        <v>94</v>
      </c>
      <c r="Q4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8" s="25">
        <v>4</v>
      </c>
    </row>
    <row r="449" spans="1:20" s="26" customFormat="1" x14ac:dyDescent="0.25">
      <c r="A449" s="16">
        <v>234640</v>
      </c>
      <c r="B449" s="30" t="s">
        <v>1308</v>
      </c>
      <c r="C449" s="20" t="s">
        <v>651</v>
      </c>
      <c r="D449" s="20" t="s">
        <v>719</v>
      </c>
      <c r="E449" s="20" t="s">
        <v>2420</v>
      </c>
      <c r="F449" s="20" t="s">
        <v>2421</v>
      </c>
      <c r="G449" s="21">
        <v>13.4</v>
      </c>
      <c r="H449" s="16">
        <v>16</v>
      </c>
      <c r="I449" s="16"/>
      <c r="J4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49" s="22"/>
      <c r="L449" s="23"/>
      <c r="M449" s="23">
        <f>SUM(Tabela174681012142230322681619252731333624210121416182426283038402481012141620222628303234362426810121424610122426244262628262681026286236[[#This Row],[Saldo no cartão]:[Recarga Pendente]])</f>
        <v>0</v>
      </c>
      <c r="N449" s="19">
        <f>Tabela174681012142230322681619252731333624210121416182426283038402481012141620222628303234362426810121424610122426244262628262681026286236[[#This Row],[Uso diário]]*2</f>
        <v>26.8</v>
      </c>
      <c r="O449" s="19">
        <f>Tabela174681012142230322681619252731333624210121416182426283038402481012141620222628303234362426810121424610122426244262628262681026286236[[#This Row],[Total Acumulado]]-P449</f>
        <v>-67</v>
      </c>
      <c r="P449" s="48">
        <f>Tabela174681012142230322681619252731333624210121416182426283038402481012141620222628303234362426810121424610122426244262628262681026286236[[#This Row],[Uso diário]]*5</f>
        <v>67</v>
      </c>
      <c r="Q4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49" s="25">
        <v>4</v>
      </c>
    </row>
    <row r="450" spans="1:20" s="26" customFormat="1" x14ac:dyDescent="0.25">
      <c r="A450" s="16">
        <v>234680</v>
      </c>
      <c r="B450" s="30" t="s">
        <v>1352</v>
      </c>
      <c r="C450" s="20" t="s">
        <v>651</v>
      </c>
      <c r="D450" s="20" t="s">
        <v>719</v>
      </c>
      <c r="E450" s="20" t="s">
        <v>2422</v>
      </c>
      <c r="F450" s="20" t="s">
        <v>2423</v>
      </c>
      <c r="G450" s="21">
        <v>13.4</v>
      </c>
      <c r="H450" s="16">
        <v>16</v>
      </c>
      <c r="I450" s="16"/>
      <c r="J4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50" s="22"/>
      <c r="L450" s="23"/>
      <c r="M450" s="23">
        <f>SUM(Tabela174681012142230322681619252731333624210121416182426283038402481012141620222628303234362426810121424610122426244262628262681026286236[[#This Row],[Saldo no cartão]:[Recarga Pendente]])</f>
        <v>0</v>
      </c>
      <c r="N450" s="19">
        <f>Tabela174681012142230322681619252731333624210121416182426283038402481012141620222628303234362426810121424610122426244262628262681026286236[[#This Row],[Uso diário]]*2</f>
        <v>26.8</v>
      </c>
      <c r="O450" s="19">
        <f>Tabela174681012142230322681619252731333624210121416182426283038402481012141620222628303234362426810121424610122426244262628262681026286236[[#This Row],[Total Acumulado]]-P450</f>
        <v>-67</v>
      </c>
      <c r="P450" s="48">
        <f>Tabela174681012142230322681619252731333624210121416182426283038402481012141620222628303234362426810121424610122426244262628262681026286236[[#This Row],[Uso diário]]*5</f>
        <v>67</v>
      </c>
      <c r="Q4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0" s="25">
        <v>4</v>
      </c>
    </row>
    <row r="451" spans="1:20" s="26" customFormat="1" x14ac:dyDescent="0.25">
      <c r="A451" s="16">
        <v>234841</v>
      </c>
      <c r="B451" s="30" t="s">
        <v>1440</v>
      </c>
      <c r="C451" s="20" t="s">
        <v>651</v>
      </c>
      <c r="D451" s="20" t="s">
        <v>716</v>
      </c>
      <c r="E451" s="20" t="s">
        <v>2424</v>
      </c>
      <c r="F451" s="20" t="s">
        <v>2425</v>
      </c>
      <c r="G451" s="21">
        <v>18.8</v>
      </c>
      <c r="H451" s="16">
        <v>16</v>
      </c>
      <c r="I451" s="16"/>
      <c r="J4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51" s="22"/>
      <c r="L451" s="23">
        <v>94</v>
      </c>
      <c r="M451" s="23">
        <f>SUM(Tabela174681012142230322681619252731333624210121416182426283038402481012141620222628303234362426810121424610122426244262628262681026286236[[#This Row],[Saldo no cartão]:[Recarga Pendente]])</f>
        <v>94</v>
      </c>
      <c r="N451" s="19">
        <f>Tabela174681012142230322681619252731333624210121416182426283038402481012141620222628303234362426810121424610122426244262628262681026286236[[#This Row],[Uso diário]]*2</f>
        <v>37.6</v>
      </c>
      <c r="O451" s="19">
        <f>Tabela174681012142230322681619252731333624210121416182426283038402481012141620222628303234362426810121424610122426244262628262681026286236[[#This Row],[Total Acumulado]]-P451</f>
        <v>0</v>
      </c>
      <c r="P451" s="48">
        <f>Tabela174681012142230322681619252731333624210121416182426283038402481012141620222628303234362426810121424610122426244262628262681026286236[[#This Row],[Uso diário]]*5</f>
        <v>94</v>
      </c>
      <c r="Q4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1" s="25">
        <v>4</v>
      </c>
    </row>
    <row r="452" spans="1:20" s="26" customFormat="1" x14ac:dyDescent="0.25">
      <c r="A452" s="16">
        <v>234842</v>
      </c>
      <c r="B452" s="30" t="s">
        <v>1441</v>
      </c>
      <c r="C452" s="20" t="s">
        <v>651</v>
      </c>
      <c r="D452" s="20" t="s">
        <v>716</v>
      </c>
      <c r="E452" s="20" t="s">
        <v>2426</v>
      </c>
      <c r="F452" s="20" t="s">
        <v>2427</v>
      </c>
      <c r="G452" s="21">
        <v>13.4</v>
      </c>
      <c r="H452" s="16">
        <v>16</v>
      </c>
      <c r="I452" s="16"/>
      <c r="J4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52" s="22"/>
      <c r="L452" s="23"/>
      <c r="M452" s="23">
        <f>SUM(Tabela174681012142230322681619252731333624210121416182426283038402481012141620222628303234362426810121424610122426244262628262681026286236[[#This Row],[Saldo no cartão]:[Recarga Pendente]])</f>
        <v>0</v>
      </c>
      <c r="N452" s="19">
        <f>Tabela174681012142230322681619252731333624210121416182426283038402481012141620222628303234362426810121424610122426244262628262681026286236[[#This Row],[Uso diário]]*2</f>
        <v>26.8</v>
      </c>
      <c r="O452" s="19">
        <f>Tabela174681012142230322681619252731333624210121416182426283038402481012141620222628303234362426810121424610122426244262628262681026286236[[#This Row],[Total Acumulado]]-P452</f>
        <v>-67</v>
      </c>
      <c r="P452" s="48">
        <f>Tabela174681012142230322681619252731333624210121416182426283038402481012141620222628303234362426810121424610122426244262628262681026286236[[#This Row],[Uso diário]]*5</f>
        <v>67</v>
      </c>
      <c r="Q4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2" s="25">
        <v>4</v>
      </c>
    </row>
    <row r="453" spans="1:20" s="26" customFormat="1" x14ac:dyDescent="0.25">
      <c r="A453" s="16">
        <v>234883</v>
      </c>
      <c r="B453" s="30" t="s">
        <v>1442</v>
      </c>
      <c r="C453" s="20" t="s">
        <v>651</v>
      </c>
      <c r="D453" s="20" t="s">
        <v>716</v>
      </c>
      <c r="E453" s="20" t="e">
        <v>#N/A</v>
      </c>
      <c r="F453" s="20" t="e">
        <v>#N/A</v>
      </c>
      <c r="G453" s="21">
        <v>18.8</v>
      </c>
      <c r="H453" s="16">
        <v>16</v>
      </c>
      <c r="I453" s="16"/>
      <c r="J4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453" s="22"/>
      <c r="L453" s="23"/>
      <c r="M453" s="23">
        <f>SUM(Tabela174681012142230322681619252731333624210121416182426283038402481012141620222628303234362426810121424610122426244262628262681026286236[[#This Row],[Saldo no cartão]:[Recarga Pendente]])</f>
        <v>0</v>
      </c>
      <c r="N453" s="19">
        <f>Tabela174681012142230322681619252731333624210121416182426283038402481012141620222628303234362426810121424610122426244262628262681026286236[[#This Row],[Uso diário]]*2</f>
        <v>37.6</v>
      </c>
      <c r="O453" s="19">
        <f>Tabela174681012142230322681619252731333624210121416182426283038402481012141620222628303234362426810121424610122426244262628262681026286236[[#This Row],[Total Acumulado]]-P453</f>
        <v>-94</v>
      </c>
      <c r="P453" s="48">
        <f>Tabela174681012142230322681619252731333624210121416182426283038402481012141620222628303234362426810121424610122426244262628262681026286236[[#This Row],[Uso diário]]*5</f>
        <v>94</v>
      </c>
      <c r="Q4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4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3" s="25">
        <v>4</v>
      </c>
    </row>
    <row r="454" spans="1:20" s="26" customFormat="1" x14ac:dyDescent="0.25">
      <c r="A454" s="16">
        <v>234982</v>
      </c>
      <c r="B454" s="30" t="s">
        <v>1443</v>
      </c>
      <c r="C454" s="20" t="s">
        <v>651</v>
      </c>
      <c r="D454" s="20" t="s">
        <v>719</v>
      </c>
      <c r="E454" s="20" t="s">
        <v>2428</v>
      </c>
      <c r="F454" s="20" t="s">
        <v>2429</v>
      </c>
      <c r="G454" s="21">
        <v>13.4</v>
      </c>
      <c r="H454" s="16">
        <v>16</v>
      </c>
      <c r="I454" s="16"/>
      <c r="J4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454" s="22"/>
      <c r="L454" s="23"/>
      <c r="M454" s="23">
        <f>SUM(Tabela174681012142230322681619252731333624210121416182426283038402481012141620222628303234362426810121424610122426244262628262681026286236[[#This Row],[Saldo no cartão]:[Recarga Pendente]])</f>
        <v>0</v>
      </c>
      <c r="N454" s="19">
        <f>Tabela174681012142230322681619252731333624210121416182426283038402481012141620222628303234362426810121424610122426244262628262681026286236[[#This Row],[Uso diário]]*2</f>
        <v>26.8</v>
      </c>
      <c r="O454" s="19">
        <f>Tabela174681012142230322681619252731333624210121416182426283038402481012141620222628303234362426810121424610122426244262628262681026286236[[#This Row],[Total Acumulado]]-P454</f>
        <v>-67</v>
      </c>
      <c r="P454" s="48">
        <f>Tabela174681012142230322681619252731333624210121416182426283038402481012141620222628303234362426810121424610122426244262628262681026286236[[#This Row],[Uso diário]]*5</f>
        <v>67</v>
      </c>
      <c r="Q4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4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4" s="25">
        <v>4</v>
      </c>
    </row>
    <row r="455" spans="1:20" s="26" customFormat="1" x14ac:dyDescent="0.25">
      <c r="A455" s="16">
        <v>200365</v>
      </c>
      <c r="B455" s="30" t="s">
        <v>1173</v>
      </c>
      <c r="C455" s="20" t="s">
        <v>635</v>
      </c>
      <c r="D455" s="20" t="s">
        <v>689</v>
      </c>
      <c r="E455" s="20" t="s">
        <v>2430</v>
      </c>
      <c r="F455" s="20" t="s">
        <v>2431</v>
      </c>
      <c r="G455" s="21">
        <v>18.8</v>
      </c>
      <c r="H455" s="16">
        <v>22</v>
      </c>
      <c r="I455" s="16">
        <v>1</v>
      </c>
      <c r="J4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455" s="22"/>
      <c r="L455" s="23"/>
      <c r="M455" s="23">
        <f>SUM(Tabela174681012142230322681619252731333624210121416182426283038402481012141620222628303234362426810121424610122426244262628262681026286236[[#This Row],[Saldo no cartão]:[Recarga Pendente]])</f>
        <v>0</v>
      </c>
      <c r="N455" s="19">
        <f>Tabela174681012142230322681619252731333624210121416182426283038402481012141620222628303234362426810121424610122426244262628262681026286236[[#This Row],[Uso diário]]*2</f>
        <v>37.6</v>
      </c>
      <c r="O455" s="19">
        <f>Tabela174681012142230322681619252731333624210121416182426283038402481012141620222628303234362426810121424610122426244262628262681026286236[[#This Row],[Total Acumulado]]-P455</f>
        <v>-94</v>
      </c>
      <c r="P455" s="48">
        <f>Tabela174681012142230322681619252731333624210121416182426283038402481012141620222628303234362426810121424610122426244262628262681026286236[[#This Row],[Uso diário]]*5</f>
        <v>94</v>
      </c>
      <c r="Q4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4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5" s="25">
        <v>4</v>
      </c>
    </row>
    <row r="456" spans="1:20" s="26" customFormat="1" x14ac:dyDescent="0.25">
      <c r="A456" s="16">
        <v>204327</v>
      </c>
      <c r="B456" s="30" t="s">
        <v>1444</v>
      </c>
      <c r="C456" s="20" t="s">
        <v>635</v>
      </c>
      <c r="D456" s="20" t="s">
        <v>689</v>
      </c>
      <c r="E456" s="20" t="s">
        <v>2432</v>
      </c>
      <c r="F456" s="20" t="s">
        <v>2433</v>
      </c>
      <c r="G456" s="21">
        <v>18.8</v>
      </c>
      <c r="H456" s="16">
        <v>22</v>
      </c>
      <c r="I456" s="16"/>
      <c r="J4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56" s="22"/>
      <c r="L456" s="23"/>
      <c r="M456" s="23">
        <f>SUM(Tabela174681012142230322681619252731333624210121416182426283038402481012141620222628303234362426810121424610122426244262628262681026286236[[#This Row],[Saldo no cartão]:[Recarga Pendente]])</f>
        <v>0</v>
      </c>
      <c r="N456" s="19">
        <f>Tabela174681012142230322681619252731333624210121416182426283038402481012141620222628303234362426810121424610122426244262628262681026286236[[#This Row],[Uso diário]]*2</f>
        <v>37.6</v>
      </c>
      <c r="O456" s="19">
        <f>Tabela174681012142230322681619252731333624210121416182426283038402481012141620222628303234362426810121424610122426244262628262681026286236[[#This Row],[Total Acumulado]]-P456</f>
        <v>-94</v>
      </c>
      <c r="P456" s="48">
        <f>Tabela174681012142230322681619252731333624210121416182426283038402481012141620222628303234362426810121424610122426244262628262681026286236[[#This Row],[Uso diário]]*5</f>
        <v>94</v>
      </c>
      <c r="Q4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6" s="25">
        <v>4</v>
      </c>
    </row>
    <row r="457" spans="1:20" s="26" customFormat="1" x14ac:dyDescent="0.25">
      <c r="A457" s="16">
        <v>204854</v>
      </c>
      <c r="B457" s="30" t="s">
        <v>239</v>
      </c>
      <c r="C457" s="20" t="s">
        <v>635</v>
      </c>
      <c r="D457" s="20" t="s">
        <v>689</v>
      </c>
      <c r="E457" s="20" t="s">
        <v>2434</v>
      </c>
      <c r="F457" s="20" t="s">
        <v>2435</v>
      </c>
      <c r="G457" s="21">
        <v>18.8</v>
      </c>
      <c r="H457" s="16">
        <v>22</v>
      </c>
      <c r="I457" s="16"/>
      <c r="J4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57" s="22"/>
      <c r="L457" s="23"/>
      <c r="M457" s="23">
        <f>SUM(Tabela174681012142230322681619252731333624210121416182426283038402481012141620222628303234362426810121424610122426244262628262681026286236[[#This Row],[Saldo no cartão]:[Recarga Pendente]])</f>
        <v>0</v>
      </c>
      <c r="N457" s="19">
        <f>Tabela174681012142230322681619252731333624210121416182426283038402481012141620222628303234362426810121424610122426244262628262681026286236[[#This Row],[Uso diário]]*2</f>
        <v>37.6</v>
      </c>
      <c r="O457" s="19">
        <f>Tabela174681012142230322681619252731333624210121416182426283038402481012141620222628303234362426810121424610122426244262628262681026286236[[#This Row],[Total Acumulado]]-P457</f>
        <v>-94</v>
      </c>
      <c r="P457" s="48">
        <f>Tabela174681012142230322681619252731333624210121416182426283038402481012141620222628303234362426810121424610122426244262628262681026286236[[#This Row],[Uso diário]]*5</f>
        <v>94</v>
      </c>
      <c r="Q4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7" s="25">
        <v>4</v>
      </c>
    </row>
    <row r="458" spans="1:20" s="26" customFormat="1" x14ac:dyDescent="0.25">
      <c r="A458" s="16">
        <v>231623</v>
      </c>
      <c r="B458" s="30" t="s">
        <v>821</v>
      </c>
      <c r="C458" s="20" t="s">
        <v>636</v>
      </c>
      <c r="D458" s="20" t="s">
        <v>729</v>
      </c>
      <c r="E458" s="20" t="s">
        <v>2436</v>
      </c>
      <c r="F458" s="20" t="s">
        <v>2437</v>
      </c>
      <c r="G458" s="21">
        <v>6.7</v>
      </c>
      <c r="H458" s="16">
        <v>22</v>
      </c>
      <c r="I458" s="16">
        <v>4</v>
      </c>
      <c r="J4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120.60000000000001</v>
      </c>
      <c r="K458" s="22"/>
      <c r="L458" s="23"/>
      <c r="M458" s="23">
        <f>SUM(Tabela174681012142230322681619252731333624210121416182426283038402481012141620222628303234362426810121424610122426244262628262681026286236[[#This Row],[Saldo no cartão]:[Recarga Pendente]])</f>
        <v>0</v>
      </c>
      <c r="N458" s="19">
        <f>Tabela174681012142230322681619252731333624210121416182426283038402481012141620222628303234362426810121424610122426244262628262681026286236[[#This Row],[Uso diário]]*2</f>
        <v>13.4</v>
      </c>
      <c r="O458" s="19">
        <f>Tabela174681012142230322681619252731333624210121416182426283038402481012141620222628303234362426810121424610122426244262628262681026286236[[#This Row],[Total Acumulado]]-P458</f>
        <v>-33.5</v>
      </c>
      <c r="P458" s="48">
        <f>Tabela174681012142230322681619252731333624210121416182426283038402481012141620222628303234362426810121424610122426244262628262681026286236[[#This Row],[Uso diário]]*5</f>
        <v>33.5</v>
      </c>
      <c r="Q4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120.60000000000001</v>
      </c>
      <c r="S4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8" s="25">
        <v>4</v>
      </c>
    </row>
    <row r="459" spans="1:20" s="26" customFormat="1" x14ac:dyDescent="0.25">
      <c r="A459" s="16">
        <v>232518</v>
      </c>
      <c r="B459" s="30" t="s">
        <v>903</v>
      </c>
      <c r="C459" s="20" t="s">
        <v>636</v>
      </c>
      <c r="D459" s="20" t="s">
        <v>729</v>
      </c>
      <c r="E459" s="20" t="s">
        <v>2438</v>
      </c>
      <c r="F459" s="20" t="s">
        <v>2439</v>
      </c>
      <c r="G459" s="21">
        <v>18.8</v>
      </c>
      <c r="H459" s="16">
        <v>22</v>
      </c>
      <c r="I459" s="16"/>
      <c r="J4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59" s="22"/>
      <c r="L459" s="23"/>
      <c r="M459" s="23">
        <f>SUM(Tabela174681012142230322681619252731333624210121416182426283038402481012141620222628303234362426810121424610122426244262628262681026286236[[#This Row],[Saldo no cartão]:[Recarga Pendente]])</f>
        <v>0</v>
      </c>
      <c r="N459" s="19">
        <f>Tabela174681012142230322681619252731333624210121416182426283038402481012141620222628303234362426810121424610122426244262628262681026286236[[#This Row],[Uso diário]]*2</f>
        <v>37.6</v>
      </c>
      <c r="O459" s="19">
        <f>Tabela174681012142230322681619252731333624210121416182426283038402481012141620222628303234362426810121424610122426244262628262681026286236[[#This Row],[Total Acumulado]]-P459</f>
        <v>-94</v>
      </c>
      <c r="P459" s="48">
        <f>Tabela174681012142230322681619252731333624210121416182426283038402481012141620222628303234362426810121424610122426244262628262681026286236[[#This Row],[Uso diário]]*5</f>
        <v>94</v>
      </c>
      <c r="Q4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59" s="25">
        <v>4</v>
      </c>
    </row>
    <row r="460" spans="1:20" s="26" customFormat="1" x14ac:dyDescent="0.25">
      <c r="A460" s="16">
        <v>233219</v>
      </c>
      <c r="B460" s="30" t="s">
        <v>978</v>
      </c>
      <c r="C460" s="20" t="s">
        <v>636</v>
      </c>
      <c r="D460" s="20" t="s">
        <v>729</v>
      </c>
      <c r="E460" s="20" t="s">
        <v>2440</v>
      </c>
      <c r="F460" s="20" t="s">
        <v>2441</v>
      </c>
      <c r="G460" s="21">
        <v>13.4</v>
      </c>
      <c r="H460" s="16">
        <v>22</v>
      </c>
      <c r="I460" s="16">
        <v>2</v>
      </c>
      <c r="J4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268</v>
      </c>
      <c r="K460" s="22"/>
      <c r="L460" s="23"/>
      <c r="M460" s="23">
        <f>SUM(Tabela174681012142230322681619252731333624210121416182426283038402481012141620222628303234362426810121424610122426244262628262681026286236[[#This Row],[Saldo no cartão]:[Recarga Pendente]])</f>
        <v>0</v>
      </c>
      <c r="N460" s="19">
        <f>Tabela174681012142230322681619252731333624210121416182426283038402481012141620222628303234362426810121424610122426244262628262681026286236[[#This Row],[Uso diário]]*2</f>
        <v>26.8</v>
      </c>
      <c r="O460" s="19">
        <f>Tabela174681012142230322681619252731333624210121416182426283038402481012141620222628303234362426810121424610122426244262628262681026286236[[#This Row],[Total Acumulado]]-P460</f>
        <v>-67</v>
      </c>
      <c r="P460" s="48">
        <f>Tabela174681012142230322681619252731333624210121416182426283038402481012141620222628303234362426810121424610122426244262628262681026286236[[#This Row],[Uso diário]]*5</f>
        <v>67</v>
      </c>
      <c r="Q4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268</v>
      </c>
      <c r="S4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0" s="25">
        <v>4</v>
      </c>
    </row>
    <row r="461" spans="1:20" s="26" customFormat="1" x14ac:dyDescent="0.25">
      <c r="A461" s="16">
        <v>233220</v>
      </c>
      <c r="B461" s="30" t="s">
        <v>979</v>
      </c>
      <c r="C461" s="20" t="s">
        <v>636</v>
      </c>
      <c r="D461" s="20" t="s">
        <v>729</v>
      </c>
      <c r="E461" s="20" t="s">
        <v>2442</v>
      </c>
      <c r="F461" s="20" t="s">
        <v>2443</v>
      </c>
      <c r="G461" s="21">
        <v>9.4</v>
      </c>
      <c r="H461" s="16">
        <v>22</v>
      </c>
      <c r="I461" s="16">
        <v>5</v>
      </c>
      <c r="J4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159.80000000000001</v>
      </c>
      <c r="K461" s="22"/>
      <c r="L461" s="23"/>
      <c r="M461" s="23">
        <f>SUM(Tabela174681012142230322681619252731333624210121416182426283038402481012141620222628303234362426810121424610122426244262628262681026286236[[#This Row],[Saldo no cartão]:[Recarga Pendente]])</f>
        <v>0</v>
      </c>
      <c r="N461" s="19">
        <f>Tabela174681012142230322681619252731333624210121416182426283038402481012141620222628303234362426810121424610122426244262628262681026286236[[#This Row],[Uso diário]]*2</f>
        <v>18.8</v>
      </c>
      <c r="O461" s="19">
        <f>Tabela174681012142230322681619252731333624210121416182426283038402481012141620222628303234362426810121424610122426244262628262681026286236[[#This Row],[Total Acumulado]]-P461</f>
        <v>-47</v>
      </c>
      <c r="P461" s="48">
        <f>Tabela174681012142230322681619252731333624210121416182426283038402481012141620222628303234362426810121424610122426244262628262681026286236[[#This Row],[Uso diário]]*5</f>
        <v>47</v>
      </c>
      <c r="Q4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159.80000000000001</v>
      </c>
      <c r="S4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1" s="25">
        <v>4</v>
      </c>
    </row>
    <row r="462" spans="1:20" s="26" customFormat="1" x14ac:dyDescent="0.25">
      <c r="A462" s="16">
        <v>233221</v>
      </c>
      <c r="B462" s="30" t="s">
        <v>980</v>
      </c>
      <c r="C462" s="20" t="s">
        <v>636</v>
      </c>
      <c r="D462" s="20" t="s">
        <v>729</v>
      </c>
      <c r="E462" s="20" t="s">
        <v>2444</v>
      </c>
      <c r="F462" s="20" t="s">
        <v>2445</v>
      </c>
      <c r="G462" s="21">
        <v>18.8</v>
      </c>
      <c r="H462" s="16">
        <v>22</v>
      </c>
      <c r="I462" s="16"/>
      <c r="J4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62" s="22"/>
      <c r="L462" s="23"/>
      <c r="M462" s="23">
        <f>SUM(Tabela174681012142230322681619252731333624210121416182426283038402481012141620222628303234362426810121424610122426244262628262681026286236[[#This Row],[Saldo no cartão]:[Recarga Pendente]])</f>
        <v>0</v>
      </c>
      <c r="N462" s="19">
        <f>Tabela174681012142230322681619252731333624210121416182426283038402481012141620222628303234362426810121424610122426244262628262681026286236[[#This Row],[Uso diário]]*2</f>
        <v>37.6</v>
      </c>
      <c r="O462" s="19">
        <f>Tabela174681012142230322681619252731333624210121416182426283038402481012141620222628303234362426810121424610122426244262628262681026286236[[#This Row],[Total Acumulado]]-P462</f>
        <v>-94</v>
      </c>
      <c r="P462" s="48">
        <f>Tabela174681012142230322681619252731333624210121416182426283038402481012141620222628303234362426810121424610122426244262628262681026286236[[#This Row],[Uso diário]]*5</f>
        <v>94</v>
      </c>
      <c r="Q4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2" s="25">
        <v>4</v>
      </c>
    </row>
    <row r="463" spans="1:20" s="26" customFormat="1" x14ac:dyDescent="0.25">
      <c r="A463" s="16">
        <v>233222</v>
      </c>
      <c r="B463" s="30" t="s">
        <v>981</v>
      </c>
      <c r="C463" s="20" t="s">
        <v>636</v>
      </c>
      <c r="D463" s="20" t="s">
        <v>729</v>
      </c>
      <c r="E463" s="20" t="s">
        <v>2446</v>
      </c>
      <c r="F463" s="20" t="s">
        <v>2447</v>
      </c>
      <c r="G463" s="21">
        <v>18.8</v>
      </c>
      <c r="H463" s="16">
        <v>22</v>
      </c>
      <c r="I463" s="16">
        <v>3</v>
      </c>
      <c r="J4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463" s="22"/>
      <c r="L463" s="23"/>
      <c r="M463" s="23">
        <f>SUM(Tabela174681012142230322681619252731333624210121416182426283038402481012141620222628303234362426810121424610122426244262628262681026286236[[#This Row],[Saldo no cartão]:[Recarga Pendente]])</f>
        <v>0</v>
      </c>
      <c r="N463" s="19">
        <f>Tabela174681012142230322681619252731333624210121416182426283038402481012141620222628303234362426810121424610122426244262628262681026286236[[#This Row],[Uso diário]]*2</f>
        <v>37.6</v>
      </c>
      <c r="O463" s="19">
        <f>Tabela174681012142230322681619252731333624210121416182426283038402481012141620222628303234362426810121424610122426244262628262681026286236[[#This Row],[Total Acumulado]]-P463</f>
        <v>-94</v>
      </c>
      <c r="P463" s="48">
        <f>Tabela174681012142230322681619252731333624210121416182426283038402481012141620222628303234362426810121424610122426244262628262681026286236[[#This Row],[Uso diário]]*5</f>
        <v>94</v>
      </c>
      <c r="Q4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4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3" s="25">
        <v>4</v>
      </c>
    </row>
    <row r="464" spans="1:20" s="26" customFormat="1" x14ac:dyDescent="0.25">
      <c r="A464" s="16">
        <v>233224</v>
      </c>
      <c r="B464" s="30" t="s">
        <v>982</v>
      </c>
      <c r="C464" s="20" t="s">
        <v>636</v>
      </c>
      <c r="D464" s="20" t="s">
        <v>729</v>
      </c>
      <c r="E464" s="20" t="s">
        <v>2448</v>
      </c>
      <c r="F464" s="20" t="s">
        <v>2449</v>
      </c>
      <c r="G464" s="21">
        <v>13.4</v>
      </c>
      <c r="H464" s="16">
        <v>22</v>
      </c>
      <c r="I464" s="16"/>
      <c r="J4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464" s="22"/>
      <c r="L464" s="23"/>
      <c r="M464" s="23">
        <f>SUM(Tabela174681012142230322681619252731333624210121416182426283038402481012141620222628303234362426810121424610122426244262628262681026286236[[#This Row],[Saldo no cartão]:[Recarga Pendente]])</f>
        <v>0</v>
      </c>
      <c r="N464" s="19">
        <f>Tabela174681012142230322681619252731333624210121416182426283038402481012141620222628303234362426810121424610122426244262628262681026286236[[#This Row],[Uso diário]]*2</f>
        <v>26.8</v>
      </c>
      <c r="O464" s="19">
        <f>Tabela174681012142230322681619252731333624210121416182426283038402481012141620222628303234362426810121424610122426244262628262681026286236[[#This Row],[Total Acumulado]]-P464</f>
        <v>-67</v>
      </c>
      <c r="P464" s="48">
        <f>Tabela174681012142230322681619252731333624210121416182426283038402481012141620222628303234362426810121424610122426244262628262681026286236[[#This Row],[Uso diário]]*5</f>
        <v>67</v>
      </c>
      <c r="Q4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4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4" s="25">
        <v>4</v>
      </c>
    </row>
    <row r="465" spans="1:20" s="26" customFormat="1" x14ac:dyDescent="0.25">
      <c r="A465" s="16">
        <v>234078</v>
      </c>
      <c r="B465" s="30" t="s">
        <v>1174</v>
      </c>
      <c r="C465" s="20" t="s">
        <v>636</v>
      </c>
      <c r="D465" s="20" t="s">
        <v>729</v>
      </c>
      <c r="E465" s="20" t="s">
        <v>2450</v>
      </c>
      <c r="F465" s="20" t="s">
        <v>2451</v>
      </c>
      <c r="G465" s="21">
        <v>6.7</v>
      </c>
      <c r="H465" s="16">
        <v>22</v>
      </c>
      <c r="I465" s="16"/>
      <c r="J4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147.4</v>
      </c>
      <c r="K465" s="22"/>
      <c r="L465" s="23"/>
      <c r="M465" s="23">
        <f>SUM(Tabela174681012142230322681619252731333624210121416182426283038402481012141620222628303234362426810121424610122426244262628262681026286236[[#This Row],[Saldo no cartão]:[Recarga Pendente]])</f>
        <v>0</v>
      </c>
      <c r="N465" s="19">
        <f>Tabela174681012142230322681619252731333624210121416182426283038402481012141620222628303234362426810121424610122426244262628262681026286236[[#This Row],[Uso diário]]*2</f>
        <v>13.4</v>
      </c>
      <c r="O465" s="19">
        <f>Tabela174681012142230322681619252731333624210121416182426283038402481012141620222628303234362426810121424610122426244262628262681026286236[[#This Row],[Total Acumulado]]-P465</f>
        <v>-33.5</v>
      </c>
      <c r="P465" s="48">
        <f>Tabela174681012142230322681619252731333624210121416182426283038402481012141620222628303234362426810121424610122426244262628262681026286236[[#This Row],[Uso diário]]*5</f>
        <v>33.5</v>
      </c>
      <c r="Q4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147.4</v>
      </c>
      <c r="S4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5" s="25">
        <v>4</v>
      </c>
    </row>
    <row r="466" spans="1:20" s="26" customFormat="1" x14ac:dyDescent="0.25">
      <c r="A466" s="16">
        <v>234079</v>
      </c>
      <c r="B466" s="30" t="s">
        <v>1175</v>
      </c>
      <c r="C466" s="20" t="s">
        <v>636</v>
      </c>
      <c r="D466" s="20" t="s">
        <v>729</v>
      </c>
      <c r="E466" s="20" t="s">
        <v>2452</v>
      </c>
      <c r="F466" s="20" t="s">
        <v>2453</v>
      </c>
      <c r="G466" s="21">
        <v>6.7</v>
      </c>
      <c r="H466" s="16">
        <v>22</v>
      </c>
      <c r="I466" s="16">
        <v>1</v>
      </c>
      <c r="J4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140.70000000000002</v>
      </c>
      <c r="K466" s="22"/>
      <c r="L466" s="23"/>
      <c r="M466" s="23">
        <f>SUM(Tabela174681012142230322681619252731333624210121416182426283038402481012141620222628303234362426810121424610122426244262628262681026286236[[#This Row],[Saldo no cartão]:[Recarga Pendente]])</f>
        <v>0</v>
      </c>
      <c r="N466" s="19">
        <f>Tabela174681012142230322681619252731333624210121416182426283038402481012141620222628303234362426810121424610122426244262628262681026286236[[#This Row],[Uso diário]]*2</f>
        <v>13.4</v>
      </c>
      <c r="O466" s="19">
        <f>Tabela174681012142230322681619252731333624210121416182426283038402481012141620222628303234362426810121424610122426244262628262681026286236[[#This Row],[Total Acumulado]]-P466</f>
        <v>-33.5</v>
      </c>
      <c r="P466" s="48">
        <f>Tabela174681012142230322681619252731333624210121416182426283038402481012141620222628303234362426810121424610122426244262628262681026286236[[#This Row],[Uso diário]]*5</f>
        <v>33.5</v>
      </c>
      <c r="Q4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140.70000000000002</v>
      </c>
      <c r="S4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6" s="25">
        <v>4</v>
      </c>
    </row>
    <row r="467" spans="1:20" s="26" customFormat="1" x14ac:dyDescent="0.25">
      <c r="A467" s="16">
        <v>234080</v>
      </c>
      <c r="B467" s="30" t="s">
        <v>1176</v>
      </c>
      <c r="C467" s="20" t="s">
        <v>636</v>
      </c>
      <c r="D467" s="20" t="s">
        <v>729</v>
      </c>
      <c r="E467" s="20" t="s">
        <v>2454</v>
      </c>
      <c r="F467" s="20" t="s">
        <v>2455</v>
      </c>
      <c r="G467" s="21">
        <v>6.7</v>
      </c>
      <c r="H467" s="16">
        <v>22</v>
      </c>
      <c r="I467" s="16">
        <v>1</v>
      </c>
      <c r="J4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140.70000000000002</v>
      </c>
      <c r="K467" s="22"/>
      <c r="L467" s="23"/>
      <c r="M467" s="23">
        <f>SUM(Tabela174681012142230322681619252731333624210121416182426283038402481012141620222628303234362426810121424610122426244262628262681026286236[[#This Row],[Saldo no cartão]:[Recarga Pendente]])</f>
        <v>0</v>
      </c>
      <c r="N467" s="19">
        <f>Tabela174681012142230322681619252731333624210121416182426283038402481012141620222628303234362426810121424610122426244262628262681026286236[[#This Row],[Uso diário]]*2</f>
        <v>13.4</v>
      </c>
      <c r="O467" s="19">
        <f>Tabela174681012142230322681619252731333624210121416182426283038402481012141620222628303234362426810121424610122426244262628262681026286236[[#This Row],[Total Acumulado]]-P467</f>
        <v>-33.5</v>
      </c>
      <c r="P467" s="48">
        <f>Tabela174681012142230322681619252731333624210121416182426283038402481012141620222628303234362426810121424610122426244262628262681026286236[[#This Row],[Uso diário]]*5</f>
        <v>33.5</v>
      </c>
      <c r="Q4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140.70000000000002</v>
      </c>
      <c r="S4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7" s="25">
        <v>4</v>
      </c>
    </row>
    <row r="468" spans="1:20" s="26" customFormat="1" x14ac:dyDescent="0.25">
      <c r="A468" s="16">
        <v>235019</v>
      </c>
      <c r="B468" s="30" t="s">
        <v>1445</v>
      </c>
      <c r="C468" s="20" t="s">
        <v>636</v>
      </c>
      <c r="D468" s="20" t="s">
        <v>729</v>
      </c>
      <c r="E468" s="20" t="s">
        <v>2456</v>
      </c>
      <c r="F468" s="20" t="s">
        <v>2457</v>
      </c>
      <c r="G468" s="21">
        <v>13.4</v>
      </c>
      <c r="H468" s="16">
        <v>22</v>
      </c>
      <c r="I468" s="16"/>
      <c r="J4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468" s="22"/>
      <c r="L468" s="23">
        <v>59.5</v>
      </c>
      <c r="M468" s="23">
        <f>SUM(Tabela174681012142230322681619252731333624210121416182426283038402481012141620222628303234362426810121424610122426244262628262681026286236[[#This Row],[Saldo no cartão]:[Recarga Pendente]])</f>
        <v>59.5</v>
      </c>
      <c r="N468" s="19">
        <f>Tabela174681012142230322681619252731333624210121416182426283038402481012141620222628303234362426810121424610122426244262628262681026286236[[#This Row],[Uso diário]]*2</f>
        <v>26.8</v>
      </c>
      <c r="O468" s="19">
        <f>Tabela174681012142230322681619252731333624210121416182426283038402481012141620222628303234362426810121424610122426244262628262681026286236[[#This Row],[Total Acumulado]]-P468</f>
        <v>-7.5</v>
      </c>
      <c r="P468" s="48">
        <f>Tabela174681012142230322681619252731333624210121416182426283038402481012141620222628303234362426810121424610122426244262628262681026286236[[#This Row],[Uso diário]]*5</f>
        <v>67</v>
      </c>
      <c r="Q4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4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8" s="25">
        <v>4</v>
      </c>
    </row>
    <row r="469" spans="1:20" s="26" customFormat="1" x14ac:dyDescent="0.25">
      <c r="A469" s="16">
        <v>220129</v>
      </c>
      <c r="B469" s="30" t="s">
        <v>1446</v>
      </c>
      <c r="C469" s="20" t="s">
        <v>653</v>
      </c>
      <c r="D469" s="20" t="s">
        <v>714</v>
      </c>
      <c r="E469" s="20" t="s">
        <v>2458</v>
      </c>
      <c r="F469" s="20" t="s">
        <v>2459</v>
      </c>
      <c r="G469" s="21">
        <v>18.8</v>
      </c>
      <c r="H469" s="16">
        <v>26</v>
      </c>
      <c r="I469" s="16">
        <v>6</v>
      </c>
      <c r="J4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469" s="22"/>
      <c r="L469" s="23"/>
      <c r="M469" s="23">
        <f>SUM(Tabela174681012142230322681619252731333624210121416182426283038402481012141620222628303234362426810121424610122426244262628262681026286236[[#This Row],[Saldo no cartão]:[Recarga Pendente]])</f>
        <v>0</v>
      </c>
      <c r="N469" s="19">
        <f>Tabela174681012142230322681619252731333624210121416182426283038402481012141620222628303234362426810121424610122426244262628262681026286236[[#This Row],[Uso diário]]*2</f>
        <v>37.6</v>
      </c>
      <c r="O469" s="19">
        <f>Tabela174681012142230322681619252731333624210121416182426283038402481012141620222628303234362426810121424610122426244262628262681026286236[[#This Row],[Total Acumulado]]-P469</f>
        <v>-94</v>
      </c>
      <c r="P469" s="48">
        <f>Tabela174681012142230322681619252731333624210121416182426283038402481012141620222628303234362426810121424610122426244262628262681026286236[[#This Row],[Uso diário]]*5</f>
        <v>94</v>
      </c>
      <c r="Q4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4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69" s="25">
        <v>4</v>
      </c>
    </row>
    <row r="470" spans="1:20" s="26" customFormat="1" x14ac:dyDescent="0.25">
      <c r="A470" s="16">
        <v>225669</v>
      </c>
      <c r="B470" s="30" t="s">
        <v>240</v>
      </c>
      <c r="C470" s="20" t="s">
        <v>653</v>
      </c>
      <c r="D470" s="20" t="s">
        <v>714</v>
      </c>
      <c r="E470" s="20" t="s">
        <v>2460</v>
      </c>
      <c r="F470" s="20" t="s">
        <v>2461</v>
      </c>
      <c r="G470" s="21">
        <v>13.4</v>
      </c>
      <c r="H470" s="16">
        <v>26</v>
      </c>
      <c r="I470" s="16">
        <v>1</v>
      </c>
      <c r="J4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470" s="22"/>
      <c r="L470" s="23"/>
      <c r="M470" s="23">
        <f>SUM(Tabela174681012142230322681619252731333624210121416182426283038402481012141620222628303234362426810121424610122426244262628262681026286236[[#This Row],[Saldo no cartão]:[Recarga Pendente]])</f>
        <v>0</v>
      </c>
      <c r="N470" s="19">
        <f>Tabela174681012142230322681619252731333624210121416182426283038402481012141620222628303234362426810121424610122426244262628262681026286236[[#This Row],[Uso diário]]*2</f>
        <v>26.8</v>
      </c>
      <c r="O470" s="19">
        <f>Tabela174681012142230322681619252731333624210121416182426283038402481012141620222628303234362426810121424610122426244262628262681026286236[[#This Row],[Total Acumulado]]-P470</f>
        <v>-67</v>
      </c>
      <c r="P470" s="48">
        <f>Tabela174681012142230322681619252731333624210121416182426283038402481012141620222628303234362426810121424610122426244262628262681026286236[[#This Row],[Uso diário]]*5</f>
        <v>67</v>
      </c>
      <c r="Q4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4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0" s="25">
        <v>4</v>
      </c>
    </row>
    <row r="471" spans="1:20" s="26" customFormat="1" x14ac:dyDescent="0.25">
      <c r="A471" s="16">
        <v>229464</v>
      </c>
      <c r="B471" s="30" t="s">
        <v>1177</v>
      </c>
      <c r="C471" s="20" t="s">
        <v>653</v>
      </c>
      <c r="D471" s="20" t="s">
        <v>714</v>
      </c>
      <c r="E471" s="20" t="s">
        <v>2462</v>
      </c>
      <c r="F471" s="20" t="s">
        <v>2463</v>
      </c>
      <c r="G471" s="21">
        <v>13.4</v>
      </c>
      <c r="H471" s="16">
        <v>26</v>
      </c>
      <c r="I471" s="16">
        <v>1</v>
      </c>
      <c r="J4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471" s="22"/>
      <c r="L471" s="23"/>
      <c r="M471" s="23">
        <f>SUM(Tabela174681012142230322681619252731333624210121416182426283038402481012141620222628303234362426810121424610122426244262628262681026286236[[#This Row],[Saldo no cartão]:[Recarga Pendente]])</f>
        <v>0</v>
      </c>
      <c r="N471" s="19">
        <f>Tabela174681012142230322681619252731333624210121416182426283038402481012141620222628303234362426810121424610122426244262628262681026286236[[#This Row],[Uso diário]]*2</f>
        <v>26.8</v>
      </c>
      <c r="O471" s="19">
        <f>Tabela174681012142230322681619252731333624210121416182426283038402481012141620222628303234362426810121424610122426244262628262681026286236[[#This Row],[Total Acumulado]]-P471</f>
        <v>-67</v>
      </c>
      <c r="P471" s="48">
        <f>Tabela174681012142230322681619252731333624210121416182426283038402481012141620222628303234362426810121424610122426244262628262681026286236[[#This Row],[Uso diário]]*5</f>
        <v>67</v>
      </c>
      <c r="Q4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4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1" s="25">
        <v>4</v>
      </c>
    </row>
    <row r="472" spans="1:20" s="26" customFormat="1" x14ac:dyDescent="0.25">
      <c r="A472" s="16">
        <v>229550</v>
      </c>
      <c r="B472" s="30" t="s">
        <v>1062</v>
      </c>
      <c r="C472" s="20" t="s">
        <v>653</v>
      </c>
      <c r="D472" s="20" t="s">
        <v>714</v>
      </c>
      <c r="E472" s="20" t="s">
        <v>2464</v>
      </c>
      <c r="F472" s="20" t="s">
        <v>2465</v>
      </c>
      <c r="G472" s="21">
        <v>13.4</v>
      </c>
      <c r="H472" s="16">
        <v>26</v>
      </c>
      <c r="I472" s="16">
        <v>1</v>
      </c>
      <c r="J4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472" s="22"/>
      <c r="L472" s="23"/>
      <c r="M472" s="23">
        <f>SUM(Tabela174681012142230322681619252731333624210121416182426283038402481012141620222628303234362426810121424610122426244262628262681026286236[[#This Row],[Saldo no cartão]:[Recarga Pendente]])</f>
        <v>0</v>
      </c>
      <c r="N472" s="19">
        <f>Tabela174681012142230322681619252731333624210121416182426283038402481012141620222628303234362426810121424610122426244262628262681026286236[[#This Row],[Uso diário]]*2</f>
        <v>26.8</v>
      </c>
      <c r="O472" s="19">
        <f>Tabela174681012142230322681619252731333624210121416182426283038402481012141620222628303234362426810121424610122426244262628262681026286236[[#This Row],[Total Acumulado]]-P472</f>
        <v>-67</v>
      </c>
      <c r="P472" s="48">
        <f>Tabela174681012142230322681619252731333624210121416182426283038402481012141620222628303234362426810121424610122426244262628262681026286236[[#This Row],[Uso diário]]*5</f>
        <v>67</v>
      </c>
      <c r="Q4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4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2" s="25">
        <v>4</v>
      </c>
    </row>
    <row r="473" spans="1:20" s="26" customFormat="1" x14ac:dyDescent="0.25">
      <c r="A473" s="16">
        <v>230862</v>
      </c>
      <c r="B473" s="30" t="s">
        <v>594</v>
      </c>
      <c r="C473" s="20" t="s">
        <v>653</v>
      </c>
      <c r="D473" s="20" t="s">
        <v>714</v>
      </c>
      <c r="E473" s="20" t="s">
        <v>2466</v>
      </c>
      <c r="F473" s="20" t="s">
        <v>2467</v>
      </c>
      <c r="G473" s="21">
        <v>18.8</v>
      </c>
      <c r="H473" s="16">
        <v>26</v>
      </c>
      <c r="I473" s="16">
        <v>4</v>
      </c>
      <c r="J4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473" s="22"/>
      <c r="L473" s="23"/>
      <c r="M473" s="23">
        <f>SUM(Tabela174681012142230322681619252731333624210121416182426283038402481012141620222628303234362426810121424610122426244262628262681026286236[[#This Row],[Saldo no cartão]:[Recarga Pendente]])</f>
        <v>0</v>
      </c>
      <c r="N473" s="19">
        <f>Tabela174681012142230322681619252731333624210121416182426283038402481012141620222628303234362426810121424610122426244262628262681026286236[[#This Row],[Uso diário]]*2</f>
        <v>37.6</v>
      </c>
      <c r="O473" s="19">
        <f>Tabela174681012142230322681619252731333624210121416182426283038402481012141620222628303234362426810121424610122426244262628262681026286236[[#This Row],[Total Acumulado]]-P473</f>
        <v>-94</v>
      </c>
      <c r="P473" s="48">
        <f>Tabela174681012142230322681619252731333624210121416182426283038402481012141620222628303234362426810121424610122426244262628262681026286236[[#This Row],[Uso diário]]*5</f>
        <v>94</v>
      </c>
      <c r="Q4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4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3" s="25">
        <v>4</v>
      </c>
    </row>
    <row r="474" spans="1:20" s="26" customFormat="1" x14ac:dyDescent="0.25">
      <c r="A474" s="16">
        <v>232271</v>
      </c>
      <c r="B474" s="30" t="s">
        <v>884</v>
      </c>
      <c r="C474" s="20" t="s">
        <v>653</v>
      </c>
      <c r="D474" s="20" t="s">
        <v>714</v>
      </c>
      <c r="E474" s="20" t="s">
        <v>2468</v>
      </c>
      <c r="F474" s="20" t="s">
        <v>2469</v>
      </c>
      <c r="G474" s="21">
        <v>14.2</v>
      </c>
      <c r="H474" s="16">
        <v>26</v>
      </c>
      <c r="I474" s="16"/>
      <c r="J4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474" s="22"/>
      <c r="L474" s="23"/>
      <c r="M474" s="23">
        <f>SUM(Tabela174681012142230322681619252731333624210121416182426283038402481012141620222628303234362426810121424610122426244262628262681026286236[[#This Row],[Saldo no cartão]:[Recarga Pendente]])</f>
        <v>0</v>
      </c>
      <c r="N474" s="19">
        <f>Tabela174681012142230322681619252731333624210121416182426283038402481012141620222628303234362426810121424610122426244262628262681026286236[[#This Row],[Uso diário]]*2</f>
        <v>28.4</v>
      </c>
      <c r="O474" s="19">
        <f>Tabela174681012142230322681619252731333624210121416182426283038402481012141620222628303234362426810121424610122426244262628262681026286236[[#This Row],[Total Acumulado]]-P474</f>
        <v>-71</v>
      </c>
      <c r="P474" s="48">
        <f>Tabela174681012142230322681619252731333624210121416182426283038402481012141620222628303234362426810121424610122426244262628262681026286236[[#This Row],[Uso diário]]*5</f>
        <v>71</v>
      </c>
      <c r="Q4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4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4" s="25">
        <v>4</v>
      </c>
    </row>
    <row r="475" spans="1:20" s="26" customFormat="1" x14ac:dyDescent="0.25">
      <c r="A475" s="16">
        <v>232973</v>
      </c>
      <c r="B475" s="30" t="s">
        <v>983</v>
      </c>
      <c r="C475" s="20" t="s">
        <v>653</v>
      </c>
      <c r="D475" s="20" t="s">
        <v>714</v>
      </c>
      <c r="E475" s="20" t="s">
        <v>2470</v>
      </c>
      <c r="F475" s="20" t="s">
        <v>2471</v>
      </c>
      <c r="G475" s="21">
        <v>13.4</v>
      </c>
      <c r="H475" s="16">
        <v>26</v>
      </c>
      <c r="I475" s="16"/>
      <c r="J4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475" s="22"/>
      <c r="L475" s="23"/>
      <c r="M475" s="23">
        <f>SUM(Tabela174681012142230322681619252731333624210121416182426283038402481012141620222628303234362426810121424610122426244262628262681026286236[[#This Row],[Saldo no cartão]:[Recarga Pendente]])</f>
        <v>0</v>
      </c>
      <c r="N475" s="19">
        <f>Tabela174681012142230322681619252731333624210121416182426283038402481012141620222628303234362426810121424610122426244262628262681026286236[[#This Row],[Uso diário]]*2</f>
        <v>26.8</v>
      </c>
      <c r="O475" s="19">
        <f>Tabela174681012142230322681619252731333624210121416182426283038402481012141620222628303234362426810121424610122426244262628262681026286236[[#This Row],[Total Acumulado]]-P475</f>
        <v>-67</v>
      </c>
      <c r="P475" s="48">
        <f>Tabela174681012142230322681619252731333624210121416182426283038402481012141620222628303234362426810121424610122426244262628262681026286236[[#This Row],[Uso diário]]*5</f>
        <v>67</v>
      </c>
      <c r="Q4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4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5" s="25">
        <v>4</v>
      </c>
    </row>
    <row r="476" spans="1:20" s="26" customFormat="1" x14ac:dyDescent="0.25">
      <c r="A476" s="16">
        <v>218881</v>
      </c>
      <c r="B476" s="30" t="s">
        <v>241</v>
      </c>
      <c r="C476" s="20" t="s">
        <v>656</v>
      </c>
      <c r="D476" s="20" t="s">
        <v>740</v>
      </c>
      <c r="E476" s="20" t="s">
        <v>2472</v>
      </c>
      <c r="F476" s="20" t="s">
        <v>2473</v>
      </c>
      <c r="G476" s="21">
        <v>18.8</v>
      </c>
      <c r="H476" s="16">
        <v>29</v>
      </c>
      <c r="I476" s="16"/>
      <c r="J4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545.20000000000005</v>
      </c>
      <c r="K476" s="22"/>
      <c r="L476" s="23"/>
      <c r="M476" s="23">
        <f>SUM(Tabela174681012142230322681619252731333624210121416182426283038402481012141620222628303234362426810121424610122426244262628262681026286236[[#This Row],[Saldo no cartão]:[Recarga Pendente]])</f>
        <v>0</v>
      </c>
      <c r="N476" s="19">
        <f>Tabela174681012142230322681619252731333624210121416182426283038402481012141620222628303234362426810121424610122426244262628262681026286236[[#This Row],[Uso diário]]*2</f>
        <v>37.6</v>
      </c>
      <c r="O476" s="19">
        <f>Tabela174681012142230322681619252731333624210121416182426283038402481012141620222628303234362426810121424610122426244262628262681026286236[[#This Row],[Total Acumulado]]-P476</f>
        <v>-94</v>
      </c>
      <c r="P476" s="48">
        <f>Tabela174681012142230322681619252731333624210121416182426283038402481012141620222628303234362426810121424610122426244262628262681026286236[[#This Row],[Uso diário]]*5</f>
        <v>94</v>
      </c>
      <c r="Q4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545.20000000000005</v>
      </c>
      <c r="S4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6" s="25">
        <v>4</v>
      </c>
    </row>
    <row r="477" spans="1:20" s="26" customFormat="1" x14ac:dyDescent="0.25">
      <c r="A477" s="16">
        <v>209654</v>
      </c>
      <c r="B477" s="30" t="s">
        <v>242</v>
      </c>
      <c r="C477" s="20" t="s">
        <v>654</v>
      </c>
      <c r="D477" s="20" t="s">
        <v>715</v>
      </c>
      <c r="E477" s="20" t="s">
        <v>2474</v>
      </c>
      <c r="F477" s="20" t="s">
        <v>2475</v>
      </c>
      <c r="G477" s="21">
        <v>18.8</v>
      </c>
      <c r="H477" s="16">
        <v>26</v>
      </c>
      <c r="I477" s="16"/>
      <c r="J4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77" s="22"/>
      <c r="L477" s="23"/>
      <c r="M477" s="23">
        <f>SUM(Tabela174681012142230322681619252731333624210121416182426283038402481012141620222628303234362426810121424610122426244262628262681026286236[[#This Row],[Saldo no cartão]:[Recarga Pendente]])</f>
        <v>0</v>
      </c>
      <c r="N477" s="19">
        <f>Tabela174681012142230322681619252731333624210121416182426283038402481012141620222628303234362426810121424610122426244262628262681026286236[[#This Row],[Uso diário]]*2</f>
        <v>37.6</v>
      </c>
      <c r="O477" s="19">
        <f>Tabela174681012142230322681619252731333624210121416182426283038402481012141620222628303234362426810121424610122426244262628262681026286236[[#This Row],[Total Acumulado]]-P477</f>
        <v>-94</v>
      </c>
      <c r="P477" s="48">
        <f>Tabela174681012142230322681619252731333624210121416182426283038402481012141620222628303234362426810121424610122426244262628262681026286236[[#This Row],[Uso diário]]*5</f>
        <v>94</v>
      </c>
      <c r="Q4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7" s="25">
        <v>4</v>
      </c>
    </row>
    <row r="478" spans="1:20" s="26" customFormat="1" x14ac:dyDescent="0.25">
      <c r="A478" s="16">
        <v>214093</v>
      </c>
      <c r="B478" s="30" t="s">
        <v>243</v>
      </c>
      <c r="C478" s="20" t="s">
        <v>654</v>
      </c>
      <c r="D478" s="20" t="s">
        <v>731</v>
      </c>
      <c r="E478" s="20" t="s">
        <v>2476</v>
      </c>
      <c r="F478" s="20" t="s">
        <v>2477</v>
      </c>
      <c r="G478" s="21">
        <v>18.8</v>
      </c>
      <c r="H478" s="16">
        <v>26</v>
      </c>
      <c r="I478" s="16"/>
      <c r="J4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78" s="22"/>
      <c r="L478" s="23">
        <v>93.9</v>
      </c>
      <c r="M478" s="23">
        <f>SUM(Tabela174681012142230322681619252731333624210121416182426283038402481012141620222628303234362426810121424610122426244262628262681026286236[[#This Row],[Saldo no cartão]:[Recarga Pendente]])</f>
        <v>93.9</v>
      </c>
      <c r="N478" s="19">
        <f>Tabela174681012142230322681619252731333624210121416182426283038402481012141620222628303234362426810121424610122426244262628262681026286236[[#This Row],[Uso diário]]*2</f>
        <v>37.6</v>
      </c>
      <c r="O478" s="19">
        <f>Tabela174681012142230322681619252731333624210121416182426283038402481012141620222628303234362426810121424610122426244262628262681026286236[[#This Row],[Total Acumulado]]-P478</f>
        <v>-9.9999999999994316E-2</v>
      </c>
      <c r="P478" s="48">
        <f>Tabela174681012142230322681619252731333624210121416182426283038402481012141620222628303234362426810121424610122426244262628262681026286236[[#This Row],[Uso diário]]*5</f>
        <v>94</v>
      </c>
      <c r="Q4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8" s="25">
        <v>4</v>
      </c>
    </row>
    <row r="479" spans="1:20" s="26" customFormat="1" x14ac:dyDescent="0.25">
      <c r="A479" s="16">
        <v>214588</v>
      </c>
      <c r="B479" s="30" t="s">
        <v>244</v>
      </c>
      <c r="C479" s="20" t="s">
        <v>654</v>
      </c>
      <c r="D479" s="20" t="s">
        <v>731</v>
      </c>
      <c r="E479" s="20" t="s">
        <v>2478</v>
      </c>
      <c r="F479" s="20" t="s">
        <v>2479</v>
      </c>
      <c r="G479" s="21">
        <v>18.8</v>
      </c>
      <c r="H479" s="16">
        <v>26</v>
      </c>
      <c r="I479" s="16">
        <v>1</v>
      </c>
      <c r="J4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479" s="22"/>
      <c r="L479" s="23">
        <v>18.8</v>
      </c>
      <c r="M479" s="23">
        <f>SUM(Tabela174681012142230322681619252731333624210121416182426283038402481012141620222628303234362426810121424610122426244262628262681026286236[[#This Row],[Saldo no cartão]:[Recarga Pendente]])</f>
        <v>18.8</v>
      </c>
      <c r="N479" s="19">
        <f>Tabela174681012142230322681619252731333624210121416182426283038402481012141620222628303234362426810121424610122426244262628262681026286236[[#This Row],[Uso diário]]*2</f>
        <v>37.6</v>
      </c>
      <c r="O479" s="19">
        <f>Tabela174681012142230322681619252731333624210121416182426283038402481012141620222628303234362426810121424610122426244262628262681026286236[[#This Row],[Total Acumulado]]-P479</f>
        <v>-75.2</v>
      </c>
      <c r="P479" s="48">
        <f>Tabela174681012142230322681619252731333624210121416182426283038402481012141620222628303234362426810121424610122426244262628262681026286236[[#This Row],[Uso diário]]*5</f>
        <v>94</v>
      </c>
      <c r="Q4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4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79" s="25">
        <v>4</v>
      </c>
    </row>
    <row r="480" spans="1:20" s="26" customFormat="1" x14ac:dyDescent="0.25">
      <c r="A480" s="16">
        <v>216262</v>
      </c>
      <c r="B480" s="30" t="s">
        <v>245</v>
      </c>
      <c r="C480" s="20" t="s">
        <v>654</v>
      </c>
      <c r="D480" s="20" t="s">
        <v>715</v>
      </c>
      <c r="E480" s="20" t="s">
        <v>2480</v>
      </c>
      <c r="F480" s="20" t="s">
        <v>2481</v>
      </c>
      <c r="G480" s="21">
        <v>13.4</v>
      </c>
      <c r="H480" s="16">
        <v>26</v>
      </c>
      <c r="I480" s="16"/>
      <c r="J4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480" s="22"/>
      <c r="L480" s="23"/>
      <c r="M480" s="23">
        <f>SUM(Tabela174681012142230322681619252731333624210121416182426283038402481012141620222628303234362426810121424610122426244262628262681026286236[[#This Row],[Saldo no cartão]:[Recarga Pendente]])</f>
        <v>0</v>
      </c>
      <c r="N480" s="19">
        <f>Tabela174681012142230322681619252731333624210121416182426283038402481012141620222628303234362426810121424610122426244262628262681026286236[[#This Row],[Uso diário]]*2</f>
        <v>26.8</v>
      </c>
      <c r="O480" s="19">
        <f>Tabela174681012142230322681619252731333624210121416182426283038402481012141620222628303234362426810121424610122426244262628262681026286236[[#This Row],[Total Acumulado]]-P480</f>
        <v>-67</v>
      </c>
      <c r="P480" s="48">
        <f>Tabela174681012142230322681619252731333624210121416182426283038402481012141620222628303234362426810121424610122426244262628262681026286236[[#This Row],[Uso diário]]*5</f>
        <v>67</v>
      </c>
      <c r="Q4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4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0" s="25">
        <v>4</v>
      </c>
    </row>
    <row r="481" spans="1:20" s="26" customFormat="1" x14ac:dyDescent="0.25">
      <c r="A481" s="16">
        <v>218568</v>
      </c>
      <c r="B481" s="30" t="s">
        <v>246</v>
      </c>
      <c r="C481" s="20" t="s">
        <v>654</v>
      </c>
      <c r="D481" s="20" t="s">
        <v>715</v>
      </c>
      <c r="E481" s="20" t="s">
        <v>2482</v>
      </c>
      <c r="F481" s="20" t="s">
        <v>2483</v>
      </c>
      <c r="G481" s="21">
        <v>18.8</v>
      </c>
      <c r="H481" s="16">
        <v>26</v>
      </c>
      <c r="I481" s="16"/>
      <c r="J4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81" s="22"/>
      <c r="L481" s="23"/>
      <c r="M481" s="23">
        <f>SUM(Tabela174681012142230322681619252731333624210121416182426283038402481012141620222628303234362426810121424610122426244262628262681026286236[[#This Row],[Saldo no cartão]:[Recarga Pendente]])</f>
        <v>0</v>
      </c>
      <c r="N481" s="19">
        <f>Tabela174681012142230322681619252731333624210121416182426283038402481012141620222628303234362426810121424610122426244262628262681026286236[[#This Row],[Uso diário]]*2</f>
        <v>37.6</v>
      </c>
      <c r="O481" s="19">
        <f>Tabela174681012142230322681619252731333624210121416182426283038402481012141620222628303234362426810121424610122426244262628262681026286236[[#This Row],[Total Acumulado]]-P481</f>
        <v>-94</v>
      </c>
      <c r="P481" s="48">
        <f>Tabela174681012142230322681619252731333624210121416182426283038402481012141620222628303234362426810121424610122426244262628262681026286236[[#This Row],[Uso diário]]*5</f>
        <v>94</v>
      </c>
      <c r="Q4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1" s="25">
        <v>4</v>
      </c>
    </row>
    <row r="482" spans="1:20" s="26" customFormat="1" x14ac:dyDescent="0.25">
      <c r="A482" s="16">
        <v>220800</v>
      </c>
      <c r="B482" s="30" t="s">
        <v>247</v>
      </c>
      <c r="C482" s="20" t="s">
        <v>654</v>
      </c>
      <c r="D482" s="20" t="s">
        <v>715</v>
      </c>
      <c r="E482" s="20" t="s">
        <v>2484</v>
      </c>
      <c r="F482" s="20" t="s">
        <v>2485</v>
      </c>
      <c r="G482" s="21">
        <v>13.4</v>
      </c>
      <c r="H482" s="16">
        <v>26</v>
      </c>
      <c r="I482" s="16">
        <v>1</v>
      </c>
      <c r="J4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482" s="22"/>
      <c r="L482" s="23"/>
      <c r="M482" s="23">
        <f>SUM(Tabela174681012142230322681619252731333624210121416182426283038402481012141620222628303234362426810121424610122426244262628262681026286236[[#This Row],[Saldo no cartão]:[Recarga Pendente]])</f>
        <v>0</v>
      </c>
      <c r="N482" s="19">
        <f>Tabela174681012142230322681619252731333624210121416182426283038402481012141620222628303234362426810121424610122426244262628262681026286236[[#This Row],[Uso diário]]*2</f>
        <v>26.8</v>
      </c>
      <c r="O482" s="19">
        <f>Tabela174681012142230322681619252731333624210121416182426283038402481012141620222628303234362426810121424610122426244262628262681026286236[[#This Row],[Total Acumulado]]-P482</f>
        <v>-67</v>
      </c>
      <c r="P482" s="48">
        <f>Tabela174681012142230322681619252731333624210121416182426283038402481012141620222628303234362426810121424610122426244262628262681026286236[[#This Row],[Uso diário]]*5</f>
        <v>67</v>
      </c>
      <c r="Q4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4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2" s="25">
        <v>4</v>
      </c>
    </row>
    <row r="483" spans="1:20" s="26" customFormat="1" x14ac:dyDescent="0.25">
      <c r="A483" s="16">
        <v>221474</v>
      </c>
      <c r="B483" s="30" t="s">
        <v>204</v>
      </c>
      <c r="C483" s="20" t="s">
        <v>654</v>
      </c>
      <c r="D483" s="20" t="s">
        <v>715</v>
      </c>
      <c r="E483" s="20" t="s">
        <v>2486</v>
      </c>
      <c r="F483" s="20" t="s">
        <v>2487</v>
      </c>
      <c r="G483" s="21">
        <v>13.4</v>
      </c>
      <c r="H483" s="16">
        <v>26</v>
      </c>
      <c r="I483" s="16">
        <v>4</v>
      </c>
      <c r="J4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483" s="22"/>
      <c r="L483" s="23"/>
      <c r="M483" s="23">
        <f>SUM(Tabela174681012142230322681619252731333624210121416182426283038402481012141620222628303234362426810121424610122426244262628262681026286236[[#This Row],[Saldo no cartão]:[Recarga Pendente]])</f>
        <v>0</v>
      </c>
      <c r="N483" s="19">
        <f>Tabela174681012142230322681619252731333624210121416182426283038402481012141620222628303234362426810121424610122426244262628262681026286236[[#This Row],[Uso diário]]*2</f>
        <v>26.8</v>
      </c>
      <c r="O483" s="19">
        <f>Tabela174681012142230322681619252731333624210121416182426283038402481012141620222628303234362426810121424610122426244262628262681026286236[[#This Row],[Total Acumulado]]-P483</f>
        <v>-67</v>
      </c>
      <c r="P483" s="48">
        <f>Tabela174681012142230322681619252731333624210121416182426283038402481012141620222628303234362426810121424610122426244262628262681026286236[[#This Row],[Uso diário]]*5</f>
        <v>67</v>
      </c>
      <c r="Q4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4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3" s="25">
        <v>4</v>
      </c>
    </row>
    <row r="484" spans="1:20" s="26" customFormat="1" x14ac:dyDescent="0.25">
      <c r="A484" s="16">
        <v>226681</v>
      </c>
      <c r="B484" s="30" t="s">
        <v>249</v>
      </c>
      <c r="C484" s="20" t="s">
        <v>654</v>
      </c>
      <c r="D484" s="20" t="s">
        <v>715</v>
      </c>
      <c r="E484" s="20" t="s">
        <v>2488</v>
      </c>
      <c r="F484" s="20" t="s">
        <v>2489</v>
      </c>
      <c r="G484" s="21">
        <v>13.4</v>
      </c>
      <c r="H484" s="16">
        <v>26</v>
      </c>
      <c r="I484" s="16"/>
      <c r="J4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484" s="22"/>
      <c r="L484" s="23"/>
      <c r="M484" s="23">
        <f>SUM(Tabela174681012142230322681619252731333624210121416182426283038402481012141620222628303234362426810121424610122426244262628262681026286236[[#This Row],[Saldo no cartão]:[Recarga Pendente]])</f>
        <v>0</v>
      </c>
      <c r="N484" s="19">
        <f>Tabela174681012142230322681619252731333624210121416182426283038402481012141620222628303234362426810121424610122426244262628262681026286236[[#This Row],[Uso diário]]*2</f>
        <v>26.8</v>
      </c>
      <c r="O484" s="19">
        <f>Tabela174681012142230322681619252731333624210121416182426283038402481012141620222628303234362426810121424610122426244262628262681026286236[[#This Row],[Total Acumulado]]-P484</f>
        <v>-67</v>
      </c>
      <c r="P484" s="48">
        <f>Tabela174681012142230322681619252731333624210121416182426283038402481012141620222628303234362426810121424610122426244262628262681026286236[[#This Row],[Uso diário]]*5</f>
        <v>67</v>
      </c>
      <c r="Q4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4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4" s="25">
        <v>4</v>
      </c>
    </row>
    <row r="485" spans="1:20" s="26" customFormat="1" x14ac:dyDescent="0.25">
      <c r="A485" s="16">
        <v>228130</v>
      </c>
      <c r="B485" s="30" t="s">
        <v>250</v>
      </c>
      <c r="C485" s="20" t="s">
        <v>654</v>
      </c>
      <c r="D485" s="20" t="s">
        <v>715</v>
      </c>
      <c r="E485" s="20" t="s">
        <v>2490</v>
      </c>
      <c r="F485" s="20" t="s">
        <v>2491</v>
      </c>
      <c r="G485" s="21">
        <v>18.8</v>
      </c>
      <c r="H485" s="16">
        <v>26</v>
      </c>
      <c r="I485" s="16">
        <v>1</v>
      </c>
      <c r="J4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485" s="22"/>
      <c r="L485" s="23"/>
      <c r="M485" s="23">
        <f>SUM(Tabela174681012142230322681619252731333624210121416182426283038402481012141620222628303234362426810121424610122426244262628262681026286236[[#This Row],[Saldo no cartão]:[Recarga Pendente]])</f>
        <v>0</v>
      </c>
      <c r="N485" s="19">
        <f>Tabela174681012142230322681619252731333624210121416182426283038402481012141620222628303234362426810121424610122426244262628262681026286236[[#This Row],[Uso diário]]*2</f>
        <v>37.6</v>
      </c>
      <c r="O485" s="19">
        <f>Tabela174681012142230322681619252731333624210121416182426283038402481012141620222628303234362426810121424610122426244262628262681026286236[[#This Row],[Total Acumulado]]-P485</f>
        <v>-94</v>
      </c>
      <c r="P485" s="48">
        <f>Tabela174681012142230322681619252731333624210121416182426283038402481012141620222628303234362426810121424610122426244262628262681026286236[[#This Row],[Uso diário]]*5</f>
        <v>94</v>
      </c>
      <c r="Q4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4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5" s="25">
        <v>4</v>
      </c>
    </row>
    <row r="486" spans="1:20" s="26" customFormat="1" x14ac:dyDescent="0.25">
      <c r="A486" s="16">
        <v>229752</v>
      </c>
      <c r="B486" s="30" t="s">
        <v>251</v>
      </c>
      <c r="C486" s="20" t="s">
        <v>654</v>
      </c>
      <c r="D486" s="20" t="s">
        <v>715</v>
      </c>
      <c r="E486" s="20" t="s">
        <v>2492</v>
      </c>
      <c r="F486" s="20" t="s">
        <v>2493</v>
      </c>
      <c r="G486" s="21">
        <v>13.4</v>
      </c>
      <c r="H486" s="16">
        <v>26</v>
      </c>
      <c r="I486" s="16">
        <v>1</v>
      </c>
      <c r="J4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486" s="22"/>
      <c r="L486" s="23"/>
      <c r="M486" s="23">
        <f>SUM(Tabela174681012142230322681619252731333624210121416182426283038402481012141620222628303234362426810121424610122426244262628262681026286236[[#This Row],[Saldo no cartão]:[Recarga Pendente]])</f>
        <v>0</v>
      </c>
      <c r="N486" s="19">
        <f>Tabela174681012142230322681619252731333624210121416182426283038402481012141620222628303234362426810121424610122426244262628262681026286236[[#This Row],[Uso diário]]*2</f>
        <v>26.8</v>
      </c>
      <c r="O486" s="19">
        <f>Tabela174681012142230322681619252731333624210121416182426283038402481012141620222628303234362426810121424610122426244262628262681026286236[[#This Row],[Total Acumulado]]-P486</f>
        <v>-67</v>
      </c>
      <c r="P486" s="48">
        <f>Tabela174681012142230322681619252731333624210121416182426283038402481012141620222628303234362426810121424610122426244262628262681026286236[[#This Row],[Uso diário]]*5</f>
        <v>67</v>
      </c>
      <c r="Q4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4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6" s="25">
        <v>4</v>
      </c>
    </row>
    <row r="487" spans="1:20" s="26" customFormat="1" x14ac:dyDescent="0.25">
      <c r="A487" s="16">
        <v>230627</v>
      </c>
      <c r="B487" s="30" t="s">
        <v>252</v>
      </c>
      <c r="C487" s="20" t="s">
        <v>654</v>
      </c>
      <c r="D487" s="20" t="s">
        <v>715</v>
      </c>
      <c r="E487" s="20" t="s">
        <v>2494</v>
      </c>
      <c r="F487" s="20" t="s">
        <v>2495</v>
      </c>
      <c r="G487" s="21">
        <v>18.8</v>
      </c>
      <c r="H487" s="16">
        <v>26</v>
      </c>
      <c r="I487" s="16"/>
      <c r="J4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87" s="22"/>
      <c r="L487" s="23"/>
      <c r="M487" s="23">
        <f>SUM(Tabela174681012142230322681619252731333624210121416182426283038402481012141620222628303234362426810121424610122426244262628262681026286236[[#This Row],[Saldo no cartão]:[Recarga Pendente]])</f>
        <v>0</v>
      </c>
      <c r="N487" s="19">
        <f>Tabela174681012142230322681619252731333624210121416182426283038402481012141620222628303234362426810121424610122426244262628262681026286236[[#This Row],[Uso diário]]*2</f>
        <v>37.6</v>
      </c>
      <c r="O487" s="19">
        <f>Tabela174681012142230322681619252731333624210121416182426283038402481012141620222628303234362426810121424610122426244262628262681026286236[[#This Row],[Total Acumulado]]-P487</f>
        <v>-94</v>
      </c>
      <c r="P487" s="48">
        <f>Tabela174681012142230322681619252731333624210121416182426283038402481012141620222628303234362426810121424610122426244262628262681026286236[[#This Row],[Uso diário]]*5</f>
        <v>94</v>
      </c>
      <c r="Q4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7" s="25">
        <v>4</v>
      </c>
    </row>
    <row r="488" spans="1:20" s="26" customFormat="1" x14ac:dyDescent="0.25">
      <c r="A488" s="16">
        <v>230952</v>
      </c>
      <c r="B488" s="30" t="s">
        <v>1178</v>
      </c>
      <c r="C488" s="20" t="s">
        <v>654</v>
      </c>
      <c r="D488" s="20" t="s">
        <v>715</v>
      </c>
      <c r="E488" s="20" t="s">
        <v>2496</v>
      </c>
      <c r="F488" s="20" t="s">
        <v>2497</v>
      </c>
      <c r="G488" s="21">
        <v>18.8</v>
      </c>
      <c r="H488" s="16">
        <v>26</v>
      </c>
      <c r="I488" s="16">
        <v>5</v>
      </c>
      <c r="J4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488" s="22"/>
      <c r="L488" s="23"/>
      <c r="M488" s="23">
        <f>SUM(Tabela174681012142230322681619252731333624210121416182426283038402481012141620222628303234362426810121424610122426244262628262681026286236[[#This Row],[Saldo no cartão]:[Recarga Pendente]])</f>
        <v>0</v>
      </c>
      <c r="N488" s="19">
        <f>Tabela174681012142230322681619252731333624210121416182426283038402481012141620222628303234362426810121424610122426244262628262681026286236[[#This Row],[Uso diário]]*2</f>
        <v>37.6</v>
      </c>
      <c r="O488" s="19">
        <f>Tabela174681012142230322681619252731333624210121416182426283038402481012141620222628303234362426810121424610122426244262628262681026286236[[#This Row],[Total Acumulado]]-P488</f>
        <v>-94</v>
      </c>
      <c r="P488" s="48">
        <f>Tabela174681012142230322681619252731333624210121416182426283038402481012141620222628303234362426810121424610122426244262628262681026286236[[#This Row],[Uso diário]]*5</f>
        <v>94</v>
      </c>
      <c r="Q4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4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8" s="25">
        <v>4</v>
      </c>
    </row>
    <row r="489" spans="1:20" s="26" customFormat="1" x14ac:dyDescent="0.25">
      <c r="A489" s="16">
        <v>231022</v>
      </c>
      <c r="B489" s="30" t="s">
        <v>209</v>
      </c>
      <c r="C489" s="20" t="s">
        <v>654</v>
      </c>
      <c r="D489" s="20" t="s">
        <v>715</v>
      </c>
      <c r="E489" s="20" t="s">
        <v>2498</v>
      </c>
      <c r="F489" s="20" t="s">
        <v>2499</v>
      </c>
      <c r="G489" s="21">
        <v>18.8</v>
      </c>
      <c r="H489" s="16">
        <v>26</v>
      </c>
      <c r="I489" s="16"/>
      <c r="J4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89" s="22"/>
      <c r="L489" s="23"/>
      <c r="M489" s="23">
        <f>SUM(Tabela174681012142230322681619252731333624210121416182426283038402481012141620222628303234362426810121424610122426244262628262681026286236[[#This Row],[Saldo no cartão]:[Recarga Pendente]])</f>
        <v>0</v>
      </c>
      <c r="N489" s="19">
        <f>Tabela174681012142230322681619252731333624210121416182426283038402481012141620222628303234362426810121424610122426244262628262681026286236[[#This Row],[Uso diário]]*2</f>
        <v>37.6</v>
      </c>
      <c r="O489" s="19">
        <f>Tabela174681012142230322681619252731333624210121416182426283038402481012141620222628303234362426810121424610122426244262628262681026286236[[#This Row],[Total Acumulado]]-P489</f>
        <v>-94</v>
      </c>
      <c r="P489" s="48">
        <f>Tabela174681012142230322681619252731333624210121416182426283038402481012141620222628303234362426810121424610122426244262628262681026286236[[#This Row],[Uso diário]]*5</f>
        <v>94</v>
      </c>
      <c r="Q4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89" s="25">
        <v>4</v>
      </c>
    </row>
    <row r="490" spans="1:20" s="26" customFormat="1" x14ac:dyDescent="0.25">
      <c r="A490" s="16">
        <v>231324</v>
      </c>
      <c r="B490" s="30" t="s">
        <v>788</v>
      </c>
      <c r="C490" s="20" t="s">
        <v>654</v>
      </c>
      <c r="D490" s="20" t="s">
        <v>715</v>
      </c>
      <c r="E490" s="20" t="s">
        <v>2500</v>
      </c>
      <c r="F490" s="20" t="s">
        <v>2501</v>
      </c>
      <c r="G490" s="21">
        <v>18.8</v>
      </c>
      <c r="H490" s="16">
        <v>26</v>
      </c>
      <c r="I490" s="16"/>
      <c r="J4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90" s="22"/>
      <c r="L490" s="23"/>
      <c r="M490" s="23">
        <f>SUM(Tabela174681012142230322681619252731333624210121416182426283038402481012141620222628303234362426810121424610122426244262628262681026286236[[#This Row],[Saldo no cartão]:[Recarga Pendente]])</f>
        <v>0</v>
      </c>
      <c r="N490" s="19">
        <f>Tabela174681012142230322681619252731333624210121416182426283038402481012141620222628303234362426810121424610122426244262628262681026286236[[#This Row],[Uso diário]]*2</f>
        <v>37.6</v>
      </c>
      <c r="O490" s="19">
        <f>Tabela174681012142230322681619252731333624210121416182426283038402481012141620222628303234362426810121424610122426244262628262681026286236[[#This Row],[Total Acumulado]]-P490</f>
        <v>-94</v>
      </c>
      <c r="P490" s="48">
        <f>Tabela174681012142230322681619252731333624210121416182426283038402481012141620222628303234362426810121424610122426244262628262681026286236[[#This Row],[Uso diário]]*5</f>
        <v>94</v>
      </c>
      <c r="Q4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0" s="25">
        <v>4</v>
      </c>
    </row>
    <row r="491" spans="1:20" s="26" customFormat="1" x14ac:dyDescent="0.25">
      <c r="A491" s="16">
        <v>234544</v>
      </c>
      <c r="B491" s="30" t="s">
        <v>1309</v>
      </c>
      <c r="C491" s="20" t="s">
        <v>654</v>
      </c>
      <c r="D491" s="20" t="s">
        <v>715</v>
      </c>
      <c r="E491" s="20" t="s">
        <v>2502</v>
      </c>
      <c r="F491" s="20" t="s">
        <v>2503</v>
      </c>
      <c r="G491" s="21">
        <v>18.8</v>
      </c>
      <c r="H491" s="16">
        <v>26</v>
      </c>
      <c r="I491" s="16"/>
      <c r="J4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91" s="22"/>
      <c r="L491" s="23"/>
      <c r="M491" s="23">
        <f>SUM(Tabela174681012142230322681619252731333624210121416182426283038402481012141620222628303234362426810121424610122426244262628262681026286236[[#This Row],[Saldo no cartão]:[Recarga Pendente]])</f>
        <v>0</v>
      </c>
      <c r="N491" s="19">
        <f>Tabela174681012142230322681619252731333624210121416182426283038402481012141620222628303234362426810121424610122426244262628262681026286236[[#This Row],[Uso diário]]*2</f>
        <v>37.6</v>
      </c>
      <c r="O491" s="19">
        <f>Tabela174681012142230322681619252731333624210121416182426283038402481012141620222628303234362426810121424610122426244262628262681026286236[[#This Row],[Total Acumulado]]-P491</f>
        <v>-94</v>
      </c>
      <c r="P491" s="48">
        <f>Tabela174681012142230322681619252731333624210121416182426283038402481012141620222628303234362426810121424610122426244262628262681026286236[[#This Row],[Uso diário]]*5</f>
        <v>94</v>
      </c>
      <c r="Q4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1" s="25">
        <v>4</v>
      </c>
    </row>
    <row r="492" spans="1:20" s="26" customFormat="1" x14ac:dyDescent="0.25">
      <c r="A492" s="16">
        <v>210565</v>
      </c>
      <c r="B492" s="30" t="s">
        <v>253</v>
      </c>
      <c r="C492" s="20" t="s">
        <v>640</v>
      </c>
      <c r="D492" s="20" t="s">
        <v>701</v>
      </c>
      <c r="E492" s="20" t="s">
        <v>2504</v>
      </c>
      <c r="F492" s="20" t="s">
        <v>2505</v>
      </c>
      <c r="G492" s="21">
        <v>18.8</v>
      </c>
      <c r="H492" s="16">
        <v>26</v>
      </c>
      <c r="I492" s="16"/>
      <c r="J4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92" s="22"/>
      <c r="L492" s="23"/>
      <c r="M492" s="23">
        <f>SUM(Tabela174681012142230322681619252731333624210121416182426283038402481012141620222628303234362426810121424610122426244262628262681026286236[[#This Row],[Saldo no cartão]:[Recarga Pendente]])</f>
        <v>0</v>
      </c>
      <c r="N492" s="19">
        <f>Tabela174681012142230322681619252731333624210121416182426283038402481012141620222628303234362426810121424610122426244262628262681026286236[[#This Row],[Uso diário]]*2</f>
        <v>37.6</v>
      </c>
      <c r="O492" s="19">
        <f>Tabela174681012142230322681619252731333624210121416182426283038402481012141620222628303234362426810121424610122426244262628262681026286236[[#This Row],[Total Acumulado]]-P492</f>
        <v>-94</v>
      </c>
      <c r="P492" s="48">
        <f>Tabela174681012142230322681619252731333624210121416182426283038402481012141620222628303234362426810121424610122426244262628262681026286236[[#This Row],[Uso diário]]*5</f>
        <v>94</v>
      </c>
      <c r="Q4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2" s="25">
        <v>4</v>
      </c>
    </row>
    <row r="493" spans="1:20" s="26" customFormat="1" x14ac:dyDescent="0.25">
      <c r="A493" s="16">
        <v>229152</v>
      </c>
      <c r="B493" s="30" t="s">
        <v>387</v>
      </c>
      <c r="C493" s="20" t="s">
        <v>640</v>
      </c>
      <c r="D493" s="20" t="s">
        <v>702</v>
      </c>
      <c r="E493" s="20" t="s">
        <v>2506</v>
      </c>
      <c r="F493" s="20" t="s">
        <v>2507</v>
      </c>
      <c r="G493" s="21">
        <v>18.8</v>
      </c>
      <c r="H493" s="16">
        <v>26</v>
      </c>
      <c r="I493" s="16">
        <v>1</v>
      </c>
      <c r="J4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493" s="22"/>
      <c r="L493" s="23"/>
      <c r="M493" s="23">
        <f>SUM(Tabela174681012142230322681619252731333624210121416182426283038402481012141620222628303234362426810121424610122426244262628262681026286236[[#This Row],[Saldo no cartão]:[Recarga Pendente]])</f>
        <v>0</v>
      </c>
      <c r="N493" s="19">
        <f>Tabela174681012142230322681619252731333624210121416182426283038402481012141620222628303234362426810121424610122426244262628262681026286236[[#This Row],[Uso diário]]*2</f>
        <v>37.6</v>
      </c>
      <c r="O493" s="19">
        <f>Tabela174681012142230322681619252731333624210121416182426283038402481012141620222628303234362426810121424610122426244262628262681026286236[[#This Row],[Total Acumulado]]-P493</f>
        <v>-94</v>
      </c>
      <c r="P493" s="48">
        <f>Tabela174681012142230322681619252731333624210121416182426283038402481012141620222628303234362426810121424610122426244262628262681026286236[[#This Row],[Uso diário]]*5</f>
        <v>94</v>
      </c>
      <c r="Q4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4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3" s="25">
        <v>4</v>
      </c>
    </row>
    <row r="494" spans="1:20" s="26" customFormat="1" x14ac:dyDescent="0.25">
      <c r="A494" s="16">
        <v>231790</v>
      </c>
      <c r="B494" s="30" t="s">
        <v>822</v>
      </c>
      <c r="C494" s="20" t="s">
        <v>640</v>
      </c>
      <c r="D494" s="20" t="s">
        <v>702</v>
      </c>
      <c r="E494" s="20" t="s">
        <v>2508</v>
      </c>
      <c r="F494" s="20" t="s">
        <v>2509</v>
      </c>
      <c r="G494" s="21">
        <v>13.4</v>
      </c>
      <c r="H494" s="16">
        <v>26</v>
      </c>
      <c r="I494" s="16"/>
      <c r="J4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494" s="22"/>
      <c r="L494" s="23"/>
      <c r="M494" s="23">
        <f>SUM(Tabela174681012142230322681619252731333624210121416182426283038402481012141620222628303234362426810121424610122426244262628262681026286236[[#This Row],[Saldo no cartão]:[Recarga Pendente]])</f>
        <v>0</v>
      </c>
      <c r="N494" s="19">
        <f>Tabela174681012142230322681619252731333624210121416182426283038402481012141620222628303234362426810121424610122426244262628262681026286236[[#This Row],[Uso diário]]*2</f>
        <v>26.8</v>
      </c>
      <c r="O494" s="19">
        <f>Tabela174681012142230322681619252731333624210121416182426283038402481012141620222628303234362426810121424610122426244262628262681026286236[[#This Row],[Total Acumulado]]-P494</f>
        <v>-67</v>
      </c>
      <c r="P494" s="48">
        <f>Tabela174681012142230322681619252731333624210121416182426283038402481012141620222628303234362426810121424610122426244262628262681026286236[[#This Row],[Uso diário]]*5</f>
        <v>67</v>
      </c>
      <c r="Q4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4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4" s="25">
        <v>4</v>
      </c>
    </row>
    <row r="495" spans="1:20" s="26" customFormat="1" x14ac:dyDescent="0.25">
      <c r="A495" s="16">
        <v>232107</v>
      </c>
      <c r="B495" s="30" t="s">
        <v>823</v>
      </c>
      <c r="C495" s="20" t="s">
        <v>640</v>
      </c>
      <c r="D495" s="20" t="s">
        <v>701</v>
      </c>
      <c r="E495" s="20" t="e">
        <v>#N/A</v>
      </c>
      <c r="F495" s="20" t="e">
        <v>#N/A</v>
      </c>
      <c r="G495" s="21">
        <v>13.4</v>
      </c>
      <c r="H495" s="16">
        <v>26</v>
      </c>
      <c r="I495" s="16"/>
      <c r="J4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495" s="22"/>
      <c r="L495" s="23"/>
      <c r="M495" s="23">
        <f>SUM(Tabela174681012142230322681619252731333624210121416182426283038402481012141620222628303234362426810121424610122426244262628262681026286236[[#This Row],[Saldo no cartão]:[Recarga Pendente]])</f>
        <v>0</v>
      </c>
      <c r="N495" s="19">
        <f>Tabela174681012142230322681619252731333624210121416182426283038402481012141620222628303234362426810121424610122426244262628262681026286236[[#This Row],[Uso diário]]*2</f>
        <v>26.8</v>
      </c>
      <c r="O495" s="19">
        <f>Tabela174681012142230322681619252731333624210121416182426283038402481012141620222628303234362426810121424610122426244262628262681026286236[[#This Row],[Total Acumulado]]-P495</f>
        <v>-67</v>
      </c>
      <c r="P495" s="48">
        <f>Tabela174681012142230322681619252731333624210121416182426283038402481012141620222628303234362426810121424610122426244262628262681026286236[[#This Row],[Uso diário]]*5</f>
        <v>67</v>
      </c>
      <c r="Q4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4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5" s="25">
        <v>4</v>
      </c>
    </row>
    <row r="496" spans="1:20" s="26" customFormat="1" x14ac:dyDescent="0.25">
      <c r="A496" s="16">
        <v>234451</v>
      </c>
      <c r="B496" s="30" t="s">
        <v>1284</v>
      </c>
      <c r="C496" s="20" t="s">
        <v>640</v>
      </c>
      <c r="D496" s="20" t="s">
        <v>701</v>
      </c>
      <c r="E496" s="20" t="s">
        <v>2510</v>
      </c>
      <c r="F496" s="20" t="s">
        <v>2511</v>
      </c>
      <c r="G496" s="21">
        <v>13.4</v>
      </c>
      <c r="H496" s="16">
        <v>26</v>
      </c>
      <c r="I496" s="16">
        <v>1</v>
      </c>
      <c r="J4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496" s="22"/>
      <c r="L496" s="23"/>
      <c r="M496" s="23">
        <f>SUM(Tabela174681012142230322681619252731333624210121416182426283038402481012141620222628303234362426810121424610122426244262628262681026286236[[#This Row],[Saldo no cartão]:[Recarga Pendente]])</f>
        <v>0</v>
      </c>
      <c r="N496" s="19">
        <f>Tabela174681012142230322681619252731333624210121416182426283038402481012141620222628303234362426810121424610122426244262628262681026286236[[#This Row],[Uso diário]]*2</f>
        <v>26.8</v>
      </c>
      <c r="O496" s="19">
        <f>Tabela174681012142230322681619252731333624210121416182426283038402481012141620222628303234362426810121424610122426244262628262681026286236[[#This Row],[Total Acumulado]]-P496</f>
        <v>-67</v>
      </c>
      <c r="P496" s="48">
        <f>Tabela174681012142230322681619252731333624210121416182426283038402481012141620222628303234362426810121424610122426244262628262681026286236[[#This Row],[Uso diário]]*5</f>
        <v>67</v>
      </c>
      <c r="Q4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4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6" s="25">
        <v>4</v>
      </c>
    </row>
    <row r="497" spans="1:20" s="26" customFormat="1" x14ac:dyDescent="0.25">
      <c r="A497" s="16">
        <v>234761</v>
      </c>
      <c r="B497" s="30" t="s">
        <v>1353</v>
      </c>
      <c r="C497" s="20" t="s">
        <v>640</v>
      </c>
      <c r="D497" s="20" t="s">
        <v>701</v>
      </c>
      <c r="E497" s="20" t="s">
        <v>2512</v>
      </c>
      <c r="F497" s="20" t="s">
        <v>2513</v>
      </c>
      <c r="G497" s="21">
        <v>13.4</v>
      </c>
      <c r="H497" s="16">
        <v>26</v>
      </c>
      <c r="I497" s="16"/>
      <c r="J4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497" s="22"/>
      <c r="L497" s="23"/>
      <c r="M497" s="23">
        <f>SUM(Tabela174681012142230322681619252731333624210121416182426283038402481012141620222628303234362426810121424610122426244262628262681026286236[[#This Row],[Saldo no cartão]:[Recarga Pendente]])</f>
        <v>0</v>
      </c>
      <c r="N497" s="19">
        <f>Tabela174681012142230322681619252731333624210121416182426283038402481012141620222628303234362426810121424610122426244262628262681026286236[[#This Row],[Uso diário]]*2</f>
        <v>26.8</v>
      </c>
      <c r="O497" s="19">
        <f>Tabela174681012142230322681619252731333624210121416182426283038402481012141620222628303234362426810121424610122426244262628262681026286236[[#This Row],[Total Acumulado]]-P497</f>
        <v>-67</v>
      </c>
      <c r="P497" s="48">
        <f>Tabela174681012142230322681619252731333624210121416182426283038402481012141620222628303234362426810121424610122426244262628262681026286236[[#This Row],[Uso diário]]*5</f>
        <v>67</v>
      </c>
      <c r="Q4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4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7" s="25">
        <v>4</v>
      </c>
    </row>
    <row r="498" spans="1:20" s="26" customFormat="1" x14ac:dyDescent="0.25">
      <c r="A498" s="16">
        <v>215936</v>
      </c>
      <c r="B498" s="30" t="s">
        <v>255</v>
      </c>
      <c r="C498" s="20" t="s">
        <v>655</v>
      </c>
      <c r="D498" s="20" t="s">
        <v>741</v>
      </c>
      <c r="E498" s="20" t="s">
        <v>2514</v>
      </c>
      <c r="F498" s="20" t="s">
        <v>2515</v>
      </c>
      <c r="G498" s="21">
        <v>18.8</v>
      </c>
      <c r="H498" s="16">
        <v>26</v>
      </c>
      <c r="I498" s="16"/>
      <c r="J4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98" s="22"/>
      <c r="L498" s="23"/>
      <c r="M498" s="23">
        <f>SUM(Tabela174681012142230322681619252731333624210121416182426283038402481012141620222628303234362426810121424610122426244262628262681026286236[[#This Row],[Saldo no cartão]:[Recarga Pendente]])</f>
        <v>0</v>
      </c>
      <c r="N498" s="19">
        <f>Tabela174681012142230322681619252731333624210121416182426283038402481012141620222628303234362426810121424610122426244262628262681026286236[[#This Row],[Uso diário]]*2</f>
        <v>37.6</v>
      </c>
      <c r="O498" s="19">
        <f>Tabela174681012142230322681619252731333624210121416182426283038402481012141620222628303234362426810121424610122426244262628262681026286236[[#This Row],[Total Acumulado]]-P498</f>
        <v>-94</v>
      </c>
      <c r="P498" s="48">
        <f>Tabela174681012142230322681619252731333624210121416182426283038402481012141620222628303234362426810121424610122426244262628262681026286236[[#This Row],[Uso diário]]*5</f>
        <v>94</v>
      </c>
      <c r="Q4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8" s="25">
        <v>4</v>
      </c>
    </row>
    <row r="499" spans="1:20" s="26" customFormat="1" x14ac:dyDescent="0.25">
      <c r="A499" s="16">
        <v>219213</v>
      </c>
      <c r="B499" s="30" t="s">
        <v>256</v>
      </c>
      <c r="C499" s="20" t="s">
        <v>655</v>
      </c>
      <c r="D499" s="20" t="s">
        <v>733</v>
      </c>
      <c r="E499" s="20" t="s">
        <v>2516</v>
      </c>
      <c r="F499" s="20" t="s">
        <v>2517</v>
      </c>
      <c r="G499" s="21">
        <v>18.8</v>
      </c>
      <c r="H499" s="16">
        <v>26</v>
      </c>
      <c r="I499" s="16"/>
      <c r="J4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499" s="22"/>
      <c r="L499" s="23"/>
      <c r="M499" s="23">
        <f>SUM(Tabela174681012142230322681619252731333624210121416182426283038402481012141620222628303234362426810121424610122426244262628262681026286236[[#This Row],[Saldo no cartão]:[Recarga Pendente]])</f>
        <v>0</v>
      </c>
      <c r="N499" s="19">
        <f>Tabela174681012142230322681619252731333624210121416182426283038402481012141620222628303234362426810121424610122426244262628262681026286236[[#This Row],[Uso diário]]*2</f>
        <v>37.6</v>
      </c>
      <c r="O499" s="19">
        <f>Tabela174681012142230322681619252731333624210121416182426283038402481012141620222628303234362426810121424610122426244262628262681026286236[[#This Row],[Total Acumulado]]-P499</f>
        <v>-94</v>
      </c>
      <c r="P499" s="48">
        <f>Tabela174681012142230322681619252731333624210121416182426283038402481012141620222628303234362426810121424610122426244262628262681026286236[[#This Row],[Uso diário]]*5</f>
        <v>94</v>
      </c>
      <c r="Q4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4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4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499" s="25">
        <v>4</v>
      </c>
    </row>
    <row r="500" spans="1:20" s="26" customFormat="1" x14ac:dyDescent="0.25">
      <c r="A500" s="16">
        <v>224225</v>
      </c>
      <c r="B500" s="30" t="s">
        <v>493</v>
      </c>
      <c r="C500" s="20" t="s">
        <v>655</v>
      </c>
      <c r="D500" s="20" t="s">
        <v>732</v>
      </c>
      <c r="E500" s="20" t="s">
        <v>2518</v>
      </c>
      <c r="F500" s="20" t="s">
        <v>2519</v>
      </c>
      <c r="G500" s="21">
        <v>14.2</v>
      </c>
      <c r="H500" s="16">
        <v>26</v>
      </c>
      <c r="I500" s="16"/>
      <c r="J5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500" s="22"/>
      <c r="L500" s="23">
        <v>12.7</v>
      </c>
      <c r="M500" s="23">
        <f>SUM(Tabela174681012142230322681619252731333624210121416182426283038402481012141620222628303234362426810121424610122426244262628262681026286236[[#This Row],[Saldo no cartão]:[Recarga Pendente]])</f>
        <v>12.7</v>
      </c>
      <c r="N500" s="19">
        <f>Tabela174681012142230322681619252731333624210121416182426283038402481012141620222628303234362426810121424610122426244262628262681026286236[[#This Row],[Uso diário]]*2</f>
        <v>28.4</v>
      </c>
      <c r="O500" s="19">
        <f>Tabela174681012142230322681619252731333624210121416182426283038402481012141620222628303234362426810121424610122426244262628262681026286236[[#This Row],[Total Acumulado]]-P500</f>
        <v>-58.3</v>
      </c>
      <c r="P500" s="48">
        <f>Tabela174681012142230322681619252731333624210121416182426283038402481012141620222628303234362426810121424610122426244262628262681026286236[[#This Row],[Uso diário]]*5</f>
        <v>71</v>
      </c>
      <c r="Q5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5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0" s="25">
        <v>4</v>
      </c>
    </row>
    <row r="501" spans="1:20" s="26" customFormat="1" x14ac:dyDescent="0.25">
      <c r="A501" s="16">
        <v>224381</v>
      </c>
      <c r="B501" s="30" t="s">
        <v>257</v>
      </c>
      <c r="C501" s="20" t="s">
        <v>655</v>
      </c>
      <c r="D501" s="20" t="s">
        <v>734</v>
      </c>
      <c r="E501" s="20" t="s">
        <v>2520</v>
      </c>
      <c r="F501" s="20" t="s">
        <v>2521</v>
      </c>
      <c r="G501" s="21">
        <v>13.4</v>
      </c>
      <c r="H501" s="16">
        <v>26</v>
      </c>
      <c r="I501" s="16"/>
      <c r="J5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01" s="22"/>
      <c r="L501" s="23"/>
      <c r="M501" s="23">
        <f>SUM(Tabela174681012142230322681619252731333624210121416182426283038402481012141620222628303234362426810121424610122426244262628262681026286236[[#This Row],[Saldo no cartão]:[Recarga Pendente]])</f>
        <v>0</v>
      </c>
      <c r="N501" s="19">
        <f>Tabela174681012142230322681619252731333624210121416182426283038402481012141620222628303234362426810121424610122426244262628262681026286236[[#This Row],[Uso diário]]*2</f>
        <v>26.8</v>
      </c>
      <c r="O501" s="19">
        <f>Tabela174681012142230322681619252731333624210121416182426283038402481012141620222628303234362426810121424610122426244262628262681026286236[[#This Row],[Total Acumulado]]-P501</f>
        <v>-67</v>
      </c>
      <c r="P501" s="48">
        <f>Tabela174681012142230322681619252731333624210121416182426283038402481012141620222628303234362426810121424610122426244262628262681026286236[[#This Row],[Uso diário]]*5</f>
        <v>67</v>
      </c>
      <c r="Q5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1" s="25">
        <v>4</v>
      </c>
    </row>
    <row r="502" spans="1:20" s="26" customFormat="1" x14ac:dyDescent="0.25">
      <c r="A502" s="16">
        <v>224672</v>
      </c>
      <c r="B502" s="30" t="s">
        <v>258</v>
      </c>
      <c r="C502" s="20" t="s">
        <v>655</v>
      </c>
      <c r="D502" s="20" t="s">
        <v>734</v>
      </c>
      <c r="E502" s="20" t="s">
        <v>2522</v>
      </c>
      <c r="F502" s="20" t="s">
        <v>2523</v>
      </c>
      <c r="G502" s="21">
        <v>13.4</v>
      </c>
      <c r="H502" s="16">
        <v>26</v>
      </c>
      <c r="I502" s="16">
        <v>1</v>
      </c>
      <c r="J5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502" s="22"/>
      <c r="L502" s="23"/>
      <c r="M502" s="23">
        <f>SUM(Tabela174681012142230322681619252731333624210121416182426283038402481012141620222628303234362426810121424610122426244262628262681026286236[[#This Row],[Saldo no cartão]:[Recarga Pendente]])</f>
        <v>0</v>
      </c>
      <c r="N502" s="19">
        <f>Tabela174681012142230322681619252731333624210121416182426283038402481012141620222628303234362426810121424610122426244262628262681026286236[[#This Row],[Uso diário]]*2</f>
        <v>26.8</v>
      </c>
      <c r="O502" s="19">
        <f>Tabela174681012142230322681619252731333624210121416182426283038402481012141620222628303234362426810121424610122426244262628262681026286236[[#This Row],[Total Acumulado]]-P502</f>
        <v>-67</v>
      </c>
      <c r="P502" s="48">
        <f>Tabela174681012142230322681619252731333624210121416182426283038402481012141620222628303234362426810121424610122426244262628262681026286236[[#This Row],[Uso diário]]*5</f>
        <v>67</v>
      </c>
      <c r="Q5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5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2" s="25">
        <v>4</v>
      </c>
    </row>
    <row r="503" spans="1:20" s="26" customFormat="1" x14ac:dyDescent="0.25">
      <c r="A503" s="16">
        <v>226720</v>
      </c>
      <c r="B503" s="30" t="s">
        <v>1063</v>
      </c>
      <c r="C503" s="20" t="s">
        <v>655</v>
      </c>
      <c r="D503" s="20" t="s">
        <v>713</v>
      </c>
      <c r="E503" s="20" t="s">
        <v>2524</v>
      </c>
      <c r="F503" s="20" t="s">
        <v>2525</v>
      </c>
      <c r="G503" s="21">
        <v>13.4</v>
      </c>
      <c r="H503" s="16">
        <v>26</v>
      </c>
      <c r="I503" s="16"/>
      <c r="J5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03" s="22"/>
      <c r="L503" s="23"/>
      <c r="M503" s="23">
        <f>SUM(Tabela174681012142230322681619252731333624210121416182426283038402481012141620222628303234362426810121424610122426244262628262681026286236[[#This Row],[Saldo no cartão]:[Recarga Pendente]])</f>
        <v>0</v>
      </c>
      <c r="N503" s="19">
        <f>Tabela174681012142230322681619252731333624210121416182426283038402481012141620222628303234362426810121424610122426244262628262681026286236[[#This Row],[Uso diário]]*2</f>
        <v>26.8</v>
      </c>
      <c r="O503" s="19">
        <f>Tabela174681012142230322681619252731333624210121416182426283038402481012141620222628303234362426810121424610122426244262628262681026286236[[#This Row],[Total Acumulado]]-P503</f>
        <v>-67</v>
      </c>
      <c r="P503" s="48">
        <f>Tabela174681012142230322681619252731333624210121416182426283038402481012141620222628303234362426810121424610122426244262628262681026286236[[#This Row],[Uso diário]]*5</f>
        <v>67</v>
      </c>
      <c r="Q5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3" s="25">
        <v>4</v>
      </c>
    </row>
    <row r="504" spans="1:20" s="26" customFormat="1" x14ac:dyDescent="0.25">
      <c r="A504" s="16">
        <v>228922</v>
      </c>
      <c r="B504" s="30" t="s">
        <v>259</v>
      </c>
      <c r="C504" s="20" t="s">
        <v>655</v>
      </c>
      <c r="D504" s="20" t="s">
        <v>713</v>
      </c>
      <c r="E504" s="20" t="s">
        <v>2526</v>
      </c>
      <c r="F504" s="20" t="s">
        <v>2527</v>
      </c>
      <c r="G504" s="21">
        <v>13.4</v>
      </c>
      <c r="H504" s="16">
        <v>26</v>
      </c>
      <c r="I504" s="16"/>
      <c r="J5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04" s="22"/>
      <c r="L504" s="23"/>
      <c r="M504" s="23">
        <f>SUM(Tabela174681012142230322681619252731333624210121416182426283038402481012141620222628303234362426810121424610122426244262628262681026286236[[#This Row],[Saldo no cartão]:[Recarga Pendente]])</f>
        <v>0</v>
      </c>
      <c r="N504" s="19">
        <f>Tabela174681012142230322681619252731333624210121416182426283038402481012141620222628303234362426810121424610122426244262628262681026286236[[#This Row],[Uso diário]]*2</f>
        <v>26.8</v>
      </c>
      <c r="O504" s="19">
        <f>Tabela174681012142230322681619252731333624210121416182426283038402481012141620222628303234362426810121424610122426244262628262681026286236[[#This Row],[Total Acumulado]]-P504</f>
        <v>-67</v>
      </c>
      <c r="P504" s="48">
        <f>Tabela174681012142230322681619252731333624210121416182426283038402481012141620222628303234362426810121424610122426244262628262681026286236[[#This Row],[Uso diário]]*5</f>
        <v>67</v>
      </c>
      <c r="Q5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4" s="25">
        <v>4</v>
      </c>
    </row>
    <row r="505" spans="1:20" s="26" customFormat="1" x14ac:dyDescent="0.25">
      <c r="A505" s="16">
        <v>234055</v>
      </c>
      <c r="B505" s="30" t="s">
        <v>1179</v>
      </c>
      <c r="C505" s="20" t="s">
        <v>655</v>
      </c>
      <c r="D505" s="20" t="s">
        <v>734</v>
      </c>
      <c r="E505" s="20" t="s">
        <v>2528</v>
      </c>
      <c r="F505" s="20" t="s">
        <v>2529</v>
      </c>
      <c r="G505" s="21">
        <v>13.4</v>
      </c>
      <c r="H505" s="16">
        <v>26</v>
      </c>
      <c r="I505" s="16"/>
      <c r="J5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05" s="22"/>
      <c r="L505" s="23"/>
      <c r="M505" s="23">
        <f>SUM(Tabela174681012142230322681619252731333624210121416182426283038402481012141620222628303234362426810121424610122426244262628262681026286236[[#This Row],[Saldo no cartão]:[Recarga Pendente]])</f>
        <v>0</v>
      </c>
      <c r="N505" s="19">
        <f>Tabela174681012142230322681619252731333624210121416182426283038402481012141620222628303234362426810121424610122426244262628262681026286236[[#This Row],[Uso diário]]*2</f>
        <v>26.8</v>
      </c>
      <c r="O505" s="19">
        <f>Tabela174681012142230322681619252731333624210121416182426283038402481012141620222628303234362426810121424610122426244262628262681026286236[[#This Row],[Total Acumulado]]-P505</f>
        <v>-67</v>
      </c>
      <c r="P505" s="48">
        <f>Tabela174681012142230322681619252731333624210121416182426283038402481012141620222628303234362426810121424610122426244262628262681026286236[[#This Row],[Uso diário]]*5</f>
        <v>67</v>
      </c>
      <c r="Q5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5" s="25">
        <v>4</v>
      </c>
    </row>
    <row r="506" spans="1:20" s="26" customFormat="1" x14ac:dyDescent="0.25">
      <c r="A506" s="16">
        <v>234101</v>
      </c>
      <c r="B506" s="30" t="s">
        <v>1180</v>
      </c>
      <c r="C506" s="20" t="s">
        <v>655</v>
      </c>
      <c r="D506" s="20" t="s">
        <v>713</v>
      </c>
      <c r="E506" s="20" t="s">
        <v>2530</v>
      </c>
      <c r="F506" s="20" t="s">
        <v>2531</v>
      </c>
      <c r="G506" s="21">
        <v>13.4</v>
      </c>
      <c r="H506" s="16">
        <v>26</v>
      </c>
      <c r="I506" s="16"/>
      <c r="J5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06" s="22"/>
      <c r="L506" s="23"/>
      <c r="M506" s="23">
        <f>SUM(Tabela174681012142230322681619252731333624210121416182426283038402481012141620222628303234362426810121424610122426244262628262681026286236[[#This Row],[Saldo no cartão]:[Recarga Pendente]])</f>
        <v>0</v>
      </c>
      <c r="N506" s="19">
        <f>Tabela174681012142230322681619252731333624210121416182426283038402481012141620222628303234362426810121424610122426244262628262681026286236[[#This Row],[Uso diário]]*2</f>
        <v>26.8</v>
      </c>
      <c r="O506" s="19">
        <f>Tabela174681012142230322681619252731333624210121416182426283038402481012141620222628303234362426810121424610122426244262628262681026286236[[#This Row],[Total Acumulado]]-P506</f>
        <v>-67</v>
      </c>
      <c r="P506" s="48">
        <f>Tabela174681012142230322681619252731333624210121416182426283038402481012141620222628303234362426810121424610122426244262628262681026286236[[#This Row],[Uso diário]]*5</f>
        <v>67</v>
      </c>
      <c r="Q5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6" s="25">
        <v>4</v>
      </c>
    </row>
    <row r="507" spans="1:20" s="26" customFormat="1" x14ac:dyDescent="0.25">
      <c r="A507" s="16">
        <v>3228</v>
      </c>
      <c r="B507" s="30" t="s">
        <v>260</v>
      </c>
      <c r="C507" s="20" t="s">
        <v>641</v>
      </c>
      <c r="D507" s="20" t="s">
        <v>704</v>
      </c>
      <c r="E507" s="20" t="s">
        <v>2532</v>
      </c>
      <c r="F507" s="20" t="s">
        <v>2533</v>
      </c>
      <c r="G507" s="21">
        <v>18.8</v>
      </c>
      <c r="H507" s="16">
        <v>26</v>
      </c>
      <c r="I507" s="16">
        <v>1</v>
      </c>
      <c r="J5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507" s="22"/>
      <c r="L507" s="23"/>
      <c r="M507" s="23">
        <f>SUM(Tabela174681012142230322681619252731333624210121416182426283038402481012141620222628303234362426810121424610122426244262628262681026286236[[#This Row],[Saldo no cartão]:[Recarga Pendente]])</f>
        <v>0</v>
      </c>
      <c r="N507" s="19">
        <f>Tabela174681012142230322681619252731333624210121416182426283038402481012141620222628303234362426810121424610122426244262628262681026286236[[#This Row],[Uso diário]]*2</f>
        <v>37.6</v>
      </c>
      <c r="O507" s="19">
        <f>Tabela174681012142230322681619252731333624210121416182426283038402481012141620222628303234362426810121424610122426244262628262681026286236[[#This Row],[Total Acumulado]]-P507</f>
        <v>-94</v>
      </c>
      <c r="P507" s="48">
        <f>Tabela174681012142230322681619252731333624210121416182426283038402481012141620222628303234362426810121424610122426244262628262681026286236[[#This Row],[Uso diário]]*5</f>
        <v>94</v>
      </c>
      <c r="Q5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5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7" s="25">
        <v>4</v>
      </c>
    </row>
    <row r="508" spans="1:20" s="26" customFormat="1" x14ac:dyDescent="0.25">
      <c r="A508" s="16">
        <v>216670</v>
      </c>
      <c r="B508" s="30" t="s">
        <v>904</v>
      </c>
      <c r="C508" s="20" t="s">
        <v>641</v>
      </c>
      <c r="D508" s="20" t="s">
        <v>705</v>
      </c>
      <c r="E508" s="20" t="s">
        <v>2534</v>
      </c>
      <c r="F508" s="20" t="s">
        <v>2535</v>
      </c>
      <c r="G508" s="21">
        <v>13.4</v>
      </c>
      <c r="H508" s="16">
        <v>26</v>
      </c>
      <c r="I508" s="16"/>
      <c r="J5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08" s="22"/>
      <c r="L508" s="23"/>
      <c r="M508" s="23">
        <f>SUM(Tabela174681012142230322681619252731333624210121416182426283038402481012141620222628303234362426810121424610122426244262628262681026286236[[#This Row],[Saldo no cartão]:[Recarga Pendente]])</f>
        <v>0</v>
      </c>
      <c r="N508" s="19">
        <f>Tabela174681012142230322681619252731333624210121416182426283038402481012141620222628303234362426810121424610122426244262628262681026286236[[#This Row],[Uso diário]]*2</f>
        <v>26.8</v>
      </c>
      <c r="O508" s="19">
        <f>Tabela174681012142230322681619252731333624210121416182426283038402481012141620222628303234362426810121424610122426244262628262681026286236[[#This Row],[Total Acumulado]]-P508</f>
        <v>-67</v>
      </c>
      <c r="P508" s="48">
        <f>Tabela174681012142230322681619252731333624210121416182426283038402481012141620222628303234362426810121424610122426244262628262681026286236[[#This Row],[Uso diário]]*5</f>
        <v>67</v>
      </c>
      <c r="Q5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8" s="25">
        <v>4</v>
      </c>
    </row>
    <row r="509" spans="1:20" s="26" customFormat="1" x14ac:dyDescent="0.25">
      <c r="A509" s="16">
        <v>220468</v>
      </c>
      <c r="B509" s="30" t="s">
        <v>262</v>
      </c>
      <c r="C509" s="20" t="s">
        <v>641</v>
      </c>
      <c r="D509" s="20" t="s">
        <v>704</v>
      </c>
      <c r="E509" s="20" t="s">
        <v>2536</v>
      </c>
      <c r="F509" s="20" t="s">
        <v>2537</v>
      </c>
      <c r="G509" s="21">
        <v>18.8</v>
      </c>
      <c r="H509" s="16">
        <v>26</v>
      </c>
      <c r="I509" s="16"/>
      <c r="J5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09" s="22"/>
      <c r="L509" s="23"/>
      <c r="M509" s="23">
        <f>SUM(Tabela174681012142230322681619252731333624210121416182426283038402481012141620222628303234362426810121424610122426244262628262681026286236[[#This Row],[Saldo no cartão]:[Recarga Pendente]])</f>
        <v>0</v>
      </c>
      <c r="N509" s="19">
        <f>Tabela174681012142230322681619252731333624210121416182426283038402481012141620222628303234362426810121424610122426244262628262681026286236[[#This Row],[Uso diário]]*2</f>
        <v>37.6</v>
      </c>
      <c r="O509" s="19">
        <f>Tabela174681012142230322681619252731333624210121416182426283038402481012141620222628303234362426810121424610122426244262628262681026286236[[#This Row],[Total Acumulado]]-P509</f>
        <v>-94</v>
      </c>
      <c r="P509" s="48">
        <f>Tabela174681012142230322681619252731333624210121416182426283038402481012141620222628303234362426810121424610122426244262628262681026286236[[#This Row],[Uso diário]]*5</f>
        <v>94</v>
      </c>
      <c r="Q5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09" s="25">
        <v>4</v>
      </c>
    </row>
    <row r="510" spans="1:20" s="26" customFormat="1" x14ac:dyDescent="0.25">
      <c r="A510" s="16">
        <v>222238</v>
      </c>
      <c r="B510" s="30" t="s">
        <v>263</v>
      </c>
      <c r="C510" s="20" t="s">
        <v>641</v>
      </c>
      <c r="D510" s="20" t="s">
        <v>704</v>
      </c>
      <c r="E510" s="20" t="s">
        <v>2538</v>
      </c>
      <c r="F510" s="20" t="s">
        <v>2539</v>
      </c>
      <c r="G510" s="21">
        <v>18.8</v>
      </c>
      <c r="H510" s="16">
        <v>26</v>
      </c>
      <c r="I510" s="16">
        <v>1</v>
      </c>
      <c r="J5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510" s="22"/>
      <c r="L510" s="23">
        <v>18.8</v>
      </c>
      <c r="M510" s="23">
        <f>SUM(Tabela174681012142230322681619252731333624210121416182426283038402481012141620222628303234362426810121424610122426244262628262681026286236[[#This Row],[Saldo no cartão]:[Recarga Pendente]])</f>
        <v>18.8</v>
      </c>
      <c r="N510" s="19">
        <f>Tabela174681012142230322681619252731333624210121416182426283038402481012141620222628303234362426810121424610122426244262628262681026286236[[#This Row],[Uso diário]]*2</f>
        <v>37.6</v>
      </c>
      <c r="O510" s="19">
        <f>Tabela174681012142230322681619252731333624210121416182426283038402481012141620222628303234362426810121424610122426244262628262681026286236[[#This Row],[Total Acumulado]]-P510</f>
        <v>-75.2</v>
      </c>
      <c r="P510" s="48">
        <f>Tabela174681012142230322681619252731333624210121416182426283038402481012141620222628303234362426810121424610122426244262628262681026286236[[#This Row],[Uso diário]]*5</f>
        <v>94</v>
      </c>
      <c r="Q5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5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0" s="25">
        <v>4</v>
      </c>
    </row>
    <row r="511" spans="1:20" s="26" customFormat="1" x14ac:dyDescent="0.25">
      <c r="A511" s="16">
        <v>224702</v>
      </c>
      <c r="B511" s="30" t="s">
        <v>499</v>
      </c>
      <c r="C511" s="20" t="s">
        <v>641</v>
      </c>
      <c r="D511" s="20" t="s">
        <v>704</v>
      </c>
      <c r="E511" s="20" t="s">
        <v>2540</v>
      </c>
      <c r="F511" s="20" t="s">
        <v>2541</v>
      </c>
      <c r="G511" s="21">
        <v>18.8</v>
      </c>
      <c r="H511" s="16">
        <v>26</v>
      </c>
      <c r="I511" s="16"/>
      <c r="J5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11" s="22"/>
      <c r="L511" s="23"/>
      <c r="M511" s="23">
        <f>SUM(Tabela174681012142230322681619252731333624210121416182426283038402481012141620222628303234362426810121424610122426244262628262681026286236[[#This Row],[Saldo no cartão]:[Recarga Pendente]])</f>
        <v>0</v>
      </c>
      <c r="N511" s="19">
        <f>Tabela174681012142230322681619252731333624210121416182426283038402481012141620222628303234362426810121424610122426244262628262681026286236[[#This Row],[Uso diário]]*2</f>
        <v>37.6</v>
      </c>
      <c r="O511" s="19">
        <f>Tabela174681012142230322681619252731333624210121416182426283038402481012141620222628303234362426810121424610122426244262628262681026286236[[#This Row],[Total Acumulado]]-P511</f>
        <v>-94</v>
      </c>
      <c r="P511" s="48">
        <f>Tabela174681012142230322681619252731333624210121416182426283038402481012141620222628303234362426810121424610122426244262628262681026286236[[#This Row],[Uso diário]]*5</f>
        <v>94</v>
      </c>
      <c r="Q5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1" s="25">
        <v>4</v>
      </c>
    </row>
    <row r="512" spans="1:20" s="26" customFormat="1" x14ac:dyDescent="0.25">
      <c r="A512" s="16">
        <v>230626</v>
      </c>
      <c r="B512" s="30" t="s">
        <v>1181</v>
      </c>
      <c r="C512" s="20" t="s">
        <v>641</v>
      </c>
      <c r="D512" s="20" t="s">
        <v>704</v>
      </c>
      <c r="E512" s="20" t="s">
        <v>2542</v>
      </c>
      <c r="F512" s="20" t="s">
        <v>2543</v>
      </c>
      <c r="G512" s="21">
        <v>13.4</v>
      </c>
      <c r="H512" s="16">
        <v>26</v>
      </c>
      <c r="I512" s="16">
        <v>3</v>
      </c>
      <c r="J5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512" s="22"/>
      <c r="L512" s="23"/>
      <c r="M512" s="23">
        <f>SUM(Tabela174681012142230322681619252731333624210121416182426283038402481012141620222628303234362426810121424610122426244262628262681026286236[[#This Row],[Saldo no cartão]:[Recarga Pendente]])</f>
        <v>0</v>
      </c>
      <c r="N512" s="19">
        <f>Tabela174681012142230322681619252731333624210121416182426283038402481012141620222628303234362426810121424610122426244262628262681026286236[[#This Row],[Uso diário]]*2</f>
        <v>26.8</v>
      </c>
      <c r="O512" s="19">
        <f>Tabela174681012142230322681619252731333624210121416182426283038402481012141620222628303234362426810121424610122426244262628262681026286236[[#This Row],[Total Acumulado]]-P512</f>
        <v>-67</v>
      </c>
      <c r="P512" s="48">
        <f>Tabela174681012142230322681619252731333624210121416182426283038402481012141620222628303234362426810121424610122426244262628262681026286236[[#This Row],[Uso diário]]*5</f>
        <v>67</v>
      </c>
      <c r="Q5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5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2" s="25">
        <v>4</v>
      </c>
    </row>
    <row r="513" spans="1:20" s="26" customFormat="1" x14ac:dyDescent="0.25">
      <c r="A513" s="16">
        <v>230858</v>
      </c>
      <c r="B513" s="30" t="s">
        <v>611</v>
      </c>
      <c r="C513" s="20" t="s">
        <v>641</v>
      </c>
      <c r="D513" s="20" t="s">
        <v>705</v>
      </c>
      <c r="E513" s="20" t="s">
        <v>2544</v>
      </c>
      <c r="F513" s="20" t="s">
        <v>2545</v>
      </c>
      <c r="G513" s="21">
        <v>18.8</v>
      </c>
      <c r="H513" s="16">
        <v>17</v>
      </c>
      <c r="I513" s="16"/>
      <c r="J5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319.60000000000002</v>
      </c>
      <c r="K513" s="22"/>
      <c r="L513" s="23"/>
      <c r="M513" s="23">
        <f>SUM(Tabela174681012142230322681619252731333624210121416182426283038402481012141620222628303234362426810121424610122426244262628262681026286236[[#This Row],[Saldo no cartão]:[Recarga Pendente]])</f>
        <v>0</v>
      </c>
      <c r="N513" s="19">
        <f>Tabela174681012142230322681619252731333624210121416182426283038402481012141620222628303234362426810121424610122426244262628262681026286236[[#This Row],[Uso diário]]*2</f>
        <v>37.6</v>
      </c>
      <c r="O513" s="19">
        <f>Tabela174681012142230322681619252731333624210121416182426283038402481012141620222628303234362426810121424610122426244262628262681026286236[[#This Row],[Total Acumulado]]-P513</f>
        <v>-94</v>
      </c>
      <c r="P513" s="48">
        <f>Tabela174681012142230322681619252731333624210121416182426283038402481012141620222628303234362426810121424610122426244262628262681026286236[[#This Row],[Uso diário]]*5</f>
        <v>94</v>
      </c>
      <c r="Q5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319.60000000000002</v>
      </c>
      <c r="S5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3" s="25">
        <v>4</v>
      </c>
    </row>
    <row r="514" spans="1:20" s="26" customFormat="1" x14ac:dyDescent="0.25">
      <c r="A514" s="16">
        <v>232711</v>
      </c>
      <c r="B514" s="30" t="s">
        <v>984</v>
      </c>
      <c r="C514" s="20" t="s">
        <v>641</v>
      </c>
      <c r="D514" s="20" t="s">
        <v>704</v>
      </c>
      <c r="E514" s="20" t="s">
        <v>2546</v>
      </c>
      <c r="F514" s="20" t="s">
        <v>2547</v>
      </c>
      <c r="G514" s="21">
        <v>18.8</v>
      </c>
      <c r="H514" s="16">
        <v>26</v>
      </c>
      <c r="I514" s="16"/>
      <c r="J5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14" s="22"/>
      <c r="L514" s="23"/>
      <c r="M514" s="23">
        <f>SUM(Tabela174681012142230322681619252731333624210121416182426283038402481012141620222628303234362426810121424610122426244262628262681026286236[[#This Row],[Saldo no cartão]:[Recarga Pendente]])</f>
        <v>0</v>
      </c>
      <c r="N514" s="19">
        <f>Tabela174681012142230322681619252731333624210121416182426283038402481012141620222628303234362426810121424610122426244262628262681026286236[[#This Row],[Uso diário]]*2</f>
        <v>37.6</v>
      </c>
      <c r="O514" s="19">
        <f>Tabela174681012142230322681619252731333624210121416182426283038402481012141620222628303234362426810121424610122426244262628262681026286236[[#This Row],[Total Acumulado]]-P514</f>
        <v>-94</v>
      </c>
      <c r="P514" s="48">
        <f>Tabela174681012142230322681619252731333624210121416182426283038402481012141620222628303234362426810121424610122426244262628262681026286236[[#This Row],[Uso diário]]*5</f>
        <v>94</v>
      </c>
      <c r="Q5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4" s="25">
        <v>4</v>
      </c>
    </row>
    <row r="515" spans="1:20" s="26" customFormat="1" x14ac:dyDescent="0.25">
      <c r="A515" s="16">
        <v>234983</v>
      </c>
      <c r="B515" s="30" t="s">
        <v>1447</v>
      </c>
      <c r="C515" s="20" t="s">
        <v>645</v>
      </c>
      <c r="D515" s="20" t="s">
        <v>711</v>
      </c>
      <c r="E515" s="20" t="s">
        <v>2548</v>
      </c>
      <c r="F515" s="20" t="s">
        <v>2549</v>
      </c>
      <c r="G515" s="21">
        <v>18.8</v>
      </c>
      <c r="H515" s="16">
        <v>26</v>
      </c>
      <c r="I515" s="16"/>
      <c r="J5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15" s="22"/>
      <c r="L515" s="23"/>
      <c r="M515" s="23">
        <f>SUM(Tabela174681012142230322681619252731333624210121416182426283038402481012141620222628303234362426810121424610122426244262628262681026286236[[#This Row],[Saldo no cartão]:[Recarga Pendente]])</f>
        <v>0</v>
      </c>
      <c r="N515" s="19">
        <f>Tabela174681012142230322681619252731333624210121416182426283038402481012141620222628303234362426810121424610122426244262628262681026286236[[#This Row],[Uso diário]]*2</f>
        <v>37.6</v>
      </c>
      <c r="O515" s="19">
        <f>Tabela174681012142230322681619252731333624210121416182426283038402481012141620222628303234362426810121424610122426244262628262681026286236[[#This Row],[Total Acumulado]]-P515</f>
        <v>-94</v>
      </c>
      <c r="P515" s="48">
        <f>Tabela174681012142230322681619252731333624210121416182426283038402481012141620222628303234362426810121424610122426244262628262681026286236[[#This Row],[Uso diário]]*5</f>
        <v>94</v>
      </c>
      <c r="Q5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5" s="25">
        <v>4</v>
      </c>
    </row>
    <row r="516" spans="1:20" s="26" customFormat="1" x14ac:dyDescent="0.25">
      <c r="A516" s="16">
        <v>217073</v>
      </c>
      <c r="B516" s="30" t="s">
        <v>264</v>
      </c>
      <c r="C516" s="20" t="s">
        <v>647</v>
      </c>
      <c r="D516" s="20" t="s">
        <v>720</v>
      </c>
      <c r="E516" s="20" t="s">
        <v>2550</v>
      </c>
      <c r="F516" s="20" t="s">
        <v>2551</v>
      </c>
      <c r="G516" s="21">
        <v>18.8</v>
      </c>
      <c r="H516" s="16">
        <v>26</v>
      </c>
      <c r="I516" s="16"/>
      <c r="J5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16" s="22"/>
      <c r="L516" s="23"/>
      <c r="M516" s="23">
        <f>SUM(Tabela174681012142230322681619252731333624210121416182426283038402481012141620222628303234362426810121424610122426244262628262681026286236[[#This Row],[Saldo no cartão]:[Recarga Pendente]])</f>
        <v>0</v>
      </c>
      <c r="N516" s="19">
        <f>Tabela174681012142230322681619252731333624210121416182426283038402481012141620222628303234362426810121424610122426244262628262681026286236[[#This Row],[Uso diário]]*2</f>
        <v>37.6</v>
      </c>
      <c r="O516" s="19">
        <f>Tabela174681012142230322681619252731333624210121416182426283038402481012141620222628303234362426810121424610122426244262628262681026286236[[#This Row],[Total Acumulado]]-P516</f>
        <v>-94</v>
      </c>
      <c r="P516" s="48">
        <f>Tabela174681012142230322681619252731333624210121416182426283038402481012141620222628303234362426810121424610122426244262628262681026286236[[#This Row],[Uso diário]]*5</f>
        <v>94</v>
      </c>
      <c r="Q5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6" s="25">
        <v>5</v>
      </c>
    </row>
    <row r="517" spans="1:20" s="26" customFormat="1" x14ac:dyDescent="0.25">
      <c r="A517" s="16">
        <v>219565</v>
      </c>
      <c r="B517" s="30" t="s">
        <v>1448</v>
      </c>
      <c r="C517" s="20" t="s">
        <v>647</v>
      </c>
      <c r="D517" s="20" t="s">
        <v>724</v>
      </c>
      <c r="E517" s="20" t="s">
        <v>2552</v>
      </c>
      <c r="F517" s="20" t="s">
        <v>2553</v>
      </c>
      <c r="G517" s="21">
        <v>13.4</v>
      </c>
      <c r="H517" s="16">
        <v>26</v>
      </c>
      <c r="I517" s="16"/>
      <c r="J5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17" s="22"/>
      <c r="L517" s="23"/>
      <c r="M517" s="23">
        <f>SUM(Tabela174681012142230322681619252731333624210121416182426283038402481012141620222628303234362426810121424610122426244262628262681026286236[[#This Row],[Saldo no cartão]:[Recarga Pendente]])</f>
        <v>0</v>
      </c>
      <c r="N517" s="19">
        <f>Tabela174681012142230322681619252731333624210121416182426283038402481012141620222628303234362426810121424610122426244262628262681026286236[[#This Row],[Uso diário]]*2</f>
        <v>26.8</v>
      </c>
      <c r="O517" s="19">
        <f>Tabela174681012142230322681619252731333624210121416182426283038402481012141620222628303234362426810121424610122426244262628262681026286236[[#This Row],[Total Acumulado]]-P517</f>
        <v>-67</v>
      </c>
      <c r="P517" s="48">
        <f>Tabela174681012142230322681619252731333624210121416182426283038402481012141620222628303234362426810121424610122426244262628262681026286236[[#This Row],[Uso diário]]*5</f>
        <v>67</v>
      </c>
      <c r="Q5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7" s="25">
        <v>5</v>
      </c>
    </row>
    <row r="518" spans="1:20" s="26" customFormat="1" x14ac:dyDescent="0.25">
      <c r="A518" s="16">
        <v>224400</v>
      </c>
      <c r="B518" s="30" t="s">
        <v>265</v>
      </c>
      <c r="C518" s="20" t="s">
        <v>647</v>
      </c>
      <c r="D518" s="20" t="s">
        <v>720</v>
      </c>
      <c r="E518" s="20" t="s">
        <v>2554</v>
      </c>
      <c r="F518" s="20" t="s">
        <v>2555</v>
      </c>
      <c r="G518" s="21">
        <v>18.8</v>
      </c>
      <c r="H518" s="16">
        <v>26</v>
      </c>
      <c r="I518" s="16"/>
      <c r="J5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18" s="22"/>
      <c r="L518" s="23">
        <v>271.10000000000002</v>
      </c>
      <c r="M518" s="23">
        <f>SUM(Tabela174681012142230322681619252731333624210121416182426283038402481012141620222628303234362426810121424610122426244262628262681026286236[[#This Row],[Saldo no cartão]:[Recarga Pendente]])</f>
        <v>271.10000000000002</v>
      </c>
      <c r="N518" s="19">
        <f>Tabela174681012142230322681619252731333624210121416182426283038402481012141620222628303234362426810121424610122426244262628262681026286236[[#This Row],[Uso diário]]*2</f>
        <v>37.6</v>
      </c>
      <c r="O518" s="19">
        <f>Tabela174681012142230322681619252731333624210121416182426283038402481012141620222628303234362426810121424610122426244262628262681026286236[[#This Row],[Total Acumulado]]-P518</f>
        <v>177.10000000000002</v>
      </c>
      <c r="P518" s="48">
        <f>Tabela174681012142230322681619252731333624210121416182426283038402481012141620222628303234362426810121424610122426244262628262681026286236[[#This Row],[Uso diário]]*5</f>
        <v>94</v>
      </c>
      <c r="Q5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177.10000000000002</v>
      </c>
      <c r="R5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311.7</v>
      </c>
      <c r="S518" s="18" t="s">
        <v>11</v>
      </c>
      <c r="T518" s="25">
        <v>5</v>
      </c>
    </row>
    <row r="519" spans="1:20" s="26" customFormat="1" x14ac:dyDescent="0.25">
      <c r="A519" s="16">
        <v>228620</v>
      </c>
      <c r="B519" s="30" t="s">
        <v>1064</v>
      </c>
      <c r="C519" s="20" t="s">
        <v>647</v>
      </c>
      <c r="D519" s="20" t="s">
        <v>721</v>
      </c>
      <c r="E519" s="20" t="s">
        <v>2556</v>
      </c>
      <c r="F519" s="20" t="s">
        <v>2557</v>
      </c>
      <c r="G519" s="21">
        <v>18.8</v>
      </c>
      <c r="H519" s="16">
        <v>26</v>
      </c>
      <c r="I519" s="16"/>
      <c r="J5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19" s="22"/>
      <c r="L519" s="23"/>
      <c r="M519" s="23">
        <f>SUM(Tabela174681012142230322681619252731333624210121416182426283038402481012141620222628303234362426810121424610122426244262628262681026286236[[#This Row],[Saldo no cartão]:[Recarga Pendente]])</f>
        <v>0</v>
      </c>
      <c r="N519" s="19">
        <f>Tabela174681012142230322681619252731333624210121416182426283038402481012141620222628303234362426810121424610122426244262628262681026286236[[#This Row],[Uso diário]]*2</f>
        <v>37.6</v>
      </c>
      <c r="O519" s="19">
        <f>Tabela174681012142230322681619252731333624210121416182426283038402481012141620222628303234362426810121424610122426244262628262681026286236[[#This Row],[Total Acumulado]]-P519</f>
        <v>-94</v>
      </c>
      <c r="P519" s="48">
        <f>Tabela174681012142230322681619252731333624210121416182426283038402481012141620222628303234362426810121424610122426244262628262681026286236[[#This Row],[Uso diário]]*5</f>
        <v>94</v>
      </c>
      <c r="Q5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19" s="25">
        <v>5</v>
      </c>
    </row>
    <row r="520" spans="1:20" s="26" customFormat="1" x14ac:dyDescent="0.25">
      <c r="A520" s="16">
        <v>231377</v>
      </c>
      <c r="B520" s="30" t="s">
        <v>790</v>
      </c>
      <c r="C520" s="20" t="s">
        <v>647</v>
      </c>
      <c r="D520" s="20" t="s">
        <v>724</v>
      </c>
      <c r="E520" s="20" t="s">
        <v>2558</v>
      </c>
      <c r="F520" s="20" t="s">
        <v>2559</v>
      </c>
      <c r="G520" s="21">
        <v>18.8</v>
      </c>
      <c r="H520" s="16">
        <v>26</v>
      </c>
      <c r="I520" s="16"/>
      <c r="J5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20" s="22"/>
      <c r="L520" s="23"/>
      <c r="M520" s="23">
        <f>SUM(Tabela174681012142230322681619252731333624210121416182426283038402481012141620222628303234362426810121424610122426244262628262681026286236[[#This Row],[Saldo no cartão]:[Recarga Pendente]])</f>
        <v>0</v>
      </c>
      <c r="N520" s="19">
        <f>Tabela174681012142230322681619252731333624210121416182426283038402481012141620222628303234362426810121424610122426244262628262681026286236[[#This Row],[Uso diário]]*2</f>
        <v>37.6</v>
      </c>
      <c r="O520" s="19">
        <f>Tabela174681012142230322681619252731333624210121416182426283038402481012141620222628303234362426810121424610122426244262628262681026286236[[#This Row],[Total Acumulado]]-P520</f>
        <v>-94</v>
      </c>
      <c r="P520" s="48">
        <f>Tabela174681012142230322681619252731333624210121416182426283038402481012141620222628303234362426810121424610122426244262628262681026286236[[#This Row],[Uso diário]]*5</f>
        <v>94</v>
      </c>
      <c r="Q5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0" s="25">
        <v>5</v>
      </c>
    </row>
    <row r="521" spans="1:20" s="26" customFormat="1" x14ac:dyDescent="0.25">
      <c r="A521" s="16">
        <v>233182</v>
      </c>
      <c r="B521" s="30" t="s">
        <v>985</v>
      </c>
      <c r="C521" s="20" t="s">
        <v>647</v>
      </c>
      <c r="D521" s="20" t="s">
        <v>721</v>
      </c>
      <c r="E521" s="20" t="s">
        <v>2560</v>
      </c>
      <c r="F521" s="20" t="s">
        <v>2561</v>
      </c>
      <c r="G521" s="21">
        <v>18.8</v>
      </c>
      <c r="H521" s="16">
        <v>26</v>
      </c>
      <c r="I521" s="16">
        <v>1</v>
      </c>
      <c r="J5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521" s="22"/>
      <c r="L521" s="23"/>
      <c r="M521" s="23">
        <f>SUM(Tabela174681012142230322681619252731333624210121416182426283038402481012141620222628303234362426810121424610122426244262628262681026286236[[#This Row],[Saldo no cartão]:[Recarga Pendente]])</f>
        <v>0</v>
      </c>
      <c r="N521" s="19">
        <f>Tabela174681012142230322681619252731333624210121416182426283038402481012141620222628303234362426810121424610122426244262628262681026286236[[#This Row],[Uso diário]]*2</f>
        <v>37.6</v>
      </c>
      <c r="O521" s="19">
        <f>Tabela174681012142230322681619252731333624210121416182426283038402481012141620222628303234362426810121424610122426244262628262681026286236[[#This Row],[Total Acumulado]]-P521</f>
        <v>-94</v>
      </c>
      <c r="P521" s="48">
        <f>Tabela174681012142230322681619252731333624210121416182426283038402481012141620222628303234362426810121424610122426244262628262681026286236[[#This Row],[Uso diário]]*5</f>
        <v>94</v>
      </c>
      <c r="Q5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5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1" s="25">
        <v>5</v>
      </c>
    </row>
    <row r="522" spans="1:20" s="26" customFormat="1" x14ac:dyDescent="0.25">
      <c r="A522" s="16">
        <v>234104</v>
      </c>
      <c r="B522" s="30" t="s">
        <v>1354</v>
      </c>
      <c r="C522" s="20" t="s">
        <v>647</v>
      </c>
      <c r="D522" s="20" t="s">
        <v>724</v>
      </c>
      <c r="E522" s="20" t="s">
        <v>2562</v>
      </c>
      <c r="F522" s="20" t="s">
        <v>2563</v>
      </c>
      <c r="G522" s="21">
        <v>13.4</v>
      </c>
      <c r="H522" s="16">
        <v>26</v>
      </c>
      <c r="I522" s="16"/>
      <c r="J5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22" s="22"/>
      <c r="L522" s="23"/>
      <c r="M522" s="23">
        <f>SUM(Tabela174681012142230322681619252731333624210121416182426283038402481012141620222628303234362426810121424610122426244262628262681026286236[[#This Row],[Saldo no cartão]:[Recarga Pendente]])</f>
        <v>0</v>
      </c>
      <c r="N522" s="19">
        <f>Tabela174681012142230322681619252731333624210121416182426283038402481012141620222628303234362426810121424610122426244262628262681026286236[[#This Row],[Uso diário]]*2</f>
        <v>26.8</v>
      </c>
      <c r="O522" s="19">
        <f>Tabela174681012142230322681619252731333624210121416182426283038402481012141620222628303234362426810121424610122426244262628262681026286236[[#This Row],[Total Acumulado]]-P522</f>
        <v>-67</v>
      </c>
      <c r="P522" s="48">
        <f>Tabela174681012142230322681619252731333624210121416182426283038402481012141620222628303234362426810121424610122426244262628262681026286236[[#This Row],[Uso diário]]*5</f>
        <v>67</v>
      </c>
      <c r="Q5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2" s="25">
        <v>5</v>
      </c>
    </row>
    <row r="523" spans="1:20" s="26" customFormat="1" x14ac:dyDescent="0.25">
      <c r="A523" s="16">
        <v>234208</v>
      </c>
      <c r="B523" s="30" t="s">
        <v>1182</v>
      </c>
      <c r="C523" s="20" t="s">
        <v>647</v>
      </c>
      <c r="D523" s="20" t="s">
        <v>721</v>
      </c>
      <c r="E523" s="20" t="s">
        <v>2564</v>
      </c>
      <c r="F523" s="20" t="s">
        <v>2565</v>
      </c>
      <c r="G523" s="21">
        <v>13.4</v>
      </c>
      <c r="H523" s="16">
        <v>26</v>
      </c>
      <c r="I523" s="16"/>
      <c r="J5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23" s="22"/>
      <c r="L523" s="23"/>
      <c r="M523" s="23">
        <f>SUM(Tabela174681012142230322681619252731333624210121416182426283038402481012141620222628303234362426810121424610122426244262628262681026286236[[#This Row],[Saldo no cartão]:[Recarga Pendente]])</f>
        <v>0</v>
      </c>
      <c r="N523" s="19">
        <f>Tabela174681012142230322681619252731333624210121416182426283038402481012141620222628303234362426810121424610122426244262628262681026286236[[#This Row],[Uso diário]]*2</f>
        <v>26.8</v>
      </c>
      <c r="O523" s="19">
        <f>Tabela174681012142230322681619252731333624210121416182426283038402481012141620222628303234362426810121424610122426244262628262681026286236[[#This Row],[Total Acumulado]]-P523</f>
        <v>-67</v>
      </c>
      <c r="P523" s="48">
        <f>Tabela174681012142230322681619252731333624210121416182426283038402481012141620222628303234362426810121424610122426244262628262681026286236[[#This Row],[Uso diário]]*5</f>
        <v>67</v>
      </c>
      <c r="Q5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3" s="25">
        <v>5</v>
      </c>
    </row>
    <row r="524" spans="1:20" s="26" customFormat="1" x14ac:dyDescent="0.25">
      <c r="A524" s="16">
        <v>234645</v>
      </c>
      <c r="B524" s="30" t="s">
        <v>1310</v>
      </c>
      <c r="C524" s="20" t="s">
        <v>647</v>
      </c>
      <c r="D524" s="20" t="s">
        <v>724</v>
      </c>
      <c r="E524" s="20" t="s">
        <v>2566</v>
      </c>
      <c r="F524" s="20" t="s">
        <v>2567</v>
      </c>
      <c r="G524" s="21">
        <v>13.4</v>
      </c>
      <c r="H524" s="16">
        <v>26</v>
      </c>
      <c r="I524" s="16">
        <v>2</v>
      </c>
      <c r="J5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524" s="22"/>
      <c r="L524" s="23"/>
      <c r="M524" s="23">
        <f>SUM(Tabela174681012142230322681619252731333624210121416182426283038402481012141620222628303234362426810121424610122426244262628262681026286236[[#This Row],[Saldo no cartão]:[Recarga Pendente]])</f>
        <v>0</v>
      </c>
      <c r="N524" s="19">
        <f>Tabela174681012142230322681619252731333624210121416182426283038402481012141620222628303234362426810121424610122426244262628262681026286236[[#This Row],[Uso diário]]*2</f>
        <v>26.8</v>
      </c>
      <c r="O524" s="19">
        <f>Tabela174681012142230322681619252731333624210121416182426283038402481012141620222628303234362426810121424610122426244262628262681026286236[[#This Row],[Total Acumulado]]-P524</f>
        <v>-67</v>
      </c>
      <c r="P524" s="48">
        <f>Tabela174681012142230322681619252731333624210121416182426283038402481012141620222628303234362426810121424610122426244262628262681026286236[[#This Row],[Uso diário]]*5</f>
        <v>67</v>
      </c>
      <c r="Q5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5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4" s="25">
        <v>5</v>
      </c>
    </row>
    <row r="525" spans="1:20" s="26" customFormat="1" x14ac:dyDescent="0.25">
      <c r="A525" s="16">
        <v>202859</v>
      </c>
      <c r="B525" s="30" t="s">
        <v>266</v>
      </c>
      <c r="C525" s="20" t="s">
        <v>629</v>
      </c>
      <c r="D525" s="20" t="s">
        <v>682</v>
      </c>
      <c r="E525" s="20" t="s">
        <v>2568</v>
      </c>
      <c r="F525" s="20" t="s">
        <v>2569</v>
      </c>
      <c r="G525" s="21">
        <v>18.8</v>
      </c>
      <c r="H525" s="16">
        <v>26</v>
      </c>
      <c r="I525" s="16"/>
      <c r="J5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25" s="22"/>
      <c r="L525" s="23"/>
      <c r="M525" s="23">
        <f>SUM(Tabela174681012142230322681619252731333624210121416182426283038402481012141620222628303234362426810121424610122426244262628262681026286236[[#This Row],[Saldo no cartão]:[Recarga Pendente]])</f>
        <v>0</v>
      </c>
      <c r="N525" s="19">
        <f>Tabela174681012142230322681619252731333624210121416182426283038402481012141620222628303234362426810121424610122426244262628262681026286236[[#This Row],[Uso diário]]*2</f>
        <v>37.6</v>
      </c>
      <c r="O525" s="19">
        <f>Tabela174681012142230322681619252731333624210121416182426283038402481012141620222628303234362426810121424610122426244262628262681026286236[[#This Row],[Total Acumulado]]-P525</f>
        <v>-94</v>
      </c>
      <c r="P525" s="48">
        <f>Tabela174681012142230322681619252731333624210121416182426283038402481012141620222628303234362426810121424610122426244262628262681026286236[[#This Row],[Uso diário]]*5</f>
        <v>94</v>
      </c>
      <c r="Q5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5" s="25">
        <v>5</v>
      </c>
    </row>
    <row r="526" spans="1:20" s="26" customFormat="1" x14ac:dyDescent="0.25">
      <c r="A526" s="16">
        <v>232079</v>
      </c>
      <c r="B526" s="30" t="s">
        <v>824</v>
      </c>
      <c r="C526" s="20" t="s">
        <v>630</v>
      </c>
      <c r="D526" s="20" t="s">
        <v>736</v>
      </c>
      <c r="E526" s="20" t="s">
        <v>2570</v>
      </c>
      <c r="F526" s="20" t="s">
        <v>2571</v>
      </c>
      <c r="G526" s="21">
        <v>18.8</v>
      </c>
      <c r="H526" s="16">
        <v>22</v>
      </c>
      <c r="I526" s="16"/>
      <c r="J5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26" s="22"/>
      <c r="L526" s="23"/>
      <c r="M526" s="23">
        <f>SUM(Tabela174681012142230322681619252731333624210121416182426283038402481012141620222628303234362426810121424610122426244262628262681026286236[[#This Row],[Saldo no cartão]:[Recarga Pendente]])</f>
        <v>0</v>
      </c>
      <c r="N526" s="19">
        <f>Tabela174681012142230322681619252731333624210121416182426283038402481012141620222628303234362426810121424610122426244262628262681026286236[[#This Row],[Uso diário]]*2</f>
        <v>37.6</v>
      </c>
      <c r="O526" s="19">
        <f>Tabela174681012142230322681619252731333624210121416182426283038402481012141620222628303234362426810121424610122426244262628262681026286236[[#This Row],[Total Acumulado]]-P526</f>
        <v>-94</v>
      </c>
      <c r="P526" s="48">
        <f>Tabela174681012142230322681619252731333624210121416182426283038402481012141620222628303234362426810121424610122426244262628262681026286236[[#This Row],[Uso diário]]*5</f>
        <v>94</v>
      </c>
      <c r="Q5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6" s="25">
        <v>5</v>
      </c>
    </row>
    <row r="527" spans="1:20" s="26" customFormat="1" x14ac:dyDescent="0.25">
      <c r="A527" s="16">
        <v>209808</v>
      </c>
      <c r="B527" s="30" t="s">
        <v>267</v>
      </c>
      <c r="C527" s="20" t="s">
        <v>648</v>
      </c>
      <c r="D527" s="20" t="s">
        <v>737</v>
      </c>
      <c r="E527" s="20" t="s">
        <v>2572</v>
      </c>
      <c r="F527" s="20" t="s">
        <v>2573</v>
      </c>
      <c r="G527" s="21">
        <v>18.8</v>
      </c>
      <c r="H527" s="16">
        <v>26</v>
      </c>
      <c r="I527" s="16"/>
      <c r="J5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27" s="22"/>
      <c r="L527" s="23"/>
      <c r="M527" s="23">
        <f>SUM(Tabela174681012142230322681619252731333624210121416182426283038402481012141620222628303234362426810121424610122426244262628262681026286236[[#This Row],[Saldo no cartão]:[Recarga Pendente]])</f>
        <v>0</v>
      </c>
      <c r="N527" s="19">
        <f>Tabela174681012142230322681619252731333624210121416182426283038402481012141620222628303234362426810121424610122426244262628262681026286236[[#This Row],[Uso diário]]*2</f>
        <v>37.6</v>
      </c>
      <c r="O527" s="19">
        <f>Tabela174681012142230322681619252731333624210121416182426283038402481012141620222628303234362426810121424610122426244262628262681026286236[[#This Row],[Total Acumulado]]-P527</f>
        <v>-94</v>
      </c>
      <c r="P527" s="48">
        <f>Tabela174681012142230322681619252731333624210121416182426283038402481012141620222628303234362426810121424610122426244262628262681026286236[[#This Row],[Uso diário]]*5</f>
        <v>94</v>
      </c>
      <c r="Q5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7" s="25">
        <v>5</v>
      </c>
    </row>
    <row r="528" spans="1:20" s="26" customFormat="1" x14ac:dyDescent="0.25">
      <c r="A528" s="16">
        <v>215263</v>
      </c>
      <c r="B528" s="30" t="s">
        <v>1065</v>
      </c>
      <c r="C528" s="20" t="s">
        <v>648</v>
      </c>
      <c r="D528" s="20" t="s">
        <v>718</v>
      </c>
      <c r="E528" s="20" t="s">
        <v>2574</v>
      </c>
      <c r="F528" s="20" t="s">
        <v>2575</v>
      </c>
      <c r="G528" s="21">
        <v>16.5</v>
      </c>
      <c r="H528" s="16">
        <v>26</v>
      </c>
      <c r="I528" s="16"/>
      <c r="J5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429</v>
      </c>
      <c r="K528" s="22"/>
      <c r="L528" s="23"/>
      <c r="M528" s="23">
        <f>SUM(Tabela174681012142230322681619252731333624210121416182426283038402481012141620222628303234362426810121424610122426244262628262681026286236[[#This Row],[Saldo no cartão]:[Recarga Pendente]])</f>
        <v>0</v>
      </c>
      <c r="N528" s="19">
        <f>Tabela174681012142230322681619252731333624210121416182426283038402481012141620222628303234362426810121424610122426244262628262681026286236[[#This Row],[Uso diário]]*2</f>
        <v>33</v>
      </c>
      <c r="O528" s="19">
        <f>Tabela174681012142230322681619252731333624210121416182426283038402481012141620222628303234362426810121424610122426244262628262681026286236[[#This Row],[Total Acumulado]]-P528</f>
        <v>-82.5</v>
      </c>
      <c r="P528" s="48">
        <f>Tabela174681012142230322681619252731333624210121416182426283038402481012141620222628303234362426810121424610122426244262628262681026286236[[#This Row],[Uso diário]]*5</f>
        <v>82.5</v>
      </c>
      <c r="Q5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429</v>
      </c>
      <c r="S5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8" s="25">
        <v>5</v>
      </c>
    </row>
    <row r="529" spans="1:20" s="26" customFormat="1" x14ac:dyDescent="0.25">
      <c r="A529" s="16">
        <v>231061</v>
      </c>
      <c r="B529" s="30" t="s">
        <v>769</v>
      </c>
      <c r="C529" s="20" t="s">
        <v>648</v>
      </c>
      <c r="D529" s="20" t="s">
        <v>718</v>
      </c>
      <c r="E529" s="20" t="s">
        <v>2576</v>
      </c>
      <c r="F529" s="20" t="s">
        <v>2577</v>
      </c>
      <c r="G529" s="21">
        <v>13.4</v>
      </c>
      <c r="H529" s="16">
        <v>26</v>
      </c>
      <c r="I529" s="16"/>
      <c r="J5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29" s="22"/>
      <c r="L529" s="23"/>
      <c r="M529" s="23">
        <f>SUM(Tabela174681012142230322681619252731333624210121416182426283038402481012141620222628303234362426810121424610122426244262628262681026286236[[#This Row],[Saldo no cartão]:[Recarga Pendente]])</f>
        <v>0</v>
      </c>
      <c r="N529" s="19">
        <f>Tabela174681012142230322681619252731333624210121416182426283038402481012141620222628303234362426810121424610122426244262628262681026286236[[#This Row],[Uso diário]]*2</f>
        <v>26.8</v>
      </c>
      <c r="O529" s="19">
        <f>Tabela174681012142230322681619252731333624210121416182426283038402481012141620222628303234362426810121424610122426244262628262681026286236[[#This Row],[Total Acumulado]]-P529</f>
        <v>-67</v>
      </c>
      <c r="P529" s="48">
        <f>Tabela174681012142230322681619252731333624210121416182426283038402481012141620222628303234362426810121424610122426244262628262681026286236[[#This Row],[Uso diário]]*5</f>
        <v>67</v>
      </c>
      <c r="Q5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29" s="25">
        <v>5</v>
      </c>
    </row>
    <row r="530" spans="1:20" s="26" customFormat="1" x14ac:dyDescent="0.25">
      <c r="A530" s="16">
        <v>234670</v>
      </c>
      <c r="B530" s="30" t="s">
        <v>1355</v>
      </c>
      <c r="C530" s="20" t="s">
        <v>648</v>
      </c>
      <c r="D530" s="20" t="s">
        <v>718</v>
      </c>
      <c r="E530" s="20" t="s">
        <v>2578</v>
      </c>
      <c r="F530" s="20" t="s">
        <v>2579</v>
      </c>
      <c r="G530" s="21">
        <v>18.8</v>
      </c>
      <c r="H530" s="16">
        <v>26</v>
      </c>
      <c r="I530" s="16"/>
      <c r="J5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0" s="22"/>
      <c r="L530" s="23"/>
      <c r="M530" s="23">
        <f>SUM(Tabela174681012142230322681619252731333624210121416182426283038402481012141620222628303234362426810121424610122426244262628262681026286236[[#This Row],[Saldo no cartão]:[Recarga Pendente]])</f>
        <v>0</v>
      </c>
      <c r="N530" s="19">
        <f>Tabela174681012142230322681619252731333624210121416182426283038402481012141620222628303234362426810121424610122426244262628262681026286236[[#This Row],[Uso diário]]*2</f>
        <v>37.6</v>
      </c>
      <c r="O530" s="19">
        <f>Tabela174681012142230322681619252731333624210121416182426283038402481012141620222628303234362426810121424610122426244262628262681026286236[[#This Row],[Total Acumulado]]-P530</f>
        <v>-94</v>
      </c>
      <c r="P530" s="48">
        <f>Tabela174681012142230322681619252731333624210121416182426283038402481012141620222628303234362426810121424610122426244262628262681026286236[[#This Row],[Uso diário]]*5</f>
        <v>94</v>
      </c>
      <c r="Q5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0" s="25">
        <v>5</v>
      </c>
    </row>
    <row r="531" spans="1:20" s="26" customFormat="1" x14ac:dyDescent="0.25">
      <c r="A531" s="16">
        <v>224748</v>
      </c>
      <c r="B531" s="30" t="s">
        <v>291</v>
      </c>
      <c r="C531" s="20" t="s">
        <v>649</v>
      </c>
      <c r="D531" s="20" t="s">
        <v>725</v>
      </c>
      <c r="E531" s="20" t="s">
        <v>2580</v>
      </c>
      <c r="F531" s="20" t="s">
        <v>2581</v>
      </c>
      <c r="G531" s="21">
        <v>18.8</v>
      </c>
      <c r="H531" s="16">
        <v>26</v>
      </c>
      <c r="I531" s="16"/>
      <c r="J5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1" s="22"/>
      <c r="L531" s="23"/>
      <c r="M531" s="23">
        <f>SUM(Tabela174681012142230322681619252731333624210121416182426283038402481012141620222628303234362426810121424610122426244262628262681026286236[[#This Row],[Saldo no cartão]:[Recarga Pendente]])</f>
        <v>0</v>
      </c>
      <c r="N531" s="19">
        <f>Tabela174681012142230322681619252731333624210121416182426283038402481012141620222628303234362426810121424610122426244262628262681026286236[[#This Row],[Uso diário]]*2</f>
        <v>37.6</v>
      </c>
      <c r="O531" s="19">
        <f>Tabela174681012142230322681619252731333624210121416182426283038402481012141620222628303234362426810121424610122426244262628262681026286236[[#This Row],[Total Acumulado]]-P531</f>
        <v>-94</v>
      </c>
      <c r="P531" s="48">
        <f>Tabela174681012142230322681619252731333624210121416182426283038402481012141620222628303234362426810121424610122426244262628262681026286236[[#This Row],[Uso diário]]*5</f>
        <v>94</v>
      </c>
      <c r="Q5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1" s="25">
        <v>5</v>
      </c>
    </row>
    <row r="532" spans="1:20" s="26" customFormat="1" x14ac:dyDescent="0.25">
      <c r="A532" s="16">
        <v>226369</v>
      </c>
      <c r="B532" s="30" t="s">
        <v>425</v>
      </c>
      <c r="C532" s="20" t="s">
        <v>649</v>
      </c>
      <c r="D532" s="20" t="s">
        <v>750</v>
      </c>
      <c r="E532" s="20" t="s">
        <v>2582</v>
      </c>
      <c r="F532" s="20" t="s">
        <v>2583</v>
      </c>
      <c r="G532" s="21">
        <v>18.8</v>
      </c>
      <c r="H532" s="16">
        <v>26</v>
      </c>
      <c r="I532" s="16"/>
      <c r="J5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2" s="22"/>
      <c r="L532" s="23">
        <v>18.8</v>
      </c>
      <c r="M532" s="23">
        <f>SUM(Tabela174681012142230322681619252731333624210121416182426283038402481012141620222628303234362426810121424610122426244262628262681026286236[[#This Row],[Saldo no cartão]:[Recarga Pendente]])</f>
        <v>18.8</v>
      </c>
      <c r="N532" s="19">
        <f>Tabela174681012142230322681619252731333624210121416182426283038402481012141620222628303234362426810121424610122426244262628262681026286236[[#This Row],[Uso diário]]*2</f>
        <v>37.6</v>
      </c>
      <c r="O532" s="19">
        <f>Tabela174681012142230322681619252731333624210121416182426283038402481012141620222628303234362426810121424610122426244262628262681026286236[[#This Row],[Total Acumulado]]-P532</f>
        <v>-75.2</v>
      </c>
      <c r="P532" s="48">
        <f>Tabela174681012142230322681619252731333624210121416182426283038402481012141620222628303234362426810121424610122426244262628262681026286236[[#This Row],[Uso diário]]*5</f>
        <v>94</v>
      </c>
      <c r="Q5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2" s="25">
        <v>5</v>
      </c>
    </row>
    <row r="533" spans="1:20" s="26" customFormat="1" x14ac:dyDescent="0.25">
      <c r="A533" s="16">
        <v>230079</v>
      </c>
      <c r="B533" s="30" t="s">
        <v>302</v>
      </c>
      <c r="C533" s="20" t="s">
        <v>649</v>
      </c>
      <c r="D533" s="20" t="s">
        <v>725</v>
      </c>
      <c r="E533" s="20" t="s">
        <v>2584</v>
      </c>
      <c r="F533" s="20">
        <v>0</v>
      </c>
      <c r="G533" s="21">
        <v>18.8</v>
      </c>
      <c r="H533" s="16">
        <v>26</v>
      </c>
      <c r="I533" s="16"/>
      <c r="J5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3" s="22"/>
      <c r="L533" s="23"/>
      <c r="M533" s="23">
        <f>SUM(Tabela174681012142230322681619252731333624210121416182426283038402481012141620222628303234362426810121424610122426244262628262681026286236[[#This Row],[Saldo no cartão]:[Recarga Pendente]])</f>
        <v>0</v>
      </c>
      <c r="N533" s="19">
        <f>Tabela174681012142230322681619252731333624210121416182426283038402481012141620222628303234362426810121424610122426244262628262681026286236[[#This Row],[Uso diário]]*2</f>
        <v>37.6</v>
      </c>
      <c r="O533" s="19">
        <f>Tabela174681012142230322681619252731333624210121416182426283038402481012141620222628303234362426810121424610122426244262628262681026286236[[#This Row],[Total Acumulado]]-P533</f>
        <v>-94</v>
      </c>
      <c r="P533" s="48">
        <f>Tabela174681012142230322681619252731333624210121416182426283038402481012141620222628303234362426810121424610122426244262628262681026286236[[#This Row],[Uso diário]]*5</f>
        <v>94</v>
      </c>
      <c r="Q5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3" s="25">
        <v>5</v>
      </c>
    </row>
    <row r="534" spans="1:20" s="26" customFormat="1" x14ac:dyDescent="0.25">
      <c r="A534" s="16">
        <v>235054</v>
      </c>
      <c r="B534" s="30" t="s">
        <v>1449</v>
      </c>
      <c r="C534" s="20" t="s">
        <v>649</v>
      </c>
      <c r="D534" s="20" t="s">
        <v>725</v>
      </c>
      <c r="E534" s="20" t="s">
        <v>2585</v>
      </c>
      <c r="F534" s="20" t="s">
        <v>2586</v>
      </c>
      <c r="G534" s="21">
        <v>18.8</v>
      </c>
      <c r="H534" s="16">
        <v>26</v>
      </c>
      <c r="I534" s="16"/>
      <c r="J5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4" s="22"/>
      <c r="L534" s="23"/>
      <c r="M534" s="23">
        <f>SUM(Tabela174681012142230322681619252731333624210121416182426283038402481012141620222628303234362426810121424610122426244262628262681026286236[[#This Row],[Saldo no cartão]:[Recarga Pendente]])</f>
        <v>0</v>
      </c>
      <c r="N534" s="19">
        <f>Tabela174681012142230322681619252731333624210121416182426283038402481012141620222628303234362426810121424610122426244262628262681026286236[[#This Row],[Uso diário]]*2</f>
        <v>37.6</v>
      </c>
      <c r="O534" s="19">
        <f>Tabela174681012142230322681619252731333624210121416182426283038402481012141620222628303234362426810121424610122426244262628262681026286236[[#This Row],[Total Acumulado]]-P534</f>
        <v>-94</v>
      </c>
      <c r="P534" s="48">
        <f>Tabela174681012142230322681619252731333624210121416182426283038402481012141620222628303234362426810121424610122426244262628262681026286236[[#This Row],[Uso diário]]*5</f>
        <v>94</v>
      </c>
      <c r="Q5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4" s="25">
        <v>5</v>
      </c>
    </row>
    <row r="535" spans="1:20" s="26" customFormat="1" x14ac:dyDescent="0.25">
      <c r="A535" s="16">
        <v>222112</v>
      </c>
      <c r="B535" s="30" t="s">
        <v>510</v>
      </c>
      <c r="C535" s="20" t="s">
        <v>650</v>
      </c>
      <c r="D535" s="20" t="s">
        <v>738</v>
      </c>
      <c r="E535" s="20" t="s">
        <v>2587</v>
      </c>
      <c r="F535" s="20" t="s">
        <v>2588</v>
      </c>
      <c r="G535" s="21">
        <v>18.8</v>
      </c>
      <c r="H535" s="16">
        <v>26</v>
      </c>
      <c r="I535" s="16"/>
      <c r="J5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5" s="22"/>
      <c r="L535" s="23">
        <v>18.8</v>
      </c>
      <c r="M535" s="23">
        <f>SUM(Tabela174681012142230322681619252731333624210121416182426283038402481012141620222628303234362426810121424610122426244262628262681026286236[[#This Row],[Saldo no cartão]:[Recarga Pendente]])</f>
        <v>18.8</v>
      </c>
      <c r="N535" s="19">
        <f>Tabela174681012142230322681619252731333624210121416182426283038402481012141620222628303234362426810121424610122426244262628262681026286236[[#This Row],[Uso diário]]*2</f>
        <v>37.6</v>
      </c>
      <c r="O535" s="19">
        <f>Tabela174681012142230322681619252731333624210121416182426283038402481012141620222628303234362426810121424610122426244262628262681026286236[[#This Row],[Total Acumulado]]-P535</f>
        <v>-75.2</v>
      </c>
      <c r="P535" s="48">
        <f>Tabela174681012142230322681619252731333624210121416182426283038402481012141620222628303234362426810121424610122426244262628262681026286236[[#This Row],[Uso diário]]*5</f>
        <v>94</v>
      </c>
      <c r="Q5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5" s="25">
        <v>5</v>
      </c>
    </row>
    <row r="536" spans="1:20" s="26" customFormat="1" x14ac:dyDescent="0.25">
      <c r="A536" s="16">
        <v>224972</v>
      </c>
      <c r="B536" s="30" t="s">
        <v>278</v>
      </c>
      <c r="C536" s="20" t="s">
        <v>650</v>
      </c>
      <c r="D536" s="20" t="s">
        <v>726</v>
      </c>
      <c r="E536" s="20" t="s">
        <v>2589</v>
      </c>
      <c r="F536" s="20" t="s">
        <v>2590</v>
      </c>
      <c r="G536" s="21">
        <v>18.8</v>
      </c>
      <c r="H536" s="16">
        <v>26</v>
      </c>
      <c r="I536" s="16"/>
      <c r="J5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36" s="22"/>
      <c r="L536" s="23"/>
      <c r="M536" s="23">
        <f>SUM(Tabela174681012142230322681619252731333624210121416182426283038402481012141620222628303234362426810121424610122426244262628262681026286236[[#This Row],[Saldo no cartão]:[Recarga Pendente]])</f>
        <v>0</v>
      </c>
      <c r="N536" s="19">
        <f>Tabela174681012142230322681619252731333624210121416182426283038402481012141620222628303234362426810121424610122426244262628262681026286236[[#This Row],[Uso diário]]*2</f>
        <v>37.6</v>
      </c>
      <c r="O536" s="19">
        <f>Tabela174681012142230322681619252731333624210121416182426283038402481012141620222628303234362426810121424610122426244262628262681026286236[[#This Row],[Total Acumulado]]-P536</f>
        <v>-94</v>
      </c>
      <c r="P536" s="48">
        <f>Tabela174681012142230322681619252731333624210121416182426283038402481012141620222628303234362426810121424610122426244262628262681026286236[[#This Row],[Uso diário]]*5</f>
        <v>94</v>
      </c>
      <c r="Q5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6" s="25">
        <v>5</v>
      </c>
    </row>
    <row r="537" spans="1:20" s="26" customFormat="1" x14ac:dyDescent="0.25">
      <c r="A537" s="16">
        <v>228645</v>
      </c>
      <c r="B537" s="30" t="s">
        <v>268</v>
      </c>
      <c r="C537" s="20" t="s">
        <v>650</v>
      </c>
      <c r="D537" s="20" t="s">
        <v>726</v>
      </c>
      <c r="E537" s="20" t="s">
        <v>2591</v>
      </c>
      <c r="F537" s="20" t="s">
        <v>2592</v>
      </c>
      <c r="G537" s="21">
        <v>14.2</v>
      </c>
      <c r="H537" s="16">
        <v>26</v>
      </c>
      <c r="I537" s="16"/>
      <c r="J5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537" s="22"/>
      <c r="L537" s="23"/>
      <c r="M537" s="23">
        <f>SUM(Tabela174681012142230322681619252731333624210121416182426283038402481012141620222628303234362426810121424610122426244262628262681026286236[[#This Row],[Saldo no cartão]:[Recarga Pendente]])</f>
        <v>0</v>
      </c>
      <c r="N537" s="19">
        <f>Tabela174681012142230322681619252731333624210121416182426283038402481012141620222628303234362426810121424610122426244262628262681026286236[[#This Row],[Uso diário]]*2</f>
        <v>28.4</v>
      </c>
      <c r="O537" s="19">
        <f>Tabela174681012142230322681619252731333624210121416182426283038402481012141620222628303234362426810121424610122426244262628262681026286236[[#This Row],[Total Acumulado]]-P537</f>
        <v>-71</v>
      </c>
      <c r="P537" s="48">
        <f>Tabela174681012142230322681619252731333624210121416182426283038402481012141620222628303234362426810121424610122426244262628262681026286236[[#This Row],[Uso diário]]*5</f>
        <v>71</v>
      </c>
      <c r="Q5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5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7" s="25">
        <v>5</v>
      </c>
    </row>
    <row r="538" spans="1:20" s="26" customFormat="1" x14ac:dyDescent="0.25">
      <c r="A538" s="16">
        <v>232796</v>
      </c>
      <c r="B538" s="30" t="s">
        <v>938</v>
      </c>
      <c r="C538" s="20" t="s">
        <v>650</v>
      </c>
      <c r="D538" s="20" t="s">
        <v>726</v>
      </c>
      <c r="E538" s="20" t="s">
        <v>2593</v>
      </c>
      <c r="F538" s="20" t="s">
        <v>2594</v>
      </c>
      <c r="G538" s="21">
        <v>13.4</v>
      </c>
      <c r="H538" s="16">
        <v>26</v>
      </c>
      <c r="I538" s="16"/>
      <c r="J5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38" s="22"/>
      <c r="L538" s="23"/>
      <c r="M538" s="23">
        <f>SUM(Tabela174681012142230322681619252731333624210121416182426283038402481012141620222628303234362426810121424610122426244262628262681026286236[[#This Row],[Saldo no cartão]:[Recarga Pendente]])</f>
        <v>0</v>
      </c>
      <c r="N538" s="19">
        <f>Tabela174681012142230322681619252731333624210121416182426283038402481012141620222628303234362426810121424610122426244262628262681026286236[[#This Row],[Uso diário]]*2</f>
        <v>26.8</v>
      </c>
      <c r="O538" s="19">
        <f>Tabela174681012142230322681619252731333624210121416182426283038402481012141620222628303234362426810121424610122426244262628262681026286236[[#This Row],[Total Acumulado]]-P538</f>
        <v>-67</v>
      </c>
      <c r="P538" s="48">
        <f>Tabela174681012142230322681619252731333624210121416182426283038402481012141620222628303234362426810121424610122426244262628262681026286236[[#This Row],[Uso diário]]*5</f>
        <v>67</v>
      </c>
      <c r="Q5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8" s="25">
        <v>5</v>
      </c>
    </row>
    <row r="539" spans="1:20" s="26" customFormat="1" x14ac:dyDescent="0.25">
      <c r="A539" s="16">
        <v>234596</v>
      </c>
      <c r="B539" s="30" t="s">
        <v>1311</v>
      </c>
      <c r="C539" s="20" t="s">
        <v>650</v>
      </c>
      <c r="D539" s="20" t="s">
        <v>726</v>
      </c>
      <c r="E539" s="20" t="s">
        <v>2595</v>
      </c>
      <c r="F539" s="20" t="s">
        <v>2596</v>
      </c>
      <c r="G539" s="21">
        <v>13.4</v>
      </c>
      <c r="H539" s="16">
        <v>26</v>
      </c>
      <c r="I539" s="16"/>
      <c r="J5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39" s="22"/>
      <c r="L539" s="23"/>
      <c r="M539" s="23">
        <f>SUM(Tabela174681012142230322681619252731333624210121416182426283038402481012141620222628303234362426810121424610122426244262628262681026286236[[#This Row],[Saldo no cartão]:[Recarga Pendente]])</f>
        <v>0</v>
      </c>
      <c r="N539" s="19">
        <f>Tabela174681012142230322681619252731333624210121416182426283038402481012141620222628303234362426810121424610122426244262628262681026286236[[#This Row],[Uso diário]]*2</f>
        <v>26.8</v>
      </c>
      <c r="O539" s="19">
        <f>Tabela174681012142230322681619252731333624210121416182426283038402481012141620222628303234362426810121424610122426244262628262681026286236[[#This Row],[Total Acumulado]]-P539</f>
        <v>-67</v>
      </c>
      <c r="P539" s="48">
        <f>Tabela174681012142230322681619252731333624210121416182426283038402481012141620222628303234362426810121424610122426244262628262681026286236[[#This Row],[Uso diário]]*5</f>
        <v>67</v>
      </c>
      <c r="Q5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39" s="25">
        <v>5</v>
      </c>
    </row>
    <row r="540" spans="1:20" s="26" customFormat="1" x14ac:dyDescent="0.25">
      <c r="A540" s="16">
        <v>205560</v>
      </c>
      <c r="B540" s="30" t="s">
        <v>269</v>
      </c>
      <c r="C540" s="20" t="s">
        <v>651</v>
      </c>
      <c r="D540" s="20" t="s">
        <v>719</v>
      </c>
      <c r="E540" s="20" t="s">
        <v>2597</v>
      </c>
      <c r="F540" s="20" t="s">
        <v>2598</v>
      </c>
      <c r="G540" s="21">
        <v>16.2</v>
      </c>
      <c r="H540" s="16">
        <v>1</v>
      </c>
      <c r="I540" s="16"/>
      <c r="J5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16.2</v>
      </c>
      <c r="K540" s="22"/>
      <c r="L540" s="23"/>
      <c r="M540" s="23">
        <f>SUM(Tabela174681012142230322681619252731333624210121416182426283038402481012141620222628303234362426810121424610122426244262628262681026286236[[#This Row],[Saldo no cartão]:[Recarga Pendente]])</f>
        <v>0</v>
      </c>
      <c r="N540" s="19">
        <f>Tabela174681012142230322681619252731333624210121416182426283038402481012141620222628303234362426810121424610122426244262628262681026286236[[#This Row],[Uso diário]]*2</f>
        <v>32.4</v>
      </c>
      <c r="O540" s="19">
        <f>Tabela174681012142230322681619252731333624210121416182426283038402481012141620222628303234362426810121424610122426244262628262681026286236[[#This Row],[Total Acumulado]]-P540</f>
        <v>-81</v>
      </c>
      <c r="P540" s="48">
        <f>Tabela174681012142230322681619252731333624210121416182426283038402481012141620222628303234362426810121424610122426244262628262681026286236[[#This Row],[Uso diário]]*5</f>
        <v>81</v>
      </c>
      <c r="Q5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16.2</v>
      </c>
      <c r="S5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0" s="25">
        <v>5</v>
      </c>
    </row>
    <row r="541" spans="1:20" s="26" customFormat="1" ht="22.5" x14ac:dyDescent="0.25">
      <c r="A541" s="16">
        <v>207609</v>
      </c>
      <c r="B541" s="30" t="s">
        <v>270</v>
      </c>
      <c r="C541" s="20" t="s">
        <v>651</v>
      </c>
      <c r="D541" s="20" t="s">
        <v>717</v>
      </c>
      <c r="E541" s="20" t="s">
        <v>2599</v>
      </c>
      <c r="F541" s="20" t="s">
        <v>2600</v>
      </c>
      <c r="G541" s="21">
        <v>14.2</v>
      </c>
      <c r="H541" s="16">
        <v>1</v>
      </c>
      <c r="I541" s="16">
        <v>6</v>
      </c>
      <c r="J541" s="17">
        <v>0</v>
      </c>
      <c r="K541" s="22"/>
      <c r="L541" s="23"/>
      <c r="M541" s="23">
        <f>SUM(Tabela174681012142230322681619252731333624210121416182426283038402481012141620222628303234362426810121424610122426244262628262681026286236[[#This Row],[Saldo no cartão]:[Recarga Pendente]])</f>
        <v>0</v>
      </c>
      <c r="N541" s="19">
        <f>Tabela174681012142230322681619252731333624210121416182426283038402481012141620222628303234362426810121424610122426244262628262681026286236[[#This Row],[Uso diário]]*2</f>
        <v>28.4</v>
      </c>
      <c r="O541" s="19">
        <f>Tabela174681012142230322681619252731333624210121416182426283038402481012141620222628303234362426810121424610122426244262628262681026286236[[#This Row],[Total Acumulado]]-P541</f>
        <v>-71</v>
      </c>
      <c r="P541" s="48">
        <f>Tabela174681012142230322681619252731333624210121416182426283038402481012141620222628303234362426810121424610122426244262628262681026286236[[#This Row],[Uso diário]]*5</f>
        <v>71</v>
      </c>
      <c r="Q5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541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541" s="25">
        <v>5</v>
      </c>
    </row>
    <row r="542" spans="1:20" s="26" customFormat="1" x14ac:dyDescent="0.25">
      <c r="A542" s="16">
        <v>213116</v>
      </c>
      <c r="B542" s="30" t="s">
        <v>271</v>
      </c>
      <c r="C542" s="20" t="s">
        <v>651</v>
      </c>
      <c r="D542" s="20" t="s">
        <v>719</v>
      </c>
      <c r="E542" s="20" t="s">
        <v>2601</v>
      </c>
      <c r="F542" s="20" t="s">
        <v>2602</v>
      </c>
      <c r="G542" s="21">
        <v>14.2</v>
      </c>
      <c r="H542" s="16">
        <v>16</v>
      </c>
      <c r="I542" s="16"/>
      <c r="J5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227.2</v>
      </c>
      <c r="K542" s="22"/>
      <c r="L542" s="23"/>
      <c r="M542" s="23">
        <f>SUM(Tabela174681012142230322681619252731333624210121416182426283038402481012141620222628303234362426810121424610122426244262628262681026286236[[#This Row],[Saldo no cartão]:[Recarga Pendente]])</f>
        <v>0</v>
      </c>
      <c r="N542" s="19">
        <f>Tabela174681012142230322681619252731333624210121416182426283038402481012141620222628303234362426810121424610122426244262628262681026286236[[#This Row],[Uso diário]]*2</f>
        <v>28.4</v>
      </c>
      <c r="O542" s="19">
        <f>Tabela174681012142230322681619252731333624210121416182426283038402481012141620222628303234362426810121424610122426244262628262681026286236[[#This Row],[Total Acumulado]]-P542</f>
        <v>-71</v>
      </c>
      <c r="P542" s="48">
        <f>Tabela174681012142230322681619252731333624210121416182426283038402481012141620222628303234362426810121424610122426244262628262681026286236[[#This Row],[Uso diário]]*5</f>
        <v>71</v>
      </c>
      <c r="Q5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227.2</v>
      </c>
      <c r="S5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2" s="25">
        <v>5</v>
      </c>
    </row>
    <row r="543" spans="1:20" s="26" customFormat="1" x14ac:dyDescent="0.25">
      <c r="A543" s="16">
        <v>213176</v>
      </c>
      <c r="B543" s="30" t="s">
        <v>1183</v>
      </c>
      <c r="C543" s="20" t="s">
        <v>651</v>
      </c>
      <c r="D543" s="20" t="s">
        <v>727</v>
      </c>
      <c r="E543" s="20" t="s">
        <v>2603</v>
      </c>
      <c r="F543" s="20" t="s">
        <v>2604</v>
      </c>
      <c r="G543" s="21">
        <v>18.8</v>
      </c>
      <c r="H543" s="16">
        <v>26</v>
      </c>
      <c r="I543" s="16">
        <v>1</v>
      </c>
      <c r="J5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543" s="22"/>
      <c r="L543" s="23">
        <v>345.5</v>
      </c>
      <c r="M543" s="23">
        <f>SUM(Tabela174681012142230322681619252731333624210121416182426283038402481012141620222628303234362426810121424610122426244262628262681026286236[[#This Row],[Saldo no cartão]:[Recarga Pendente]])</f>
        <v>345.5</v>
      </c>
      <c r="N543" s="19">
        <f>Tabela174681012142230322681619252731333624210121416182426283038402481012141620222628303234362426810121424610122426244262628262681026286236[[#This Row],[Uso diário]]*2</f>
        <v>37.6</v>
      </c>
      <c r="O543" s="19">
        <f>Tabela174681012142230322681619252731333624210121416182426283038402481012141620222628303234362426810121424610122426244262628262681026286236[[#This Row],[Total Acumulado]]-P543</f>
        <v>251.5</v>
      </c>
      <c r="P543" s="48">
        <f>Tabela174681012142230322681619252731333624210121416182426283038402481012141620222628303234362426810121424610122426244262628262681026286236[[#This Row],[Uso diário]]*5</f>
        <v>94</v>
      </c>
      <c r="Q5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251.5</v>
      </c>
      <c r="R5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218.5</v>
      </c>
      <c r="S543" s="18" t="s">
        <v>11</v>
      </c>
      <c r="T543" s="25">
        <v>5</v>
      </c>
    </row>
    <row r="544" spans="1:20" s="26" customFormat="1" x14ac:dyDescent="0.25">
      <c r="A544" s="16">
        <v>213178</v>
      </c>
      <c r="B544" s="30" t="s">
        <v>272</v>
      </c>
      <c r="C544" s="20" t="s">
        <v>651</v>
      </c>
      <c r="D544" s="20" t="s">
        <v>719</v>
      </c>
      <c r="E544" s="20" t="s">
        <v>2605</v>
      </c>
      <c r="F544" s="20" t="s">
        <v>2606</v>
      </c>
      <c r="G544" s="21">
        <v>21.299999999999997</v>
      </c>
      <c r="H544" s="16">
        <v>16</v>
      </c>
      <c r="I544" s="16"/>
      <c r="J5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340.79999999999995</v>
      </c>
      <c r="K544" s="22"/>
      <c r="L544" s="23"/>
      <c r="M544" s="23">
        <f>SUM(Tabela174681012142230322681619252731333624210121416182426283038402481012141620222628303234362426810121424610122426244262628262681026286236[[#This Row],[Saldo no cartão]:[Recarga Pendente]])</f>
        <v>0</v>
      </c>
      <c r="N544" s="19">
        <f>Tabela174681012142230322681619252731333624210121416182426283038402481012141620222628303234362426810121424610122426244262628262681026286236[[#This Row],[Uso diário]]*2</f>
        <v>42.599999999999994</v>
      </c>
      <c r="O544" s="19">
        <f>Tabela174681012142230322681619252731333624210121416182426283038402481012141620222628303234362426810121424610122426244262628262681026286236[[#This Row],[Total Acumulado]]-P544</f>
        <v>-106.49999999999999</v>
      </c>
      <c r="P544" s="48">
        <f>Tabela174681012142230322681619252731333624210121416182426283038402481012141620222628303234362426810121424610122426244262628262681026286236[[#This Row],[Uso diário]]*5</f>
        <v>106.49999999999999</v>
      </c>
      <c r="Q5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340.79999999999995</v>
      </c>
      <c r="S5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4" s="25">
        <v>5</v>
      </c>
    </row>
    <row r="545" spans="1:20" s="26" customFormat="1" x14ac:dyDescent="0.25">
      <c r="A545" s="16">
        <v>218672</v>
      </c>
      <c r="B545" s="30" t="s">
        <v>273</v>
      </c>
      <c r="C545" s="20" t="s">
        <v>651</v>
      </c>
      <c r="D545" s="20" t="s">
        <v>719</v>
      </c>
      <c r="E545" s="20" t="s">
        <v>2607</v>
      </c>
      <c r="F545" s="20" t="s">
        <v>2608</v>
      </c>
      <c r="G545" s="21">
        <v>18.8</v>
      </c>
      <c r="H545" s="16">
        <v>1</v>
      </c>
      <c r="I545" s="16"/>
      <c r="J5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18.8</v>
      </c>
      <c r="K545" s="22"/>
      <c r="L545" s="23"/>
      <c r="M545" s="23">
        <f>SUM(Tabela174681012142230322681619252731333624210121416182426283038402481012141620222628303234362426810121424610122426244262628262681026286236[[#This Row],[Saldo no cartão]:[Recarga Pendente]])</f>
        <v>0</v>
      </c>
      <c r="N545" s="19">
        <f>Tabela174681012142230322681619252731333624210121416182426283038402481012141620222628303234362426810121424610122426244262628262681026286236[[#This Row],[Uso diário]]*2</f>
        <v>37.6</v>
      </c>
      <c r="O545" s="19">
        <f>Tabela174681012142230322681619252731333624210121416182426283038402481012141620222628303234362426810121424610122426244262628262681026286236[[#This Row],[Total Acumulado]]-P545</f>
        <v>-94</v>
      </c>
      <c r="P545" s="48">
        <f>Tabela174681012142230322681619252731333624210121416182426283038402481012141620222628303234362426810121424610122426244262628262681026286236[[#This Row],[Uso diário]]*5</f>
        <v>94</v>
      </c>
      <c r="Q5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18.8</v>
      </c>
      <c r="S5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5" s="25">
        <v>5</v>
      </c>
    </row>
    <row r="546" spans="1:20" s="26" customFormat="1" x14ac:dyDescent="0.25">
      <c r="A546" s="16">
        <v>219304</v>
      </c>
      <c r="B546" s="30" t="s">
        <v>1356</v>
      </c>
      <c r="C546" s="20" t="s">
        <v>651</v>
      </c>
      <c r="D546" s="20" t="s">
        <v>719</v>
      </c>
      <c r="E546" s="20" t="s">
        <v>2609</v>
      </c>
      <c r="F546" s="20" t="s">
        <v>2610</v>
      </c>
      <c r="G546" s="21">
        <v>14.2</v>
      </c>
      <c r="H546" s="16">
        <v>16</v>
      </c>
      <c r="I546" s="16"/>
      <c r="J5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227.2</v>
      </c>
      <c r="K546" s="22"/>
      <c r="L546" s="23"/>
      <c r="M546" s="23">
        <f>SUM(Tabela174681012142230322681619252731333624210121416182426283038402481012141620222628303234362426810121424610122426244262628262681026286236[[#This Row],[Saldo no cartão]:[Recarga Pendente]])</f>
        <v>0</v>
      </c>
      <c r="N546" s="19">
        <f>Tabela174681012142230322681619252731333624210121416182426283038402481012141620222628303234362426810121424610122426244262628262681026286236[[#This Row],[Uso diário]]*2</f>
        <v>28.4</v>
      </c>
      <c r="O546" s="19">
        <f>Tabela174681012142230322681619252731333624210121416182426283038402481012141620222628303234362426810121424610122426244262628262681026286236[[#This Row],[Total Acumulado]]-P546</f>
        <v>-71</v>
      </c>
      <c r="P546" s="48">
        <f>Tabela174681012142230322681619252731333624210121416182426283038402481012141620222628303234362426810121424610122426244262628262681026286236[[#This Row],[Uso diário]]*5</f>
        <v>71</v>
      </c>
      <c r="Q5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227.2</v>
      </c>
      <c r="S5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6" s="25">
        <v>5</v>
      </c>
    </row>
    <row r="547" spans="1:20" s="26" customFormat="1" x14ac:dyDescent="0.25">
      <c r="A547" s="16">
        <v>222320</v>
      </c>
      <c r="B547" s="30" t="s">
        <v>274</v>
      </c>
      <c r="C547" s="20" t="s">
        <v>651</v>
      </c>
      <c r="D547" s="20" t="s">
        <v>719</v>
      </c>
      <c r="E547" s="20" t="s">
        <v>2611</v>
      </c>
      <c r="F547" s="20" t="s">
        <v>2612</v>
      </c>
      <c r="G547" s="21">
        <v>18.8</v>
      </c>
      <c r="H547" s="16">
        <v>16</v>
      </c>
      <c r="I547" s="16"/>
      <c r="J5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47" s="22"/>
      <c r="L547" s="23"/>
      <c r="M547" s="23">
        <f>SUM(Tabela174681012142230322681619252731333624210121416182426283038402481012141620222628303234362426810121424610122426244262628262681026286236[[#This Row],[Saldo no cartão]:[Recarga Pendente]])</f>
        <v>0</v>
      </c>
      <c r="N547" s="19">
        <f>Tabela174681012142230322681619252731333624210121416182426283038402481012141620222628303234362426810121424610122426244262628262681026286236[[#This Row],[Uso diário]]*2</f>
        <v>37.6</v>
      </c>
      <c r="O547" s="19">
        <f>Tabela174681012142230322681619252731333624210121416182426283038402481012141620222628303234362426810121424610122426244262628262681026286236[[#This Row],[Total Acumulado]]-P547</f>
        <v>-94</v>
      </c>
      <c r="P547" s="48">
        <f>Tabela174681012142230322681619252731333624210121416182426283038402481012141620222628303234362426810121424610122426244262628262681026286236[[#This Row],[Uso diário]]*5</f>
        <v>94</v>
      </c>
      <c r="Q5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7" s="25">
        <v>5</v>
      </c>
    </row>
    <row r="548" spans="1:20" s="26" customFormat="1" x14ac:dyDescent="0.25">
      <c r="A548" s="16">
        <v>222615</v>
      </c>
      <c r="B548" s="30" t="s">
        <v>275</v>
      </c>
      <c r="C548" s="20" t="s">
        <v>651</v>
      </c>
      <c r="D548" s="20" t="s">
        <v>716</v>
      </c>
      <c r="E548" s="20" t="s">
        <v>2613</v>
      </c>
      <c r="F548" s="20" t="s">
        <v>2614</v>
      </c>
      <c r="G548" s="21">
        <v>13.4</v>
      </c>
      <c r="H548" s="16">
        <v>16</v>
      </c>
      <c r="I548" s="16"/>
      <c r="J5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48" s="22"/>
      <c r="L548" s="23"/>
      <c r="M548" s="23">
        <f>SUM(Tabela174681012142230322681619252731333624210121416182426283038402481012141620222628303234362426810121424610122426244262628262681026286236[[#This Row],[Saldo no cartão]:[Recarga Pendente]])</f>
        <v>0</v>
      </c>
      <c r="N548" s="19">
        <f>Tabela174681012142230322681619252731333624210121416182426283038402481012141620222628303234362426810121424610122426244262628262681026286236[[#This Row],[Uso diário]]*2</f>
        <v>26.8</v>
      </c>
      <c r="O548" s="19">
        <f>Tabela174681012142230322681619252731333624210121416182426283038402481012141620222628303234362426810121424610122426244262628262681026286236[[#This Row],[Total Acumulado]]-P548</f>
        <v>-67</v>
      </c>
      <c r="P548" s="48">
        <f>Tabela174681012142230322681619252731333624210121416182426283038402481012141620222628303234362426810121424610122426244262628262681026286236[[#This Row],[Uso diário]]*5</f>
        <v>67</v>
      </c>
      <c r="Q5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8" s="25">
        <v>5</v>
      </c>
    </row>
    <row r="549" spans="1:20" s="26" customFormat="1" x14ac:dyDescent="0.25">
      <c r="A549" s="16">
        <v>223031</v>
      </c>
      <c r="B549" s="30" t="s">
        <v>1066</v>
      </c>
      <c r="C549" s="20" t="s">
        <v>651</v>
      </c>
      <c r="D549" s="20" t="s">
        <v>719</v>
      </c>
      <c r="E549" s="20" t="s">
        <v>2615</v>
      </c>
      <c r="F549" s="20" t="s">
        <v>2616</v>
      </c>
      <c r="G549" s="21">
        <v>18.8</v>
      </c>
      <c r="H549" s="16">
        <v>16</v>
      </c>
      <c r="I549" s="16"/>
      <c r="J5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49" s="22"/>
      <c r="L549" s="23"/>
      <c r="M549" s="23">
        <f>SUM(Tabela174681012142230322681619252731333624210121416182426283038402481012141620222628303234362426810121424610122426244262628262681026286236[[#This Row],[Saldo no cartão]:[Recarga Pendente]])</f>
        <v>0</v>
      </c>
      <c r="N549" s="19">
        <f>Tabela174681012142230322681619252731333624210121416182426283038402481012141620222628303234362426810121424610122426244262628262681026286236[[#This Row],[Uso diário]]*2</f>
        <v>37.6</v>
      </c>
      <c r="O549" s="19">
        <f>Tabela174681012142230322681619252731333624210121416182426283038402481012141620222628303234362426810121424610122426244262628262681026286236[[#This Row],[Total Acumulado]]-P549</f>
        <v>-94</v>
      </c>
      <c r="P549" s="48">
        <f>Tabela174681012142230322681619252731333624210121416182426283038402481012141620222628303234362426810121424610122426244262628262681026286236[[#This Row],[Uso diário]]*5</f>
        <v>94</v>
      </c>
      <c r="Q5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49" s="25">
        <v>5</v>
      </c>
    </row>
    <row r="550" spans="1:20" s="26" customFormat="1" x14ac:dyDescent="0.25">
      <c r="A550" s="16">
        <v>223382</v>
      </c>
      <c r="B550" s="30" t="s">
        <v>276</v>
      </c>
      <c r="C550" s="20" t="s">
        <v>651</v>
      </c>
      <c r="D550" s="20" t="s">
        <v>719</v>
      </c>
      <c r="E550" s="20" t="s">
        <v>2617</v>
      </c>
      <c r="F550" s="20" t="s">
        <v>2618</v>
      </c>
      <c r="G550" s="21">
        <v>18.8</v>
      </c>
      <c r="H550" s="16">
        <v>16</v>
      </c>
      <c r="I550" s="16">
        <v>3</v>
      </c>
      <c r="J5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550" s="22"/>
      <c r="L550" s="23"/>
      <c r="M550" s="23">
        <f>SUM(Tabela174681012142230322681619252731333624210121416182426283038402481012141620222628303234362426810121424610122426244262628262681026286236[[#This Row],[Saldo no cartão]:[Recarga Pendente]])</f>
        <v>0</v>
      </c>
      <c r="N550" s="19">
        <f>Tabela174681012142230322681619252731333624210121416182426283038402481012141620222628303234362426810121424610122426244262628262681026286236[[#This Row],[Uso diário]]*2</f>
        <v>37.6</v>
      </c>
      <c r="O550" s="19">
        <f>Tabela174681012142230322681619252731333624210121416182426283038402481012141620222628303234362426810121424610122426244262628262681026286236[[#This Row],[Total Acumulado]]-P550</f>
        <v>-94</v>
      </c>
      <c r="P550" s="48">
        <f>Tabela174681012142230322681619252731333624210121416182426283038402481012141620222628303234362426810121424610122426244262628262681026286236[[#This Row],[Uso diário]]*5</f>
        <v>94</v>
      </c>
      <c r="Q5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5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0" s="25">
        <v>5</v>
      </c>
    </row>
    <row r="551" spans="1:20" s="26" customFormat="1" x14ac:dyDescent="0.25">
      <c r="A551" s="16">
        <v>224867</v>
      </c>
      <c r="B551" s="30" t="s">
        <v>277</v>
      </c>
      <c r="C551" s="20" t="s">
        <v>651</v>
      </c>
      <c r="D551" s="20" t="s">
        <v>717</v>
      </c>
      <c r="E551" s="20" t="s">
        <v>2619</v>
      </c>
      <c r="F551" s="20" t="s">
        <v>2620</v>
      </c>
      <c r="G551" s="21">
        <v>18.8</v>
      </c>
      <c r="H551" s="16">
        <v>16</v>
      </c>
      <c r="I551" s="16"/>
      <c r="J5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51" s="22"/>
      <c r="L551" s="23"/>
      <c r="M551" s="23">
        <f>SUM(Tabela174681012142230322681619252731333624210121416182426283038402481012141620222628303234362426810121424610122426244262628262681026286236[[#This Row],[Saldo no cartão]:[Recarga Pendente]])</f>
        <v>0</v>
      </c>
      <c r="N551" s="19">
        <f>Tabela174681012142230322681619252731333624210121416182426283038402481012141620222628303234362426810121424610122426244262628262681026286236[[#This Row],[Uso diário]]*2</f>
        <v>37.6</v>
      </c>
      <c r="O551" s="19">
        <f>Tabela174681012142230322681619252731333624210121416182426283038402481012141620222628303234362426810121424610122426244262628262681026286236[[#This Row],[Total Acumulado]]-P551</f>
        <v>-94</v>
      </c>
      <c r="P551" s="48">
        <f>Tabela174681012142230322681619252731333624210121416182426283038402481012141620222628303234362426810121424610122426244262628262681026286236[[#This Row],[Uso diário]]*5</f>
        <v>94</v>
      </c>
      <c r="Q5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1" s="25">
        <v>5</v>
      </c>
    </row>
    <row r="552" spans="1:20" s="26" customFormat="1" x14ac:dyDescent="0.25">
      <c r="A552" s="16">
        <v>226476</v>
      </c>
      <c r="B552" s="30" t="s">
        <v>279</v>
      </c>
      <c r="C552" s="20" t="s">
        <v>651</v>
      </c>
      <c r="D552" s="20" t="s">
        <v>719</v>
      </c>
      <c r="E552" s="20" t="s">
        <v>2621</v>
      </c>
      <c r="F552" s="20" t="s">
        <v>2622</v>
      </c>
      <c r="G552" s="21">
        <v>18.8</v>
      </c>
      <c r="H552" s="16">
        <v>16</v>
      </c>
      <c r="I552" s="16"/>
      <c r="J5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52" s="22"/>
      <c r="L552" s="23"/>
      <c r="M552" s="23">
        <f>SUM(Tabela174681012142230322681619252731333624210121416182426283038402481012141620222628303234362426810121424610122426244262628262681026286236[[#This Row],[Saldo no cartão]:[Recarga Pendente]])</f>
        <v>0</v>
      </c>
      <c r="N552" s="19">
        <f>Tabela174681012142230322681619252731333624210121416182426283038402481012141620222628303234362426810121424610122426244262628262681026286236[[#This Row],[Uso diário]]*2</f>
        <v>37.6</v>
      </c>
      <c r="O552" s="19">
        <f>Tabela174681012142230322681619252731333624210121416182426283038402481012141620222628303234362426810121424610122426244262628262681026286236[[#This Row],[Total Acumulado]]-P552</f>
        <v>-94</v>
      </c>
      <c r="P552" s="48">
        <f>Tabela174681012142230322681619252731333624210121416182426283038402481012141620222628303234362426810121424610122426244262628262681026286236[[#This Row],[Uso diário]]*5</f>
        <v>94</v>
      </c>
      <c r="Q5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2" s="25">
        <v>5</v>
      </c>
    </row>
    <row r="553" spans="1:20" s="26" customFormat="1" x14ac:dyDescent="0.25">
      <c r="A553" s="16">
        <v>228736</v>
      </c>
      <c r="B553" s="30" t="s">
        <v>280</v>
      </c>
      <c r="C553" s="20" t="s">
        <v>651</v>
      </c>
      <c r="D553" s="20" t="s">
        <v>719</v>
      </c>
      <c r="E553" s="20" t="s">
        <v>2623</v>
      </c>
      <c r="F553" s="20" t="s">
        <v>2624</v>
      </c>
      <c r="G553" s="21">
        <v>18.8</v>
      </c>
      <c r="H553" s="16">
        <v>16</v>
      </c>
      <c r="I553" s="16"/>
      <c r="J5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53" s="22"/>
      <c r="L553" s="23"/>
      <c r="M553" s="23">
        <f>SUM(Tabela174681012142230322681619252731333624210121416182426283038402481012141620222628303234362426810121424610122426244262628262681026286236[[#This Row],[Saldo no cartão]:[Recarga Pendente]])</f>
        <v>0</v>
      </c>
      <c r="N553" s="19">
        <f>Tabela174681012142230322681619252731333624210121416182426283038402481012141620222628303234362426810121424610122426244262628262681026286236[[#This Row],[Uso diário]]*2</f>
        <v>37.6</v>
      </c>
      <c r="O553" s="19">
        <f>Tabela174681012142230322681619252731333624210121416182426283038402481012141620222628303234362426810121424610122426244262628262681026286236[[#This Row],[Total Acumulado]]-P553</f>
        <v>-94</v>
      </c>
      <c r="P553" s="48">
        <f>Tabela174681012142230322681619252731333624210121416182426283038402481012141620222628303234362426810121424610122426244262628262681026286236[[#This Row],[Uso diário]]*5</f>
        <v>94</v>
      </c>
      <c r="Q5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3" s="25">
        <v>5</v>
      </c>
    </row>
    <row r="554" spans="1:20" s="26" customFormat="1" x14ac:dyDescent="0.25">
      <c r="A554" s="16">
        <v>229009</v>
      </c>
      <c r="B554" s="30" t="s">
        <v>281</v>
      </c>
      <c r="C554" s="20" t="s">
        <v>651</v>
      </c>
      <c r="D554" s="20" t="s">
        <v>719</v>
      </c>
      <c r="E554" s="20" t="s">
        <v>2625</v>
      </c>
      <c r="F554" s="20" t="s">
        <v>2626</v>
      </c>
      <c r="G554" s="21">
        <v>20.100000000000001</v>
      </c>
      <c r="H554" s="16">
        <v>16</v>
      </c>
      <c r="I554" s="16"/>
      <c r="J5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554" s="22"/>
      <c r="L554" s="23"/>
      <c r="M554" s="23">
        <f>SUM(Tabela174681012142230322681619252731333624210121416182426283038402481012141620222628303234362426810121424610122426244262628262681026286236[[#This Row],[Saldo no cartão]:[Recarga Pendente]])</f>
        <v>0</v>
      </c>
      <c r="N554" s="19">
        <f>Tabela174681012142230322681619252731333624210121416182426283038402481012141620222628303234362426810121424610122426244262628262681026286236[[#This Row],[Uso diário]]*2</f>
        <v>40.200000000000003</v>
      </c>
      <c r="O554" s="19">
        <f>Tabela174681012142230322681619252731333624210121416182426283038402481012141620222628303234362426810121424610122426244262628262681026286236[[#This Row],[Total Acumulado]]-P554</f>
        <v>-100.5</v>
      </c>
      <c r="P554" s="48">
        <f>Tabela174681012142230322681619252731333624210121416182426283038402481012141620222628303234362426810121424610122426244262628262681026286236[[#This Row],[Uso diário]]*5</f>
        <v>100.5</v>
      </c>
      <c r="Q5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5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4" s="25">
        <v>5</v>
      </c>
    </row>
    <row r="555" spans="1:20" s="26" customFormat="1" x14ac:dyDescent="0.25">
      <c r="A555" s="16">
        <v>229167</v>
      </c>
      <c r="B555" s="30" t="s">
        <v>282</v>
      </c>
      <c r="C555" s="20" t="s">
        <v>651</v>
      </c>
      <c r="D555" s="20" t="s">
        <v>719</v>
      </c>
      <c r="E555" s="20" t="s">
        <v>2627</v>
      </c>
      <c r="F555" s="20" t="s">
        <v>2628</v>
      </c>
      <c r="G555" s="21">
        <v>13.4</v>
      </c>
      <c r="H555" s="16">
        <v>16</v>
      </c>
      <c r="I555" s="16">
        <v>1</v>
      </c>
      <c r="J5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555" s="22"/>
      <c r="L555" s="23"/>
      <c r="M555" s="23">
        <f>SUM(Tabela174681012142230322681619252731333624210121416182426283038402481012141620222628303234362426810121424610122426244262628262681026286236[[#This Row],[Saldo no cartão]:[Recarga Pendente]])</f>
        <v>0</v>
      </c>
      <c r="N555" s="19">
        <f>Tabela174681012142230322681619252731333624210121416182426283038402481012141620222628303234362426810121424610122426244262628262681026286236[[#This Row],[Uso diário]]*2</f>
        <v>26.8</v>
      </c>
      <c r="O555" s="19">
        <f>Tabela174681012142230322681619252731333624210121416182426283038402481012141620222628303234362426810121424610122426244262628262681026286236[[#This Row],[Total Acumulado]]-P555</f>
        <v>-67</v>
      </c>
      <c r="P555" s="48">
        <f>Tabela174681012142230322681619252731333624210121416182426283038402481012141620222628303234362426810121424610122426244262628262681026286236[[#This Row],[Uso diário]]*5</f>
        <v>67</v>
      </c>
      <c r="Q5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5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5" s="25">
        <v>5</v>
      </c>
    </row>
    <row r="556" spans="1:20" s="26" customFormat="1" x14ac:dyDescent="0.25">
      <c r="A556" s="16">
        <v>230000</v>
      </c>
      <c r="B556" s="30" t="s">
        <v>1450</v>
      </c>
      <c r="C556" s="20" t="s">
        <v>651</v>
      </c>
      <c r="D556" s="20" t="s">
        <v>719</v>
      </c>
      <c r="E556" s="20" t="s">
        <v>2629</v>
      </c>
      <c r="F556" s="20" t="s">
        <v>2630</v>
      </c>
      <c r="G556" s="21">
        <v>18.8</v>
      </c>
      <c r="H556" s="16">
        <v>16</v>
      </c>
      <c r="I556" s="16"/>
      <c r="J5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56" s="22"/>
      <c r="L556" s="23"/>
      <c r="M556" s="23">
        <f>SUM(Tabela174681012142230322681619252731333624210121416182426283038402481012141620222628303234362426810121424610122426244262628262681026286236[[#This Row],[Saldo no cartão]:[Recarga Pendente]])</f>
        <v>0</v>
      </c>
      <c r="N556" s="19">
        <f>Tabela174681012142230322681619252731333624210121416182426283038402481012141620222628303234362426810121424610122426244262628262681026286236[[#This Row],[Uso diário]]*2</f>
        <v>37.6</v>
      </c>
      <c r="O556" s="19">
        <f>Tabela174681012142230322681619252731333624210121416182426283038402481012141620222628303234362426810121424610122426244262628262681026286236[[#This Row],[Total Acumulado]]-P556</f>
        <v>-94</v>
      </c>
      <c r="P556" s="48">
        <f>Tabela174681012142230322681619252731333624210121416182426283038402481012141620222628303234362426810121424610122426244262628262681026286236[[#This Row],[Uso diário]]*5</f>
        <v>94</v>
      </c>
      <c r="Q5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6" s="25">
        <v>5</v>
      </c>
    </row>
    <row r="557" spans="1:20" s="26" customFormat="1" x14ac:dyDescent="0.25">
      <c r="A557" s="16">
        <v>230793</v>
      </c>
      <c r="B557" s="30" t="s">
        <v>236</v>
      </c>
      <c r="C557" s="20" t="s">
        <v>651</v>
      </c>
      <c r="D557" s="20" t="s">
        <v>719</v>
      </c>
      <c r="E557" s="20" t="s">
        <v>2631</v>
      </c>
      <c r="F557" s="20" t="s">
        <v>2632</v>
      </c>
      <c r="G557" s="21">
        <v>18.8</v>
      </c>
      <c r="H557" s="16">
        <v>16</v>
      </c>
      <c r="I557" s="16"/>
      <c r="J5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57" s="22"/>
      <c r="L557" s="23"/>
      <c r="M557" s="23">
        <f>SUM(Tabela174681012142230322681619252731333624210121416182426283038402481012141620222628303234362426810121424610122426244262628262681026286236[[#This Row],[Saldo no cartão]:[Recarga Pendente]])</f>
        <v>0</v>
      </c>
      <c r="N557" s="19">
        <f>Tabela174681012142230322681619252731333624210121416182426283038402481012141620222628303234362426810121424610122426244262628262681026286236[[#This Row],[Uso diário]]*2</f>
        <v>37.6</v>
      </c>
      <c r="O557" s="19">
        <f>Tabela174681012142230322681619252731333624210121416182426283038402481012141620222628303234362426810121424610122426244262628262681026286236[[#This Row],[Total Acumulado]]-P557</f>
        <v>-94</v>
      </c>
      <c r="P557" s="48">
        <f>Tabela174681012142230322681619252731333624210121416182426283038402481012141620222628303234362426810121424610122426244262628262681026286236[[#This Row],[Uso diário]]*5</f>
        <v>94</v>
      </c>
      <c r="Q5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7" s="25">
        <v>5</v>
      </c>
    </row>
    <row r="558" spans="1:20" s="26" customFormat="1" x14ac:dyDescent="0.25">
      <c r="A558" s="16">
        <v>231071</v>
      </c>
      <c r="B558" s="30" t="s">
        <v>1067</v>
      </c>
      <c r="C558" s="20" t="s">
        <v>651</v>
      </c>
      <c r="D558" s="20" t="s">
        <v>717</v>
      </c>
      <c r="E558" s="20" t="s">
        <v>2633</v>
      </c>
      <c r="F558" s="20" t="s">
        <v>2634</v>
      </c>
      <c r="G558" s="21">
        <v>18.8</v>
      </c>
      <c r="H558" s="16">
        <v>16</v>
      </c>
      <c r="I558" s="16">
        <v>1</v>
      </c>
      <c r="J5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558" s="22"/>
      <c r="L558" s="23"/>
      <c r="M558" s="23">
        <f>SUM(Tabela174681012142230322681619252731333624210121416182426283038402481012141620222628303234362426810121424610122426244262628262681026286236[[#This Row],[Saldo no cartão]:[Recarga Pendente]])</f>
        <v>0</v>
      </c>
      <c r="N558" s="19">
        <f>Tabela174681012142230322681619252731333624210121416182426283038402481012141620222628303234362426810121424610122426244262628262681026286236[[#This Row],[Uso diário]]*2</f>
        <v>37.6</v>
      </c>
      <c r="O558" s="19">
        <f>Tabela174681012142230322681619252731333624210121416182426283038402481012141620222628303234362426810121424610122426244262628262681026286236[[#This Row],[Total Acumulado]]-P558</f>
        <v>-94</v>
      </c>
      <c r="P558" s="48">
        <f>Tabela174681012142230322681619252731333624210121416182426283038402481012141620222628303234362426810121424610122426244262628262681026286236[[#This Row],[Uso diário]]*5</f>
        <v>94</v>
      </c>
      <c r="Q5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5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8" s="25">
        <v>5</v>
      </c>
    </row>
    <row r="559" spans="1:20" s="26" customFormat="1" x14ac:dyDescent="0.25">
      <c r="A559" s="16">
        <v>231074</v>
      </c>
      <c r="B559" s="30" t="s">
        <v>1451</v>
      </c>
      <c r="C559" s="20" t="s">
        <v>651</v>
      </c>
      <c r="D559" s="20" t="s">
        <v>716</v>
      </c>
      <c r="E559" s="20" t="s">
        <v>2635</v>
      </c>
      <c r="F559" s="20" t="s">
        <v>2636</v>
      </c>
      <c r="G559" s="21">
        <v>18.8</v>
      </c>
      <c r="H559" s="16">
        <v>16</v>
      </c>
      <c r="I559" s="16"/>
      <c r="J5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59" s="22"/>
      <c r="L559" s="23"/>
      <c r="M559" s="23">
        <f>SUM(Tabela174681012142230322681619252731333624210121416182426283038402481012141620222628303234362426810121424610122426244262628262681026286236[[#This Row],[Saldo no cartão]:[Recarga Pendente]])</f>
        <v>0</v>
      </c>
      <c r="N559" s="19">
        <f>Tabela174681012142230322681619252731333624210121416182426283038402481012141620222628303234362426810121424610122426244262628262681026286236[[#This Row],[Uso diário]]*2</f>
        <v>37.6</v>
      </c>
      <c r="O559" s="19">
        <f>Tabela174681012142230322681619252731333624210121416182426283038402481012141620222628303234362426810121424610122426244262628262681026286236[[#This Row],[Total Acumulado]]-P559</f>
        <v>-94</v>
      </c>
      <c r="P559" s="48">
        <f>Tabela174681012142230322681619252731333624210121416182426283038402481012141620222628303234362426810121424610122426244262628262681026286236[[#This Row],[Uso diário]]*5</f>
        <v>94</v>
      </c>
      <c r="Q5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59" s="25">
        <v>5</v>
      </c>
    </row>
    <row r="560" spans="1:20" s="26" customFormat="1" x14ac:dyDescent="0.25">
      <c r="A560" s="16">
        <v>231274</v>
      </c>
      <c r="B560" s="30" t="s">
        <v>791</v>
      </c>
      <c r="C560" s="20" t="s">
        <v>651</v>
      </c>
      <c r="D560" s="20" t="s">
        <v>716</v>
      </c>
      <c r="E560" s="20" t="s">
        <v>2637</v>
      </c>
      <c r="F560" s="20" t="s">
        <v>2638</v>
      </c>
      <c r="G560" s="21">
        <v>18.8</v>
      </c>
      <c r="H560" s="16">
        <v>16</v>
      </c>
      <c r="I560" s="16">
        <v>1</v>
      </c>
      <c r="J5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560" s="22"/>
      <c r="L560" s="23"/>
      <c r="M560" s="23">
        <f>SUM(Tabela174681012142230322681619252731333624210121416182426283038402481012141620222628303234362426810121424610122426244262628262681026286236[[#This Row],[Saldo no cartão]:[Recarga Pendente]])</f>
        <v>0</v>
      </c>
      <c r="N560" s="19">
        <f>Tabela174681012142230322681619252731333624210121416182426283038402481012141620222628303234362426810121424610122426244262628262681026286236[[#This Row],[Uso diário]]*2</f>
        <v>37.6</v>
      </c>
      <c r="O560" s="19">
        <f>Tabela174681012142230322681619252731333624210121416182426283038402481012141620222628303234362426810121424610122426244262628262681026286236[[#This Row],[Total Acumulado]]-P560</f>
        <v>-94</v>
      </c>
      <c r="P560" s="48">
        <f>Tabela174681012142230322681619252731333624210121416182426283038402481012141620222628303234362426810121424610122426244262628262681026286236[[#This Row],[Uso diário]]*5</f>
        <v>94</v>
      </c>
      <c r="Q5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5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0" s="25">
        <v>5</v>
      </c>
    </row>
    <row r="561" spans="1:20" s="26" customFormat="1" x14ac:dyDescent="0.25">
      <c r="A561" s="16">
        <v>231947</v>
      </c>
      <c r="B561" s="30" t="s">
        <v>825</v>
      </c>
      <c r="C561" s="20" t="s">
        <v>651</v>
      </c>
      <c r="D561" s="20" t="s">
        <v>719</v>
      </c>
      <c r="E561" s="20" t="s">
        <v>2639</v>
      </c>
      <c r="F561" s="20" t="s">
        <v>2640</v>
      </c>
      <c r="G561" s="21">
        <v>18.8</v>
      </c>
      <c r="H561" s="16">
        <v>16</v>
      </c>
      <c r="I561" s="16"/>
      <c r="J5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61" s="22"/>
      <c r="L561" s="23"/>
      <c r="M561" s="23">
        <f>SUM(Tabela174681012142230322681619252731333624210121416182426283038402481012141620222628303234362426810121424610122426244262628262681026286236[[#This Row],[Saldo no cartão]:[Recarga Pendente]])</f>
        <v>0</v>
      </c>
      <c r="N561" s="19">
        <f>Tabela174681012142230322681619252731333624210121416182426283038402481012141620222628303234362426810121424610122426244262628262681026286236[[#This Row],[Uso diário]]*2</f>
        <v>37.6</v>
      </c>
      <c r="O561" s="19">
        <f>Tabela174681012142230322681619252731333624210121416182426283038402481012141620222628303234362426810121424610122426244262628262681026286236[[#This Row],[Total Acumulado]]-P561</f>
        <v>-94</v>
      </c>
      <c r="P561" s="48">
        <f>Tabela174681012142230322681619252731333624210121416182426283038402481012141620222628303234362426810121424610122426244262628262681026286236[[#This Row],[Uso diário]]*5</f>
        <v>94</v>
      </c>
      <c r="Q5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1" s="25">
        <v>5</v>
      </c>
    </row>
    <row r="562" spans="1:20" s="26" customFormat="1" x14ac:dyDescent="0.25">
      <c r="A562" s="16">
        <v>232238</v>
      </c>
      <c r="B562" s="30" t="s">
        <v>1452</v>
      </c>
      <c r="C562" s="20" t="s">
        <v>651</v>
      </c>
      <c r="D562" s="20" t="s">
        <v>716</v>
      </c>
      <c r="E562" s="20" t="s">
        <v>2641</v>
      </c>
      <c r="F562" s="20" t="s">
        <v>2642</v>
      </c>
      <c r="G562" s="21">
        <v>13.4</v>
      </c>
      <c r="H562" s="16">
        <v>16</v>
      </c>
      <c r="I562" s="16"/>
      <c r="J5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62" s="22"/>
      <c r="L562" s="23">
        <v>47.85</v>
      </c>
      <c r="M562" s="23">
        <f>SUM(Tabela174681012142230322681619252731333624210121416182426283038402481012141620222628303234362426810121424610122426244262628262681026286236[[#This Row],[Saldo no cartão]:[Recarga Pendente]])</f>
        <v>47.85</v>
      </c>
      <c r="N562" s="19">
        <f>Tabela174681012142230322681619252731333624210121416182426283038402481012141620222628303234362426810121424610122426244262628262681026286236[[#This Row],[Uso diário]]*2</f>
        <v>26.8</v>
      </c>
      <c r="O562" s="19">
        <f>Tabela174681012142230322681619252731333624210121416182426283038402481012141620222628303234362426810121424610122426244262628262681026286236[[#This Row],[Total Acumulado]]-P562</f>
        <v>-19.149999999999999</v>
      </c>
      <c r="P562" s="48">
        <f>Tabela174681012142230322681619252731333624210121416182426283038402481012141620222628303234362426810121424610122426244262628262681026286236[[#This Row],[Uso diário]]*5</f>
        <v>67</v>
      </c>
      <c r="Q5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2" s="25">
        <v>5</v>
      </c>
    </row>
    <row r="563" spans="1:20" s="26" customFormat="1" x14ac:dyDescent="0.25">
      <c r="A563" s="16">
        <v>232590</v>
      </c>
      <c r="B563" s="30" t="s">
        <v>939</v>
      </c>
      <c r="C563" s="20" t="s">
        <v>651</v>
      </c>
      <c r="D563" s="20" t="s">
        <v>719</v>
      </c>
      <c r="E563" s="20" t="s">
        <v>2643</v>
      </c>
      <c r="F563" s="20" t="s">
        <v>2644</v>
      </c>
      <c r="G563" s="21">
        <v>13.4</v>
      </c>
      <c r="H563" s="16">
        <v>16</v>
      </c>
      <c r="I563" s="16"/>
      <c r="J5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63" s="22"/>
      <c r="L563" s="23"/>
      <c r="M563" s="23">
        <f>SUM(Tabela174681012142230322681619252731333624210121416182426283038402481012141620222628303234362426810121424610122426244262628262681026286236[[#This Row],[Saldo no cartão]:[Recarga Pendente]])</f>
        <v>0</v>
      </c>
      <c r="N563" s="19">
        <f>Tabela174681012142230322681619252731333624210121416182426283038402481012141620222628303234362426810121424610122426244262628262681026286236[[#This Row],[Uso diário]]*2</f>
        <v>26.8</v>
      </c>
      <c r="O563" s="19">
        <f>Tabela174681012142230322681619252731333624210121416182426283038402481012141620222628303234362426810121424610122426244262628262681026286236[[#This Row],[Total Acumulado]]-P563</f>
        <v>-67</v>
      </c>
      <c r="P563" s="48">
        <f>Tabela174681012142230322681619252731333624210121416182426283038402481012141620222628303234362426810121424610122426244262628262681026286236[[#This Row],[Uso diário]]*5</f>
        <v>67</v>
      </c>
      <c r="Q5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3" s="25">
        <v>5</v>
      </c>
    </row>
    <row r="564" spans="1:20" s="26" customFormat="1" x14ac:dyDescent="0.25">
      <c r="A564" s="16">
        <v>232714</v>
      </c>
      <c r="B564" s="30" t="s">
        <v>940</v>
      </c>
      <c r="C564" s="20" t="s">
        <v>651</v>
      </c>
      <c r="D564" s="20" t="s">
        <v>716</v>
      </c>
      <c r="E564" s="20" t="s">
        <v>2645</v>
      </c>
      <c r="F564" s="20" t="s">
        <v>2646</v>
      </c>
      <c r="G564" s="21">
        <v>13.4</v>
      </c>
      <c r="H564" s="16">
        <v>16</v>
      </c>
      <c r="I564" s="16"/>
      <c r="J5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64" s="22"/>
      <c r="L564" s="23"/>
      <c r="M564" s="23">
        <f>SUM(Tabela174681012142230322681619252731333624210121416182426283038402481012141620222628303234362426810121424610122426244262628262681026286236[[#This Row],[Saldo no cartão]:[Recarga Pendente]])</f>
        <v>0</v>
      </c>
      <c r="N564" s="19">
        <f>Tabela174681012142230322681619252731333624210121416182426283038402481012141620222628303234362426810121424610122426244262628262681026286236[[#This Row],[Uso diário]]*2</f>
        <v>26.8</v>
      </c>
      <c r="O564" s="19">
        <f>Tabela174681012142230322681619252731333624210121416182426283038402481012141620222628303234362426810121424610122426244262628262681026286236[[#This Row],[Total Acumulado]]-P564</f>
        <v>-67</v>
      </c>
      <c r="P564" s="48">
        <f>Tabela174681012142230322681619252731333624210121416182426283038402481012141620222628303234362426810121424610122426244262628262681026286236[[#This Row],[Uso diário]]*5</f>
        <v>67</v>
      </c>
      <c r="Q5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4" s="25">
        <v>5</v>
      </c>
    </row>
    <row r="565" spans="1:20" s="26" customFormat="1" x14ac:dyDescent="0.25">
      <c r="A565" s="16">
        <v>233096</v>
      </c>
      <c r="B565" s="30" t="s">
        <v>986</v>
      </c>
      <c r="C565" s="20" t="s">
        <v>651</v>
      </c>
      <c r="D565" s="20" t="s">
        <v>716</v>
      </c>
      <c r="E565" s="20" t="s">
        <v>2647</v>
      </c>
      <c r="F565" s="20" t="s">
        <v>2648</v>
      </c>
      <c r="G565" s="21">
        <v>13.4</v>
      </c>
      <c r="H565" s="16">
        <v>16</v>
      </c>
      <c r="I565" s="16">
        <v>4</v>
      </c>
      <c r="J5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160.80000000000001</v>
      </c>
      <c r="K565" s="22"/>
      <c r="L565" s="23"/>
      <c r="M565" s="23">
        <f>SUM(Tabela174681012142230322681619252731333624210121416182426283038402481012141620222628303234362426810121424610122426244262628262681026286236[[#This Row],[Saldo no cartão]:[Recarga Pendente]])</f>
        <v>0</v>
      </c>
      <c r="N565" s="19">
        <f>Tabela174681012142230322681619252731333624210121416182426283038402481012141620222628303234362426810121424610122426244262628262681026286236[[#This Row],[Uso diário]]*2</f>
        <v>26.8</v>
      </c>
      <c r="O565" s="19">
        <f>Tabela174681012142230322681619252731333624210121416182426283038402481012141620222628303234362426810121424610122426244262628262681026286236[[#This Row],[Total Acumulado]]-P565</f>
        <v>-67</v>
      </c>
      <c r="P565" s="48">
        <f>Tabela174681012142230322681619252731333624210121416182426283038402481012141620222628303234362426810121424610122426244262628262681026286236[[#This Row],[Uso diário]]*5</f>
        <v>67</v>
      </c>
      <c r="Q5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160.80000000000001</v>
      </c>
      <c r="S5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5" s="25">
        <v>5</v>
      </c>
    </row>
    <row r="566" spans="1:20" s="26" customFormat="1" x14ac:dyDescent="0.25">
      <c r="A566" s="16">
        <v>233097</v>
      </c>
      <c r="B566" s="30" t="s">
        <v>987</v>
      </c>
      <c r="C566" s="20" t="s">
        <v>651</v>
      </c>
      <c r="D566" s="20" t="s">
        <v>716</v>
      </c>
      <c r="E566" s="20" t="s">
        <v>2649</v>
      </c>
      <c r="F566" s="20" t="s">
        <v>2650</v>
      </c>
      <c r="G566" s="21">
        <v>13.4</v>
      </c>
      <c r="H566" s="16">
        <v>16</v>
      </c>
      <c r="I566" s="16"/>
      <c r="J5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66" s="22"/>
      <c r="L566" s="23"/>
      <c r="M566" s="23">
        <f>SUM(Tabela174681012142230322681619252731333624210121416182426283038402481012141620222628303234362426810121424610122426244262628262681026286236[[#This Row],[Saldo no cartão]:[Recarga Pendente]])</f>
        <v>0</v>
      </c>
      <c r="N566" s="19">
        <f>Tabela174681012142230322681619252731333624210121416182426283038402481012141620222628303234362426810121424610122426244262628262681026286236[[#This Row],[Uso diário]]*2</f>
        <v>26.8</v>
      </c>
      <c r="O566" s="19">
        <f>Tabela174681012142230322681619252731333624210121416182426283038402481012141620222628303234362426810121424610122426244262628262681026286236[[#This Row],[Total Acumulado]]-P566</f>
        <v>-67</v>
      </c>
      <c r="P566" s="48">
        <f>Tabela174681012142230322681619252731333624210121416182426283038402481012141620222628303234362426810121424610122426244262628262681026286236[[#This Row],[Uso diário]]*5</f>
        <v>67</v>
      </c>
      <c r="Q5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6" s="25">
        <v>5</v>
      </c>
    </row>
    <row r="567" spans="1:20" s="26" customFormat="1" x14ac:dyDescent="0.25">
      <c r="A567" s="16">
        <v>233142</v>
      </c>
      <c r="B567" s="30" t="s">
        <v>988</v>
      </c>
      <c r="C567" s="20" t="s">
        <v>651</v>
      </c>
      <c r="D567" s="20" t="s">
        <v>716</v>
      </c>
      <c r="E567" s="20" t="s">
        <v>2651</v>
      </c>
      <c r="F567" s="20" t="s">
        <v>2652</v>
      </c>
      <c r="G567" s="21">
        <v>13.4</v>
      </c>
      <c r="H567" s="16">
        <v>26</v>
      </c>
      <c r="I567" s="16"/>
      <c r="J5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567" s="22"/>
      <c r="L567" s="23"/>
      <c r="M567" s="23">
        <f>SUM(Tabela174681012142230322681619252731333624210121416182426283038402481012141620222628303234362426810121424610122426244262628262681026286236[[#This Row],[Saldo no cartão]:[Recarga Pendente]])</f>
        <v>0</v>
      </c>
      <c r="N567" s="19">
        <f>Tabela174681012142230322681619252731333624210121416182426283038402481012141620222628303234362426810121424610122426244262628262681026286236[[#This Row],[Uso diário]]*2</f>
        <v>26.8</v>
      </c>
      <c r="O567" s="19">
        <f>Tabela174681012142230322681619252731333624210121416182426283038402481012141620222628303234362426810121424610122426244262628262681026286236[[#This Row],[Total Acumulado]]-P567</f>
        <v>-67</v>
      </c>
      <c r="P567" s="48">
        <f>Tabela174681012142230322681619252731333624210121416182426283038402481012141620222628303234362426810121424610122426244262628262681026286236[[#This Row],[Uso diário]]*5</f>
        <v>67</v>
      </c>
      <c r="Q5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5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7" s="25">
        <v>5</v>
      </c>
    </row>
    <row r="568" spans="1:20" s="26" customFormat="1" x14ac:dyDescent="0.25">
      <c r="A568" s="16">
        <v>233425</v>
      </c>
      <c r="B568" s="30" t="s">
        <v>1068</v>
      </c>
      <c r="C568" s="20" t="s">
        <v>651</v>
      </c>
      <c r="D568" s="20" t="s">
        <v>716</v>
      </c>
      <c r="E568" s="20" t="s">
        <v>2653</v>
      </c>
      <c r="F568" s="20" t="s">
        <v>2654</v>
      </c>
      <c r="G568" s="21">
        <v>18.8</v>
      </c>
      <c r="H568" s="16">
        <v>16</v>
      </c>
      <c r="I568" s="16"/>
      <c r="J5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68" s="22"/>
      <c r="L568" s="23"/>
      <c r="M568" s="23">
        <f>SUM(Tabela174681012142230322681619252731333624210121416182426283038402481012141620222628303234362426810121424610122426244262628262681026286236[[#This Row],[Saldo no cartão]:[Recarga Pendente]])</f>
        <v>0</v>
      </c>
      <c r="N568" s="19">
        <f>Tabela174681012142230322681619252731333624210121416182426283038402481012141620222628303234362426810121424610122426244262628262681026286236[[#This Row],[Uso diário]]*2</f>
        <v>37.6</v>
      </c>
      <c r="O568" s="19">
        <f>Tabela174681012142230322681619252731333624210121416182426283038402481012141620222628303234362426810121424610122426244262628262681026286236[[#This Row],[Total Acumulado]]-P568</f>
        <v>-94</v>
      </c>
      <c r="P568" s="48">
        <f>Tabela174681012142230322681619252731333624210121416182426283038402481012141620222628303234362426810121424610122426244262628262681026286236[[#This Row],[Uso diário]]*5</f>
        <v>94</v>
      </c>
      <c r="Q5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8" s="25">
        <v>5</v>
      </c>
    </row>
    <row r="569" spans="1:20" s="26" customFormat="1" x14ac:dyDescent="0.25">
      <c r="A569" s="16">
        <v>233454</v>
      </c>
      <c r="B569" s="30" t="s">
        <v>1069</v>
      </c>
      <c r="C569" s="20" t="s">
        <v>651</v>
      </c>
      <c r="D569" s="20" t="s">
        <v>716</v>
      </c>
      <c r="E569" s="20" t="s">
        <v>2655</v>
      </c>
      <c r="F569" s="20" t="s">
        <v>2656</v>
      </c>
      <c r="G569" s="21">
        <v>18.8</v>
      </c>
      <c r="H569" s="16">
        <v>16</v>
      </c>
      <c r="I569" s="16"/>
      <c r="J5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69" s="22"/>
      <c r="L569" s="23"/>
      <c r="M569" s="23">
        <f>SUM(Tabela174681012142230322681619252731333624210121416182426283038402481012141620222628303234362426810121424610122426244262628262681026286236[[#This Row],[Saldo no cartão]:[Recarga Pendente]])</f>
        <v>0</v>
      </c>
      <c r="N569" s="19">
        <f>Tabela174681012142230322681619252731333624210121416182426283038402481012141620222628303234362426810121424610122426244262628262681026286236[[#This Row],[Uso diário]]*2</f>
        <v>37.6</v>
      </c>
      <c r="O569" s="19">
        <f>Tabela174681012142230322681619252731333624210121416182426283038402481012141620222628303234362426810121424610122426244262628262681026286236[[#This Row],[Total Acumulado]]-P569</f>
        <v>-94</v>
      </c>
      <c r="P569" s="48">
        <f>Tabela174681012142230322681619252731333624210121416182426283038402481012141620222628303234362426810121424610122426244262628262681026286236[[#This Row],[Uso diário]]*5</f>
        <v>94</v>
      </c>
      <c r="Q5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69" s="25">
        <v>5</v>
      </c>
    </row>
    <row r="570" spans="1:20" s="26" customFormat="1" x14ac:dyDescent="0.25">
      <c r="A570" s="16">
        <v>233547</v>
      </c>
      <c r="B570" s="30" t="s">
        <v>1070</v>
      </c>
      <c r="C570" s="20" t="s">
        <v>651</v>
      </c>
      <c r="D570" s="20" t="s">
        <v>716</v>
      </c>
      <c r="E570" s="20" t="s">
        <v>2657</v>
      </c>
      <c r="F570" s="20" t="s">
        <v>2658</v>
      </c>
      <c r="G570" s="21">
        <v>13.4</v>
      </c>
      <c r="H570" s="16">
        <v>16</v>
      </c>
      <c r="I570" s="16">
        <v>3</v>
      </c>
      <c r="J5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174.20000000000002</v>
      </c>
      <c r="K570" s="22"/>
      <c r="L570" s="23"/>
      <c r="M570" s="23">
        <f>SUM(Tabela174681012142230322681619252731333624210121416182426283038402481012141620222628303234362426810121424610122426244262628262681026286236[[#This Row],[Saldo no cartão]:[Recarga Pendente]])</f>
        <v>0</v>
      </c>
      <c r="N570" s="19">
        <f>Tabela174681012142230322681619252731333624210121416182426283038402481012141620222628303234362426810121424610122426244262628262681026286236[[#This Row],[Uso diário]]*2</f>
        <v>26.8</v>
      </c>
      <c r="O570" s="19">
        <f>Tabela174681012142230322681619252731333624210121416182426283038402481012141620222628303234362426810121424610122426244262628262681026286236[[#This Row],[Total Acumulado]]-P570</f>
        <v>-67</v>
      </c>
      <c r="P570" s="48">
        <f>Tabela174681012142230322681619252731333624210121416182426283038402481012141620222628303234362426810121424610122426244262628262681026286236[[#This Row],[Uso diário]]*5</f>
        <v>67</v>
      </c>
      <c r="Q5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174.20000000000002</v>
      </c>
      <c r="S5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0" s="25">
        <v>5</v>
      </c>
    </row>
    <row r="571" spans="1:20" s="26" customFormat="1" x14ac:dyDescent="0.25">
      <c r="A571" s="16">
        <v>233566</v>
      </c>
      <c r="B571" s="30" t="s">
        <v>1071</v>
      </c>
      <c r="C571" s="20" t="s">
        <v>651</v>
      </c>
      <c r="D571" s="20" t="s">
        <v>716</v>
      </c>
      <c r="E571" s="20" t="s">
        <v>2659</v>
      </c>
      <c r="F571" s="20" t="s">
        <v>2660</v>
      </c>
      <c r="G571" s="21">
        <v>18.8</v>
      </c>
      <c r="H571" s="16">
        <v>16</v>
      </c>
      <c r="I571" s="16"/>
      <c r="J5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71" s="22"/>
      <c r="L571" s="23"/>
      <c r="M571" s="23">
        <f>SUM(Tabela174681012142230322681619252731333624210121416182426283038402481012141620222628303234362426810121424610122426244262628262681026286236[[#This Row],[Saldo no cartão]:[Recarga Pendente]])</f>
        <v>0</v>
      </c>
      <c r="N571" s="19">
        <f>Tabela174681012142230322681619252731333624210121416182426283038402481012141620222628303234362426810121424610122426244262628262681026286236[[#This Row],[Uso diário]]*2</f>
        <v>37.6</v>
      </c>
      <c r="O571" s="19">
        <f>Tabela174681012142230322681619252731333624210121416182426283038402481012141620222628303234362426810121424610122426244262628262681026286236[[#This Row],[Total Acumulado]]-P571</f>
        <v>-94</v>
      </c>
      <c r="P571" s="48">
        <f>Tabela174681012142230322681619252731333624210121416182426283038402481012141620222628303234362426810121424610122426244262628262681026286236[[#This Row],[Uso diário]]*5</f>
        <v>94</v>
      </c>
      <c r="Q5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1" s="25">
        <v>5</v>
      </c>
    </row>
    <row r="572" spans="1:20" s="26" customFormat="1" x14ac:dyDescent="0.25">
      <c r="A572" s="16">
        <v>233963</v>
      </c>
      <c r="B572" s="30" t="s">
        <v>1184</v>
      </c>
      <c r="C572" s="20" t="s">
        <v>651</v>
      </c>
      <c r="D572" s="20" t="s">
        <v>716</v>
      </c>
      <c r="E572" s="20" t="s">
        <v>2661</v>
      </c>
      <c r="F572" s="20" t="s">
        <v>2662</v>
      </c>
      <c r="G572" s="21">
        <v>18.8</v>
      </c>
      <c r="H572" s="16">
        <v>16</v>
      </c>
      <c r="I572" s="16"/>
      <c r="J5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72" s="22"/>
      <c r="L572" s="23"/>
      <c r="M572" s="23">
        <f>SUM(Tabela174681012142230322681619252731333624210121416182426283038402481012141620222628303234362426810121424610122426244262628262681026286236[[#This Row],[Saldo no cartão]:[Recarga Pendente]])</f>
        <v>0</v>
      </c>
      <c r="N572" s="19">
        <f>Tabela174681012142230322681619252731333624210121416182426283038402481012141620222628303234362426810121424610122426244262628262681026286236[[#This Row],[Uso diário]]*2</f>
        <v>37.6</v>
      </c>
      <c r="O572" s="19">
        <f>Tabela174681012142230322681619252731333624210121416182426283038402481012141620222628303234362426810121424610122426244262628262681026286236[[#This Row],[Total Acumulado]]-P572</f>
        <v>-94</v>
      </c>
      <c r="P572" s="48">
        <f>Tabela174681012142230322681619252731333624210121416182426283038402481012141620222628303234362426810121424610122426244262628262681026286236[[#This Row],[Uso diário]]*5</f>
        <v>94</v>
      </c>
      <c r="Q5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2" s="25">
        <v>5</v>
      </c>
    </row>
    <row r="573" spans="1:20" s="26" customFormat="1" x14ac:dyDescent="0.25">
      <c r="A573" s="16">
        <v>233990</v>
      </c>
      <c r="B573" s="30" t="s">
        <v>1185</v>
      </c>
      <c r="C573" s="20" t="s">
        <v>651</v>
      </c>
      <c r="D573" s="20" t="s">
        <v>716</v>
      </c>
      <c r="E573" s="20" t="s">
        <v>2663</v>
      </c>
      <c r="F573" s="20" t="s">
        <v>2664</v>
      </c>
      <c r="G573" s="21">
        <v>18.8</v>
      </c>
      <c r="H573" s="16">
        <v>16</v>
      </c>
      <c r="I573" s="16"/>
      <c r="J5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73" s="22"/>
      <c r="L573" s="23"/>
      <c r="M573" s="23">
        <f>SUM(Tabela174681012142230322681619252731333624210121416182426283038402481012141620222628303234362426810121424610122426244262628262681026286236[[#This Row],[Saldo no cartão]:[Recarga Pendente]])</f>
        <v>0</v>
      </c>
      <c r="N573" s="19">
        <f>Tabela174681012142230322681619252731333624210121416182426283038402481012141620222628303234362426810121424610122426244262628262681026286236[[#This Row],[Uso diário]]*2</f>
        <v>37.6</v>
      </c>
      <c r="O573" s="19">
        <f>Tabela174681012142230322681619252731333624210121416182426283038402481012141620222628303234362426810121424610122426244262628262681026286236[[#This Row],[Total Acumulado]]-P573</f>
        <v>-94</v>
      </c>
      <c r="P573" s="48">
        <f>Tabela174681012142230322681619252731333624210121416182426283038402481012141620222628303234362426810121424610122426244262628262681026286236[[#This Row],[Uso diário]]*5</f>
        <v>94</v>
      </c>
      <c r="Q5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3" s="25">
        <v>5</v>
      </c>
    </row>
    <row r="574" spans="1:20" s="26" customFormat="1" x14ac:dyDescent="0.25">
      <c r="A574" s="16">
        <v>234030</v>
      </c>
      <c r="B574" s="30" t="s">
        <v>1186</v>
      </c>
      <c r="C574" s="20" t="s">
        <v>651</v>
      </c>
      <c r="D574" s="20" t="s">
        <v>716</v>
      </c>
      <c r="E574" s="20" t="s">
        <v>2665</v>
      </c>
      <c r="F574" s="20" t="s">
        <v>2666</v>
      </c>
      <c r="G574" s="21">
        <v>18.8</v>
      </c>
      <c r="H574" s="16">
        <v>16</v>
      </c>
      <c r="I574" s="16">
        <v>5</v>
      </c>
      <c r="J5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574" s="22"/>
      <c r="L574" s="23"/>
      <c r="M574" s="23">
        <f>SUM(Tabela174681012142230322681619252731333624210121416182426283038402481012141620222628303234362426810121424610122426244262628262681026286236[[#This Row],[Saldo no cartão]:[Recarga Pendente]])</f>
        <v>0</v>
      </c>
      <c r="N574" s="19">
        <f>Tabela174681012142230322681619252731333624210121416182426283038402481012141620222628303234362426810121424610122426244262628262681026286236[[#This Row],[Uso diário]]*2</f>
        <v>37.6</v>
      </c>
      <c r="O574" s="19">
        <f>Tabela174681012142230322681619252731333624210121416182426283038402481012141620222628303234362426810121424610122426244262628262681026286236[[#This Row],[Total Acumulado]]-P574</f>
        <v>-94</v>
      </c>
      <c r="P574" s="48">
        <f>Tabela174681012142230322681619252731333624210121416182426283038402481012141620222628303234362426810121424610122426244262628262681026286236[[#This Row],[Uso diário]]*5</f>
        <v>94</v>
      </c>
      <c r="Q5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5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4" s="25">
        <v>5</v>
      </c>
    </row>
    <row r="575" spans="1:20" s="26" customFormat="1" x14ac:dyDescent="0.25">
      <c r="A575" s="16">
        <v>234126</v>
      </c>
      <c r="B575" s="30" t="s">
        <v>1187</v>
      </c>
      <c r="C575" s="20" t="s">
        <v>651</v>
      </c>
      <c r="D575" s="20" t="s">
        <v>716</v>
      </c>
      <c r="E575" s="20" t="s">
        <v>2667</v>
      </c>
      <c r="F575" s="20" t="s">
        <v>2668</v>
      </c>
      <c r="G575" s="21">
        <v>13.4</v>
      </c>
      <c r="H575" s="16">
        <v>16</v>
      </c>
      <c r="I575" s="16"/>
      <c r="J5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75" s="22"/>
      <c r="L575" s="23"/>
      <c r="M575" s="23">
        <f>SUM(Tabela174681012142230322681619252731333624210121416182426283038402481012141620222628303234362426810121424610122426244262628262681026286236[[#This Row],[Saldo no cartão]:[Recarga Pendente]])</f>
        <v>0</v>
      </c>
      <c r="N575" s="19">
        <f>Tabela174681012142230322681619252731333624210121416182426283038402481012141620222628303234362426810121424610122426244262628262681026286236[[#This Row],[Uso diário]]*2</f>
        <v>26.8</v>
      </c>
      <c r="O575" s="19">
        <f>Tabela174681012142230322681619252731333624210121416182426283038402481012141620222628303234362426810121424610122426244262628262681026286236[[#This Row],[Total Acumulado]]-P575</f>
        <v>-67</v>
      </c>
      <c r="P575" s="48">
        <f>Tabela174681012142230322681619252731333624210121416182426283038402481012141620222628303234362426810121424610122426244262628262681026286236[[#This Row],[Uso diário]]*5</f>
        <v>67</v>
      </c>
      <c r="Q5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5" s="25">
        <v>5</v>
      </c>
    </row>
    <row r="576" spans="1:20" s="26" customFormat="1" x14ac:dyDescent="0.25">
      <c r="A576" s="16">
        <v>234308</v>
      </c>
      <c r="B576" s="30" t="s">
        <v>1285</v>
      </c>
      <c r="C576" s="20" t="s">
        <v>651</v>
      </c>
      <c r="D576" s="20" t="s">
        <v>716</v>
      </c>
      <c r="E576" s="20" t="s">
        <v>2669</v>
      </c>
      <c r="F576" s="20" t="s">
        <v>2670</v>
      </c>
      <c r="G576" s="21">
        <v>18.8</v>
      </c>
      <c r="H576" s="16">
        <v>16</v>
      </c>
      <c r="I576" s="16">
        <v>1</v>
      </c>
      <c r="J5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576" s="22"/>
      <c r="L576" s="23"/>
      <c r="M576" s="23">
        <f>SUM(Tabela174681012142230322681619252731333624210121416182426283038402481012141620222628303234362426810121424610122426244262628262681026286236[[#This Row],[Saldo no cartão]:[Recarga Pendente]])</f>
        <v>0</v>
      </c>
      <c r="N576" s="19">
        <f>Tabela174681012142230322681619252731333624210121416182426283038402481012141620222628303234362426810121424610122426244262628262681026286236[[#This Row],[Uso diário]]*2</f>
        <v>37.6</v>
      </c>
      <c r="O576" s="19">
        <f>Tabela174681012142230322681619252731333624210121416182426283038402481012141620222628303234362426810121424610122426244262628262681026286236[[#This Row],[Total Acumulado]]-P576</f>
        <v>-94</v>
      </c>
      <c r="P576" s="48">
        <f>Tabela174681012142230322681619252731333624210121416182426283038402481012141620222628303234362426810121424610122426244262628262681026286236[[#This Row],[Uso diário]]*5</f>
        <v>94</v>
      </c>
      <c r="Q5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5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6" s="25">
        <v>5</v>
      </c>
    </row>
    <row r="577" spans="1:20" s="26" customFormat="1" x14ac:dyDescent="0.25">
      <c r="A577" s="16">
        <v>234443</v>
      </c>
      <c r="B577" s="30" t="s">
        <v>1286</v>
      </c>
      <c r="C577" s="20" t="s">
        <v>651</v>
      </c>
      <c r="D577" s="20" t="s">
        <v>716</v>
      </c>
      <c r="E577" s="20" t="s">
        <v>2671</v>
      </c>
      <c r="F577" s="20" t="s">
        <v>2672</v>
      </c>
      <c r="G577" s="21">
        <v>18.8</v>
      </c>
      <c r="H577" s="16">
        <v>16</v>
      </c>
      <c r="I577" s="16"/>
      <c r="J5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77" s="22"/>
      <c r="L577" s="23"/>
      <c r="M577" s="23">
        <f>SUM(Tabela174681012142230322681619252731333624210121416182426283038402481012141620222628303234362426810121424610122426244262628262681026286236[[#This Row],[Saldo no cartão]:[Recarga Pendente]])</f>
        <v>0</v>
      </c>
      <c r="N577" s="19">
        <f>Tabela174681012142230322681619252731333624210121416182426283038402481012141620222628303234362426810121424610122426244262628262681026286236[[#This Row],[Uso diário]]*2</f>
        <v>37.6</v>
      </c>
      <c r="O577" s="19">
        <f>Tabela174681012142230322681619252731333624210121416182426283038402481012141620222628303234362426810121424610122426244262628262681026286236[[#This Row],[Total Acumulado]]-P577</f>
        <v>-94</v>
      </c>
      <c r="P577" s="48">
        <f>Tabela174681012142230322681619252731333624210121416182426283038402481012141620222628303234362426810121424610122426244262628262681026286236[[#This Row],[Uso diário]]*5</f>
        <v>94</v>
      </c>
      <c r="Q5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7" s="25">
        <v>5</v>
      </c>
    </row>
    <row r="578" spans="1:20" s="26" customFormat="1" x14ac:dyDescent="0.25">
      <c r="A578" s="16">
        <v>234576</v>
      </c>
      <c r="B578" s="30" t="s">
        <v>1312</v>
      </c>
      <c r="C578" s="20" t="s">
        <v>651</v>
      </c>
      <c r="D578" s="20" t="s">
        <v>716</v>
      </c>
      <c r="E578" s="20" t="s">
        <v>2673</v>
      </c>
      <c r="F578" s="20" t="s">
        <v>2674</v>
      </c>
      <c r="G578" s="21">
        <v>18.8</v>
      </c>
      <c r="H578" s="16">
        <v>26</v>
      </c>
      <c r="I578" s="16"/>
      <c r="J5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78" s="22"/>
      <c r="L578" s="23"/>
      <c r="M578" s="23">
        <f>SUM(Tabela174681012142230322681619252731333624210121416182426283038402481012141620222628303234362426810121424610122426244262628262681026286236[[#This Row],[Saldo no cartão]:[Recarga Pendente]])</f>
        <v>0</v>
      </c>
      <c r="N578" s="19">
        <f>Tabela174681012142230322681619252731333624210121416182426283038402481012141620222628303234362426810121424610122426244262628262681026286236[[#This Row],[Uso diário]]*2</f>
        <v>37.6</v>
      </c>
      <c r="O578" s="19">
        <f>Tabela174681012142230322681619252731333624210121416182426283038402481012141620222628303234362426810121424610122426244262628262681026286236[[#This Row],[Total Acumulado]]-P578</f>
        <v>-94</v>
      </c>
      <c r="P578" s="48">
        <f>Tabela174681012142230322681619252731333624210121416182426283038402481012141620222628303234362426810121424610122426244262628262681026286236[[#This Row],[Uso diário]]*5</f>
        <v>94</v>
      </c>
      <c r="Q5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78" s="25">
        <v>5</v>
      </c>
    </row>
    <row r="579" spans="1:20" s="26" customFormat="1" x14ac:dyDescent="0.25">
      <c r="A579" s="16">
        <v>234644</v>
      </c>
      <c r="B579" s="30" t="s">
        <v>1313</v>
      </c>
      <c r="C579" s="20" t="s">
        <v>651</v>
      </c>
      <c r="D579" s="20" t="s">
        <v>716</v>
      </c>
      <c r="E579" s="20" t="s">
        <v>2675</v>
      </c>
      <c r="F579" s="20" t="s">
        <v>2676</v>
      </c>
      <c r="G579" s="21">
        <v>18.8</v>
      </c>
      <c r="H579" s="16">
        <v>16</v>
      </c>
      <c r="I579" s="16"/>
      <c r="J5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79" s="22"/>
      <c r="L579" s="23">
        <v>282</v>
      </c>
      <c r="M579" s="23">
        <f>SUM(Tabela174681012142230322681619252731333624210121416182426283038402481012141620222628303234362426810121424610122426244262628262681026286236[[#This Row],[Saldo no cartão]:[Recarga Pendente]])</f>
        <v>282</v>
      </c>
      <c r="N579" s="19">
        <f>Tabela174681012142230322681619252731333624210121416182426283038402481012141620222628303234362426810121424610122426244262628262681026286236[[#This Row],[Uso diário]]*2</f>
        <v>37.6</v>
      </c>
      <c r="O579" s="19">
        <f>Tabela174681012142230322681619252731333624210121416182426283038402481012141620222628303234362426810121424610122426244262628262681026286236[[#This Row],[Total Acumulado]]-P579</f>
        <v>188</v>
      </c>
      <c r="P579" s="48">
        <f>Tabela174681012142230322681619252731333624210121416182426283038402481012141620222628303234362426810121424610122426244262628262681026286236[[#This Row],[Uso diário]]*5</f>
        <v>94</v>
      </c>
      <c r="Q5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188</v>
      </c>
      <c r="R5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112.80000000000001</v>
      </c>
      <c r="S579" s="18" t="s">
        <v>11</v>
      </c>
      <c r="T579" s="25">
        <v>5</v>
      </c>
    </row>
    <row r="580" spans="1:20" s="26" customFormat="1" x14ac:dyDescent="0.25">
      <c r="A580" s="16">
        <v>234717</v>
      </c>
      <c r="B580" s="30" t="s">
        <v>1357</v>
      </c>
      <c r="C580" s="20" t="s">
        <v>651</v>
      </c>
      <c r="D580" s="20" t="s">
        <v>716</v>
      </c>
      <c r="E580" s="20" t="s">
        <v>2677</v>
      </c>
      <c r="F580" s="20" t="s">
        <v>2678</v>
      </c>
      <c r="G580" s="21">
        <v>13.4</v>
      </c>
      <c r="H580" s="16">
        <v>16</v>
      </c>
      <c r="I580" s="16"/>
      <c r="J5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580" s="22"/>
      <c r="L580" s="23"/>
      <c r="M580" s="23">
        <f>SUM(Tabela174681012142230322681619252731333624210121416182426283038402481012141620222628303234362426810121424610122426244262628262681026286236[[#This Row],[Saldo no cartão]:[Recarga Pendente]])</f>
        <v>0</v>
      </c>
      <c r="N580" s="19">
        <f>Tabela174681012142230322681619252731333624210121416182426283038402481012141620222628303234362426810121424610122426244262628262681026286236[[#This Row],[Uso diário]]*2</f>
        <v>26.8</v>
      </c>
      <c r="O580" s="19">
        <f>Tabela174681012142230322681619252731333624210121416182426283038402481012141620222628303234362426810121424610122426244262628262681026286236[[#This Row],[Total Acumulado]]-P580</f>
        <v>-67</v>
      </c>
      <c r="P580" s="48">
        <f>Tabela174681012142230322681619252731333624210121416182426283038402481012141620222628303234362426810121424610122426244262628262681026286236[[#This Row],[Uso diário]]*5</f>
        <v>67</v>
      </c>
      <c r="Q5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5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0" s="25">
        <v>5</v>
      </c>
    </row>
    <row r="581" spans="1:20" s="26" customFormat="1" x14ac:dyDescent="0.25">
      <c r="A581" s="16">
        <v>234984</v>
      </c>
      <c r="B581" s="30" t="s">
        <v>1453</v>
      </c>
      <c r="C581" s="20" t="s">
        <v>651</v>
      </c>
      <c r="D581" s="20" t="s">
        <v>719</v>
      </c>
      <c r="E581" s="20" t="e">
        <v>#N/A</v>
      </c>
      <c r="F581" s="20" t="e">
        <v>#N/A</v>
      </c>
      <c r="G581" s="21">
        <v>18.8</v>
      </c>
      <c r="H581" s="16">
        <v>16</v>
      </c>
      <c r="I581" s="16"/>
      <c r="J5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581" s="22"/>
      <c r="L581" s="23"/>
      <c r="M581" s="23">
        <f>SUM(Tabela174681012142230322681619252731333624210121416182426283038402481012141620222628303234362426810121424610122426244262628262681026286236[[#This Row],[Saldo no cartão]:[Recarga Pendente]])</f>
        <v>0</v>
      </c>
      <c r="N581" s="19">
        <f>Tabela174681012142230322681619252731333624210121416182426283038402481012141620222628303234362426810121424610122426244262628262681026286236[[#This Row],[Uso diário]]*2</f>
        <v>37.6</v>
      </c>
      <c r="O581" s="19">
        <f>Tabela174681012142230322681619252731333624210121416182426283038402481012141620222628303234362426810121424610122426244262628262681026286236[[#This Row],[Total Acumulado]]-P581</f>
        <v>-94</v>
      </c>
      <c r="P581" s="48">
        <f>Tabela174681012142230322681619252731333624210121416182426283038402481012141620222628303234362426810121424610122426244262628262681026286236[[#This Row],[Uso diário]]*5</f>
        <v>94</v>
      </c>
      <c r="Q5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5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1" s="25">
        <v>5</v>
      </c>
    </row>
    <row r="582" spans="1:20" s="26" customFormat="1" x14ac:dyDescent="0.25">
      <c r="A582" s="16">
        <v>100218</v>
      </c>
      <c r="B582" s="30" t="s">
        <v>283</v>
      </c>
      <c r="C582" s="20" t="s">
        <v>657</v>
      </c>
      <c r="D582" s="20" t="s">
        <v>742</v>
      </c>
      <c r="E582" s="20" t="s">
        <v>2679</v>
      </c>
      <c r="F582" s="20" t="s">
        <v>2680</v>
      </c>
      <c r="G582" s="21">
        <v>35</v>
      </c>
      <c r="H582" s="16">
        <v>26</v>
      </c>
      <c r="I582" s="16">
        <v>1</v>
      </c>
      <c r="J5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875</v>
      </c>
      <c r="K582" s="22"/>
      <c r="L582" s="23"/>
      <c r="M582" s="23">
        <f>SUM(Tabela174681012142230322681619252731333624210121416182426283038402481012141620222628303234362426810121424610122426244262628262681026286236[[#This Row],[Saldo no cartão]:[Recarga Pendente]])</f>
        <v>0</v>
      </c>
      <c r="N582" s="19">
        <f>Tabela174681012142230322681619252731333624210121416182426283038402481012141620222628303234362426810121424610122426244262628262681026286236[[#This Row],[Uso diário]]*2</f>
        <v>70</v>
      </c>
      <c r="O582" s="19">
        <f>Tabela174681012142230322681619252731333624210121416182426283038402481012141620222628303234362426810121424610122426244262628262681026286236[[#This Row],[Total Acumulado]]-P582</f>
        <v>-175</v>
      </c>
      <c r="P582" s="48">
        <f>Tabela174681012142230322681619252731333624210121416182426283038402481012141620222628303234362426810121424610122426244262628262681026286236[[#This Row],[Uso diário]]*5</f>
        <v>175</v>
      </c>
      <c r="Q5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875</v>
      </c>
      <c r="S5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2" s="25">
        <v>5</v>
      </c>
    </row>
    <row r="583" spans="1:20" s="26" customFormat="1" x14ac:dyDescent="0.25">
      <c r="A583" s="16">
        <v>4179</v>
      </c>
      <c r="B583" s="30" t="s">
        <v>285</v>
      </c>
      <c r="C583" s="20" t="s">
        <v>635</v>
      </c>
      <c r="D583" s="20" t="s">
        <v>698</v>
      </c>
      <c r="E583" s="20" t="s">
        <v>2681</v>
      </c>
      <c r="F583" s="20" t="s">
        <v>2682</v>
      </c>
      <c r="G583" s="21">
        <v>18.8</v>
      </c>
      <c r="H583" s="16">
        <v>26</v>
      </c>
      <c r="I583" s="16"/>
      <c r="J5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83" s="22"/>
      <c r="L583" s="23"/>
      <c r="M583" s="23">
        <f>SUM(Tabela174681012142230322681619252731333624210121416182426283038402481012141620222628303234362426810121424610122426244262628262681026286236[[#This Row],[Saldo no cartão]:[Recarga Pendente]])</f>
        <v>0</v>
      </c>
      <c r="N583" s="19">
        <f>Tabela174681012142230322681619252731333624210121416182426283038402481012141620222628303234362426810121424610122426244262628262681026286236[[#This Row],[Uso diário]]*2</f>
        <v>37.6</v>
      </c>
      <c r="O583" s="19">
        <f>Tabela174681012142230322681619252731333624210121416182426283038402481012141620222628303234362426810121424610122426244262628262681026286236[[#This Row],[Total Acumulado]]-P583</f>
        <v>-94</v>
      </c>
      <c r="P583" s="48">
        <f>Tabela174681012142230322681619252731333624210121416182426283038402481012141620222628303234362426810121424610122426244262628262681026286236[[#This Row],[Uso diário]]*5</f>
        <v>94</v>
      </c>
      <c r="Q5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3" s="25">
        <v>5</v>
      </c>
    </row>
    <row r="584" spans="1:20" s="26" customFormat="1" x14ac:dyDescent="0.25">
      <c r="A584" s="16">
        <v>5126</v>
      </c>
      <c r="B584" s="30" t="s">
        <v>1454</v>
      </c>
      <c r="C584" s="20" t="s">
        <v>635</v>
      </c>
      <c r="D584" s="20" t="s">
        <v>689</v>
      </c>
      <c r="E584" s="20" t="s">
        <v>2683</v>
      </c>
      <c r="F584" s="20" t="s">
        <v>2684</v>
      </c>
      <c r="G584" s="21">
        <v>18.8</v>
      </c>
      <c r="H584" s="16">
        <v>22</v>
      </c>
      <c r="I584" s="16"/>
      <c r="J5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84" s="22"/>
      <c r="L584" s="23"/>
      <c r="M584" s="23">
        <f>SUM(Tabela174681012142230322681619252731333624210121416182426283038402481012141620222628303234362426810121424610122426244262628262681026286236[[#This Row],[Saldo no cartão]:[Recarga Pendente]])</f>
        <v>0</v>
      </c>
      <c r="N584" s="19">
        <f>Tabela174681012142230322681619252731333624210121416182426283038402481012141620222628303234362426810121424610122426244262628262681026286236[[#This Row],[Uso diário]]*2</f>
        <v>37.6</v>
      </c>
      <c r="O584" s="19">
        <f>Tabela174681012142230322681619252731333624210121416182426283038402481012141620222628303234362426810121424610122426244262628262681026286236[[#This Row],[Total Acumulado]]-P584</f>
        <v>-94</v>
      </c>
      <c r="P584" s="48">
        <f>Tabela174681012142230322681619252731333624210121416182426283038402481012141620222628303234362426810121424610122426244262628262681026286236[[#This Row],[Uso diário]]*5</f>
        <v>94</v>
      </c>
      <c r="Q5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4" s="25">
        <v>5</v>
      </c>
    </row>
    <row r="585" spans="1:20" s="26" customFormat="1" x14ac:dyDescent="0.25">
      <c r="A585" s="16">
        <v>218201</v>
      </c>
      <c r="B585" s="30" t="s">
        <v>286</v>
      </c>
      <c r="C585" s="20" t="s">
        <v>635</v>
      </c>
      <c r="D585" s="20" t="s">
        <v>689</v>
      </c>
      <c r="E585" s="20" t="s">
        <v>2685</v>
      </c>
      <c r="F585" s="20" t="s">
        <v>2686</v>
      </c>
      <c r="G585" s="21">
        <v>18.8</v>
      </c>
      <c r="H585" s="16">
        <v>22</v>
      </c>
      <c r="I585" s="16"/>
      <c r="J5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85" s="22"/>
      <c r="L585" s="23"/>
      <c r="M585" s="23">
        <f>SUM(Tabela174681012142230322681619252731333624210121416182426283038402481012141620222628303234362426810121424610122426244262628262681026286236[[#This Row],[Saldo no cartão]:[Recarga Pendente]])</f>
        <v>0</v>
      </c>
      <c r="N585" s="19">
        <f>Tabela174681012142230322681619252731333624210121416182426283038402481012141620222628303234362426810121424610122426244262628262681026286236[[#This Row],[Uso diário]]*2</f>
        <v>37.6</v>
      </c>
      <c r="O585" s="19">
        <f>Tabela174681012142230322681619252731333624210121416182426283038402481012141620222628303234362426810121424610122426244262628262681026286236[[#This Row],[Total Acumulado]]-P585</f>
        <v>-94</v>
      </c>
      <c r="P585" s="48">
        <f>Tabela174681012142230322681619252731333624210121416182426283038402481012141620222628303234362426810121424610122426244262628262681026286236[[#This Row],[Uso diário]]*5</f>
        <v>94</v>
      </c>
      <c r="Q5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5" s="25">
        <v>5</v>
      </c>
    </row>
    <row r="586" spans="1:20" s="26" customFormat="1" x14ac:dyDescent="0.25">
      <c r="A586" s="16">
        <v>230264</v>
      </c>
      <c r="B586" s="30" t="s">
        <v>287</v>
      </c>
      <c r="C586" s="20" t="s">
        <v>636</v>
      </c>
      <c r="D586" s="20" t="s">
        <v>729</v>
      </c>
      <c r="E586" s="20" t="s">
        <v>2687</v>
      </c>
      <c r="F586" s="20" t="s">
        <v>2688</v>
      </c>
      <c r="G586" s="21">
        <v>25.5</v>
      </c>
      <c r="H586" s="16">
        <v>22</v>
      </c>
      <c r="I586" s="16">
        <v>15</v>
      </c>
      <c r="J5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178.5</v>
      </c>
      <c r="K586" s="22"/>
      <c r="L586" s="23"/>
      <c r="M586" s="23">
        <f>SUM(Tabela174681012142230322681619252731333624210121416182426283038402481012141620222628303234362426810121424610122426244262628262681026286236[[#This Row],[Saldo no cartão]:[Recarga Pendente]])</f>
        <v>0</v>
      </c>
      <c r="N586" s="19">
        <f>Tabela174681012142230322681619252731333624210121416182426283038402481012141620222628303234362426810121424610122426244262628262681026286236[[#This Row],[Uso diário]]*2</f>
        <v>51</v>
      </c>
      <c r="O586" s="19">
        <f>Tabela174681012142230322681619252731333624210121416182426283038402481012141620222628303234362426810121424610122426244262628262681026286236[[#This Row],[Total Acumulado]]-P586</f>
        <v>-127.5</v>
      </c>
      <c r="P586" s="48">
        <f>Tabela174681012142230322681619252731333624210121416182426283038402481012141620222628303234362426810121424610122426244262628262681026286236[[#This Row],[Uso diário]]*5</f>
        <v>127.5</v>
      </c>
      <c r="Q5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178.5</v>
      </c>
      <c r="S5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6" s="25">
        <v>5</v>
      </c>
    </row>
    <row r="587" spans="1:20" s="26" customFormat="1" x14ac:dyDescent="0.25">
      <c r="A587" s="16">
        <v>234081</v>
      </c>
      <c r="B587" s="30" t="s">
        <v>1188</v>
      </c>
      <c r="C587" s="20" t="s">
        <v>636</v>
      </c>
      <c r="D587" s="20" t="s">
        <v>729</v>
      </c>
      <c r="E587" s="20" t="s">
        <v>2689</v>
      </c>
      <c r="F587" s="20" t="s">
        <v>2690</v>
      </c>
      <c r="G587" s="21">
        <v>18.8</v>
      </c>
      <c r="H587" s="16">
        <v>22</v>
      </c>
      <c r="I587" s="16">
        <v>3</v>
      </c>
      <c r="J5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587" s="22"/>
      <c r="L587" s="23"/>
      <c r="M587" s="23">
        <f>SUM(Tabela174681012142230322681619252731333624210121416182426283038402481012141620222628303234362426810121424610122426244262628262681026286236[[#This Row],[Saldo no cartão]:[Recarga Pendente]])</f>
        <v>0</v>
      </c>
      <c r="N587" s="19">
        <f>Tabela174681012142230322681619252731333624210121416182426283038402481012141620222628303234362426810121424610122426244262628262681026286236[[#This Row],[Uso diário]]*2</f>
        <v>37.6</v>
      </c>
      <c r="O587" s="19">
        <f>Tabela174681012142230322681619252731333624210121416182426283038402481012141620222628303234362426810121424610122426244262628262681026286236[[#This Row],[Total Acumulado]]-P587</f>
        <v>-94</v>
      </c>
      <c r="P587" s="48">
        <f>Tabela174681012142230322681619252731333624210121416182426283038402481012141620222628303234362426810121424610122426244262628262681026286236[[#This Row],[Uso diário]]*5</f>
        <v>94</v>
      </c>
      <c r="Q5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5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7" s="25">
        <v>5</v>
      </c>
    </row>
    <row r="588" spans="1:20" s="26" customFormat="1" x14ac:dyDescent="0.25">
      <c r="A588" s="16">
        <v>234082</v>
      </c>
      <c r="B588" s="30" t="s">
        <v>1189</v>
      </c>
      <c r="C588" s="20" t="s">
        <v>636</v>
      </c>
      <c r="D588" s="20" t="s">
        <v>729</v>
      </c>
      <c r="E588" s="20" t="s">
        <v>2691</v>
      </c>
      <c r="F588" s="20" t="s">
        <v>2692</v>
      </c>
      <c r="G588" s="21">
        <v>9.4</v>
      </c>
      <c r="H588" s="16">
        <v>22</v>
      </c>
      <c r="I588" s="16">
        <v>5</v>
      </c>
      <c r="J5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159.80000000000001</v>
      </c>
      <c r="K588" s="22"/>
      <c r="L588" s="23"/>
      <c r="M588" s="23">
        <f>SUM(Tabela174681012142230322681619252731333624210121416182426283038402481012141620222628303234362426810121424610122426244262628262681026286236[[#This Row],[Saldo no cartão]:[Recarga Pendente]])</f>
        <v>0</v>
      </c>
      <c r="N588" s="19">
        <f>Tabela174681012142230322681619252731333624210121416182426283038402481012141620222628303234362426810121424610122426244262628262681026286236[[#This Row],[Uso diário]]*2</f>
        <v>18.8</v>
      </c>
      <c r="O588" s="19">
        <f>Tabela174681012142230322681619252731333624210121416182426283038402481012141620222628303234362426810121424610122426244262628262681026286236[[#This Row],[Total Acumulado]]-P588</f>
        <v>-47</v>
      </c>
      <c r="P588" s="48">
        <f>Tabela174681012142230322681619252731333624210121416182426283038402481012141620222628303234362426810121424610122426244262628262681026286236[[#This Row],[Uso diário]]*5</f>
        <v>47</v>
      </c>
      <c r="Q5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159.80000000000001</v>
      </c>
      <c r="S5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8" s="25">
        <v>5</v>
      </c>
    </row>
    <row r="589" spans="1:20" s="26" customFormat="1" x14ac:dyDescent="0.25">
      <c r="A589" s="16">
        <v>234083</v>
      </c>
      <c r="B589" s="30" t="s">
        <v>1190</v>
      </c>
      <c r="C589" s="20" t="s">
        <v>636</v>
      </c>
      <c r="D589" s="20" t="s">
        <v>729</v>
      </c>
      <c r="E589" s="20" t="s">
        <v>2693</v>
      </c>
      <c r="F589" s="20" t="s">
        <v>2694</v>
      </c>
      <c r="G589" s="21">
        <v>9.4</v>
      </c>
      <c r="H589" s="16">
        <v>22</v>
      </c>
      <c r="I589" s="16">
        <v>4</v>
      </c>
      <c r="J5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169.20000000000002</v>
      </c>
      <c r="K589" s="22"/>
      <c r="L589" s="23"/>
      <c r="M589" s="23">
        <f>SUM(Tabela174681012142230322681619252731333624210121416182426283038402481012141620222628303234362426810121424610122426244262628262681026286236[[#This Row],[Saldo no cartão]:[Recarga Pendente]])</f>
        <v>0</v>
      </c>
      <c r="N589" s="19">
        <f>Tabela174681012142230322681619252731333624210121416182426283038402481012141620222628303234362426810121424610122426244262628262681026286236[[#This Row],[Uso diário]]*2</f>
        <v>18.8</v>
      </c>
      <c r="O589" s="19">
        <f>Tabela174681012142230322681619252731333624210121416182426283038402481012141620222628303234362426810121424610122426244262628262681026286236[[#This Row],[Total Acumulado]]-P589</f>
        <v>-47</v>
      </c>
      <c r="P589" s="48">
        <f>Tabela174681012142230322681619252731333624210121416182426283038402481012141620222628303234362426810121424610122426244262628262681026286236[[#This Row],[Uso diário]]*5</f>
        <v>47</v>
      </c>
      <c r="Q5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169.20000000000002</v>
      </c>
      <c r="S5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89" s="25">
        <v>5</v>
      </c>
    </row>
    <row r="590" spans="1:20" s="26" customFormat="1" x14ac:dyDescent="0.25">
      <c r="A590" s="16">
        <v>234085</v>
      </c>
      <c r="B590" s="30" t="s">
        <v>1191</v>
      </c>
      <c r="C590" s="20" t="s">
        <v>636</v>
      </c>
      <c r="D590" s="20" t="s">
        <v>729</v>
      </c>
      <c r="E590" s="20" t="s">
        <v>2695</v>
      </c>
      <c r="F590" s="20" t="s">
        <v>2696</v>
      </c>
      <c r="G590" s="21">
        <v>18.8</v>
      </c>
      <c r="H590" s="16">
        <v>22</v>
      </c>
      <c r="I590" s="16">
        <v>2</v>
      </c>
      <c r="J5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590" s="22"/>
      <c r="L590" s="23"/>
      <c r="M590" s="23">
        <f>SUM(Tabela174681012142230322681619252731333624210121416182426283038402481012141620222628303234362426810121424610122426244262628262681026286236[[#This Row],[Saldo no cartão]:[Recarga Pendente]])</f>
        <v>0</v>
      </c>
      <c r="N590" s="19">
        <f>Tabela174681012142230322681619252731333624210121416182426283038402481012141620222628303234362426810121424610122426244262628262681026286236[[#This Row],[Uso diário]]*2</f>
        <v>37.6</v>
      </c>
      <c r="O590" s="19">
        <f>Tabela174681012142230322681619252731333624210121416182426283038402481012141620222628303234362426810121424610122426244262628262681026286236[[#This Row],[Total Acumulado]]-P590</f>
        <v>-94</v>
      </c>
      <c r="P590" s="48">
        <f>Tabela174681012142230322681619252731333624210121416182426283038402481012141620222628303234362426810121424610122426244262628262681026286236[[#This Row],[Uso diário]]*5</f>
        <v>94</v>
      </c>
      <c r="Q5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5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0" s="25">
        <v>5</v>
      </c>
    </row>
    <row r="591" spans="1:20" s="26" customFormat="1" x14ac:dyDescent="0.25">
      <c r="A591" s="16">
        <v>234086</v>
      </c>
      <c r="B591" s="30" t="s">
        <v>1192</v>
      </c>
      <c r="C591" s="20" t="s">
        <v>636</v>
      </c>
      <c r="D591" s="20" t="s">
        <v>729</v>
      </c>
      <c r="E591" s="20" t="s">
        <v>2697</v>
      </c>
      <c r="F591" s="20" t="s">
        <v>2698</v>
      </c>
      <c r="G591" s="21">
        <v>9.4</v>
      </c>
      <c r="H591" s="16">
        <v>22</v>
      </c>
      <c r="I591" s="16">
        <v>2</v>
      </c>
      <c r="J5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188</v>
      </c>
      <c r="K591" s="22"/>
      <c r="L591" s="23"/>
      <c r="M591" s="23">
        <f>SUM(Tabela174681012142230322681619252731333624210121416182426283038402481012141620222628303234362426810121424610122426244262628262681026286236[[#This Row],[Saldo no cartão]:[Recarga Pendente]])</f>
        <v>0</v>
      </c>
      <c r="N591" s="19">
        <f>Tabela174681012142230322681619252731333624210121416182426283038402481012141620222628303234362426810121424610122426244262628262681026286236[[#This Row],[Uso diário]]*2</f>
        <v>18.8</v>
      </c>
      <c r="O591" s="19">
        <f>Tabela174681012142230322681619252731333624210121416182426283038402481012141620222628303234362426810121424610122426244262628262681026286236[[#This Row],[Total Acumulado]]-P591</f>
        <v>-47</v>
      </c>
      <c r="P591" s="48">
        <f>Tabela174681012142230322681619252731333624210121416182426283038402481012141620222628303234362426810121424610122426244262628262681026286236[[#This Row],[Uso diário]]*5</f>
        <v>47</v>
      </c>
      <c r="Q5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188</v>
      </c>
      <c r="S5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1" s="25">
        <v>5</v>
      </c>
    </row>
    <row r="592" spans="1:20" s="26" customFormat="1" x14ac:dyDescent="0.25">
      <c r="A592" s="16">
        <v>234823</v>
      </c>
      <c r="B592" s="30" t="s">
        <v>1358</v>
      </c>
      <c r="C592" s="20" t="s">
        <v>636</v>
      </c>
      <c r="D592" s="20" t="s">
        <v>729</v>
      </c>
      <c r="E592" s="20" t="s">
        <v>2699</v>
      </c>
      <c r="F592" s="20" t="s">
        <v>2700</v>
      </c>
      <c r="G592" s="21">
        <v>9.4</v>
      </c>
      <c r="H592" s="16">
        <v>22</v>
      </c>
      <c r="I592" s="16"/>
      <c r="J5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592" s="22"/>
      <c r="L592" s="23"/>
      <c r="M592" s="23">
        <f>SUM(Tabela174681012142230322681619252731333624210121416182426283038402481012141620222628303234362426810121424610122426244262628262681026286236[[#This Row],[Saldo no cartão]:[Recarga Pendente]])</f>
        <v>0</v>
      </c>
      <c r="N592" s="19">
        <f>Tabela174681012142230322681619252731333624210121416182426283038402481012141620222628303234362426810121424610122426244262628262681026286236[[#This Row],[Uso diário]]*2</f>
        <v>18.8</v>
      </c>
      <c r="O592" s="19">
        <f>Tabela174681012142230322681619252731333624210121416182426283038402481012141620222628303234362426810121424610122426244262628262681026286236[[#This Row],[Total Acumulado]]-P592</f>
        <v>-47</v>
      </c>
      <c r="P592" s="48">
        <f>Tabela174681012142230322681619252731333624210121416182426283038402481012141620222628303234362426810121424610122426244262628262681026286236[[#This Row],[Uso diário]]*5</f>
        <v>47</v>
      </c>
      <c r="Q5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5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2" s="25">
        <v>5</v>
      </c>
    </row>
    <row r="593" spans="1:20" s="26" customFormat="1" x14ac:dyDescent="0.25">
      <c r="A593" s="16">
        <v>234824</v>
      </c>
      <c r="B593" s="30" t="s">
        <v>1359</v>
      </c>
      <c r="C593" s="20" t="s">
        <v>636</v>
      </c>
      <c r="D593" s="20" t="s">
        <v>729</v>
      </c>
      <c r="E593" s="20" t="s">
        <v>2701</v>
      </c>
      <c r="F593" s="20" t="s">
        <v>2702</v>
      </c>
      <c r="G593" s="21">
        <v>16.100000000000001</v>
      </c>
      <c r="H593" s="16">
        <v>22</v>
      </c>
      <c r="I593" s="16"/>
      <c r="J5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354.20000000000005</v>
      </c>
      <c r="K593" s="22"/>
      <c r="L593" s="23"/>
      <c r="M593" s="23">
        <f>SUM(Tabela174681012142230322681619252731333624210121416182426283038402481012141620222628303234362426810121424610122426244262628262681026286236[[#This Row],[Saldo no cartão]:[Recarga Pendente]])</f>
        <v>0</v>
      </c>
      <c r="N593" s="19">
        <f>Tabela174681012142230322681619252731333624210121416182426283038402481012141620222628303234362426810121424610122426244262628262681026286236[[#This Row],[Uso diário]]*2</f>
        <v>32.200000000000003</v>
      </c>
      <c r="O593" s="19">
        <f>Tabela174681012142230322681619252731333624210121416182426283038402481012141620222628303234362426810121424610122426244262628262681026286236[[#This Row],[Total Acumulado]]-P593</f>
        <v>-80.5</v>
      </c>
      <c r="P593" s="48">
        <f>Tabela174681012142230322681619252731333624210121416182426283038402481012141620222628303234362426810121424610122426244262628262681026286236[[#This Row],[Uso diário]]*5</f>
        <v>80.5</v>
      </c>
      <c r="Q5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354.20000000000005</v>
      </c>
      <c r="S5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3" s="25">
        <v>5</v>
      </c>
    </row>
    <row r="594" spans="1:20" s="26" customFormat="1" x14ac:dyDescent="0.25">
      <c r="A594" s="16">
        <v>234825</v>
      </c>
      <c r="B594" s="30" t="s">
        <v>1360</v>
      </c>
      <c r="C594" s="20" t="s">
        <v>636</v>
      </c>
      <c r="D594" s="20" t="s">
        <v>729</v>
      </c>
      <c r="E594" s="20" t="s">
        <v>2703</v>
      </c>
      <c r="F594" s="20" t="s">
        <v>2704</v>
      </c>
      <c r="G594" s="21">
        <v>9.4</v>
      </c>
      <c r="H594" s="16">
        <v>22</v>
      </c>
      <c r="I594" s="16">
        <v>1</v>
      </c>
      <c r="J5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197.4</v>
      </c>
      <c r="K594" s="22"/>
      <c r="L594" s="23"/>
      <c r="M594" s="23">
        <f>SUM(Tabela174681012142230322681619252731333624210121416182426283038402481012141620222628303234362426810121424610122426244262628262681026286236[[#This Row],[Saldo no cartão]:[Recarga Pendente]])</f>
        <v>0</v>
      </c>
      <c r="N594" s="19">
        <f>Tabela174681012142230322681619252731333624210121416182426283038402481012141620222628303234362426810121424610122426244262628262681026286236[[#This Row],[Uso diário]]*2</f>
        <v>18.8</v>
      </c>
      <c r="O594" s="19">
        <f>Tabela174681012142230322681619252731333624210121416182426283038402481012141620222628303234362426810121424610122426244262628262681026286236[[#This Row],[Total Acumulado]]-P594</f>
        <v>-47</v>
      </c>
      <c r="P594" s="48">
        <f>Tabela174681012142230322681619252731333624210121416182426283038402481012141620222628303234362426810121424610122426244262628262681026286236[[#This Row],[Uso diário]]*5</f>
        <v>47</v>
      </c>
      <c r="Q5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197.4</v>
      </c>
      <c r="S5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4" s="25">
        <v>5</v>
      </c>
    </row>
    <row r="595" spans="1:20" s="26" customFormat="1" x14ac:dyDescent="0.25">
      <c r="A595" s="16">
        <v>234826</v>
      </c>
      <c r="B595" s="30" t="s">
        <v>1361</v>
      </c>
      <c r="C595" s="20" t="s">
        <v>636</v>
      </c>
      <c r="D595" s="20" t="s">
        <v>729</v>
      </c>
      <c r="E595" s="20" t="s">
        <v>2705</v>
      </c>
      <c r="F595" s="20" t="s">
        <v>2706</v>
      </c>
      <c r="G595" s="21">
        <v>18.8</v>
      </c>
      <c r="H595" s="16">
        <v>22</v>
      </c>
      <c r="I595" s="16"/>
      <c r="J5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95" s="22"/>
      <c r="L595" s="23"/>
      <c r="M595" s="23">
        <f>SUM(Tabela174681012142230322681619252731333624210121416182426283038402481012141620222628303234362426810121424610122426244262628262681026286236[[#This Row],[Saldo no cartão]:[Recarga Pendente]])</f>
        <v>0</v>
      </c>
      <c r="N595" s="19">
        <f>Tabela174681012142230322681619252731333624210121416182426283038402481012141620222628303234362426810121424610122426244262628262681026286236[[#This Row],[Uso diário]]*2</f>
        <v>37.6</v>
      </c>
      <c r="O595" s="19">
        <f>Tabela174681012142230322681619252731333624210121416182426283038402481012141620222628303234362426810121424610122426244262628262681026286236[[#This Row],[Total Acumulado]]-P595</f>
        <v>-94</v>
      </c>
      <c r="P595" s="48">
        <f>Tabela174681012142230322681619252731333624210121416182426283038402481012141620222628303234362426810121424610122426244262628262681026286236[[#This Row],[Uso diário]]*5</f>
        <v>94</v>
      </c>
      <c r="Q5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5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5" s="25">
        <v>5</v>
      </c>
    </row>
    <row r="596" spans="1:20" s="26" customFormat="1" x14ac:dyDescent="0.25">
      <c r="A596" s="16">
        <v>234827</v>
      </c>
      <c r="B596" s="30" t="s">
        <v>1362</v>
      </c>
      <c r="C596" s="20" t="s">
        <v>636</v>
      </c>
      <c r="D596" s="20" t="s">
        <v>729</v>
      </c>
      <c r="E596" s="20" t="s">
        <v>2707</v>
      </c>
      <c r="F596" s="20" t="s">
        <v>2708</v>
      </c>
      <c r="G596" s="21">
        <v>18.8</v>
      </c>
      <c r="H596" s="16">
        <v>22</v>
      </c>
      <c r="I596" s="16"/>
      <c r="J5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596" s="22"/>
      <c r="L596" s="23">
        <v>357.2</v>
      </c>
      <c r="M596" s="23">
        <f>SUM(Tabela174681012142230322681619252731333624210121416182426283038402481012141620222628303234362426810121424610122426244262628262681026286236[[#This Row],[Saldo no cartão]:[Recarga Pendente]])</f>
        <v>357.2</v>
      </c>
      <c r="N596" s="19">
        <f>Tabela174681012142230322681619252731333624210121416182426283038402481012141620222628303234362426810121424610122426244262628262681026286236[[#This Row],[Uso diário]]*2</f>
        <v>37.6</v>
      </c>
      <c r="O596" s="19">
        <f>Tabela174681012142230322681619252731333624210121416182426283038402481012141620222628303234362426810121424610122426244262628262681026286236[[#This Row],[Total Acumulado]]-P596</f>
        <v>263.2</v>
      </c>
      <c r="P596" s="48">
        <f>Tabela174681012142230322681619252731333624210121416182426283038402481012141620222628303234362426810121424610122426244262628262681026286236[[#This Row],[Uso diário]]*5</f>
        <v>94</v>
      </c>
      <c r="Q5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263.2</v>
      </c>
      <c r="R5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150.40000000000003</v>
      </c>
      <c r="S596" s="18" t="s">
        <v>11</v>
      </c>
      <c r="T596" s="25">
        <v>5</v>
      </c>
    </row>
    <row r="597" spans="1:20" s="26" customFormat="1" x14ac:dyDescent="0.25">
      <c r="A597" s="16">
        <v>215831</v>
      </c>
      <c r="B597" s="30" t="s">
        <v>289</v>
      </c>
      <c r="C597" s="20" t="s">
        <v>653</v>
      </c>
      <c r="D597" s="20" t="s">
        <v>714</v>
      </c>
      <c r="E597" s="20" t="s">
        <v>2709</v>
      </c>
      <c r="F597" s="20" t="s">
        <v>2710</v>
      </c>
      <c r="G597" s="21">
        <v>18.8</v>
      </c>
      <c r="H597" s="16">
        <v>26</v>
      </c>
      <c r="I597" s="16"/>
      <c r="J5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97" s="22"/>
      <c r="L597" s="23"/>
      <c r="M597" s="23">
        <f>SUM(Tabela174681012142230322681619252731333624210121416182426283038402481012141620222628303234362426810121424610122426244262628262681026286236[[#This Row],[Saldo no cartão]:[Recarga Pendente]])</f>
        <v>0</v>
      </c>
      <c r="N597" s="19">
        <f>Tabela174681012142230322681619252731333624210121416182426283038402481012141620222628303234362426810121424610122426244262628262681026286236[[#This Row],[Uso diário]]*2</f>
        <v>37.6</v>
      </c>
      <c r="O597" s="19">
        <f>Tabela174681012142230322681619252731333624210121416182426283038402481012141620222628303234362426810121424610122426244262628262681026286236[[#This Row],[Total Acumulado]]-P597</f>
        <v>-94</v>
      </c>
      <c r="P597" s="48">
        <f>Tabela174681012142230322681619252731333624210121416182426283038402481012141620222628303234362426810121424610122426244262628262681026286236[[#This Row],[Uso diário]]*5</f>
        <v>94</v>
      </c>
      <c r="Q5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7" s="25">
        <v>5</v>
      </c>
    </row>
    <row r="598" spans="1:20" s="26" customFormat="1" x14ac:dyDescent="0.25">
      <c r="A598" s="16">
        <v>223249</v>
      </c>
      <c r="B598" s="30" t="s">
        <v>290</v>
      </c>
      <c r="C598" s="20" t="s">
        <v>653</v>
      </c>
      <c r="D598" s="20" t="s">
        <v>891</v>
      </c>
      <c r="E598" s="20" t="s">
        <v>2711</v>
      </c>
      <c r="F598" s="20" t="s">
        <v>2712</v>
      </c>
      <c r="G598" s="21">
        <v>18.8</v>
      </c>
      <c r="H598" s="16">
        <v>26</v>
      </c>
      <c r="I598" s="16"/>
      <c r="J5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98" s="22"/>
      <c r="L598" s="23">
        <v>18.8</v>
      </c>
      <c r="M598" s="23">
        <f>SUM(Tabela174681012142230322681619252731333624210121416182426283038402481012141620222628303234362426810121424610122426244262628262681026286236[[#This Row],[Saldo no cartão]:[Recarga Pendente]])</f>
        <v>18.8</v>
      </c>
      <c r="N598" s="19">
        <f>Tabela174681012142230322681619252731333624210121416182426283038402481012141620222628303234362426810121424610122426244262628262681026286236[[#This Row],[Uso diário]]*2</f>
        <v>37.6</v>
      </c>
      <c r="O598" s="19">
        <f>Tabela174681012142230322681619252731333624210121416182426283038402481012141620222628303234362426810121424610122426244262628262681026286236[[#This Row],[Total Acumulado]]-P598</f>
        <v>-75.2</v>
      </c>
      <c r="P598" s="48">
        <f>Tabela174681012142230322681619252731333624210121416182426283038402481012141620222628303234362426810121424610122426244262628262681026286236[[#This Row],[Uso diário]]*5</f>
        <v>94</v>
      </c>
      <c r="Q5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8" s="25">
        <v>5</v>
      </c>
    </row>
    <row r="599" spans="1:20" s="26" customFormat="1" x14ac:dyDescent="0.25">
      <c r="A599" s="16">
        <v>230966</v>
      </c>
      <c r="B599" s="30" t="s">
        <v>292</v>
      </c>
      <c r="C599" s="20" t="s">
        <v>653</v>
      </c>
      <c r="D599" s="20" t="s">
        <v>714</v>
      </c>
      <c r="E599" s="20" t="s">
        <v>2713</v>
      </c>
      <c r="F599" s="20" t="s">
        <v>2714</v>
      </c>
      <c r="G599" s="21">
        <v>18.8</v>
      </c>
      <c r="H599" s="16">
        <v>26</v>
      </c>
      <c r="I599" s="16"/>
      <c r="J5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599" s="22"/>
      <c r="L599" s="23">
        <v>99.6</v>
      </c>
      <c r="M599" s="23">
        <f>SUM(Tabela174681012142230322681619252731333624210121416182426283038402481012141620222628303234362426810121424610122426244262628262681026286236[[#This Row],[Saldo no cartão]:[Recarga Pendente]])</f>
        <v>99.6</v>
      </c>
      <c r="N599" s="19">
        <f>Tabela174681012142230322681619252731333624210121416182426283038402481012141620222628303234362426810121424610122426244262628262681026286236[[#This Row],[Uso diário]]*2</f>
        <v>37.6</v>
      </c>
      <c r="O599" s="19">
        <f>Tabela174681012142230322681619252731333624210121416182426283038402481012141620222628303234362426810121424610122426244262628262681026286236[[#This Row],[Total Acumulado]]-P599</f>
        <v>5.5999999999999943</v>
      </c>
      <c r="P599" s="48">
        <f>Tabela174681012142230322681619252731333624210121416182426283038402481012141620222628303234362426810121424610122426244262628262681026286236[[#This Row],[Uso diário]]*5</f>
        <v>94</v>
      </c>
      <c r="Q5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5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5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599" s="25">
        <v>5</v>
      </c>
    </row>
    <row r="600" spans="1:20" s="26" customFormat="1" x14ac:dyDescent="0.25">
      <c r="A600" s="16">
        <v>230967</v>
      </c>
      <c r="B600" s="30" t="s">
        <v>1455</v>
      </c>
      <c r="C600" s="20" t="s">
        <v>653</v>
      </c>
      <c r="D600" s="20" t="s">
        <v>714</v>
      </c>
      <c r="E600" s="20" t="s">
        <v>2715</v>
      </c>
      <c r="F600" s="20" t="s">
        <v>2716</v>
      </c>
      <c r="G600" s="21">
        <v>18.8</v>
      </c>
      <c r="H600" s="16">
        <v>26</v>
      </c>
      <c r="I600" s="16"/>
      <c r="J6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00" s="22"/>
      <c r="L600" s="23"/>
      <c r="M600" s="23">
        <f>SUM(Tabela174681012142230322681619252731333624210121416182426283038402481012141620222628303234362426810121424610122426244262628262681026286236[[#This Row],[Saldo no cartão]:[Recarga Pendente]])</f>
        <v>0</v>
      </c>
      <c r="N600" s="19">
        <f>Tabela174681012142230322681619252731333624210121416182426283038402481012141620222628303234362426810121424610122426244262628262681026286236[[#This Row],[Uso diário]]*2</f>
        <v>37.6</v>
      </c>
      <c r="O600" s="19">
        <f>Tabela174681012142230322681619252731333624210121416182426283038402481012141620222628303234362426810121424610122426244262628262681026286236[[#This Row],[Total Acumulado]]-P600</f>
        <v>-94</v>
      </c>
      <c r="P600" s="48">
        <f>Tabela174681012142230322681619252731333624210121416182426283038402481012141620222628303234362426810121424610122426244262628262681026286236[[#This Row],[Uso diário]]*5</f>
        <v>94</v>
      </c>
      <c r="Q6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0" s="25">
        <v>5</v>
      </c>
    </row>
    <row r="601" spans="1:20" s="26" customFormat="1" x14ac:dyDescent="0.25">
      <c r="A601" s="16">
        <v>231840</v>
      </c>
      <c r="B601" s="30" t="s">
        <v>826</v>
      </c>
      <c r="C601" s="20" t="s">
        <v>653</v>
      </c>
      <c r="D601" s="20" t="s">
        <v>714</v>
      </c>
      <c r="E601" s="20" t="s">
        <v>2717</v>
      </c>
      <c r="F601" s="20" t="s">
        <v>2718</v>
      </c>
      <c r="G601" s="21">
        <v>18.8</v>
      </c>
      <c r="H601" s="16">
        <v>26</v>
      </c>
      <c r="I601" s="16"/>
      <c r="J6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01" s="22"/>
      <c r="L601" s="23"/>
      <c r="M601" s="23">
        <f>SUM(Tabela174681012142230322681619252731333624210121416182426283038402481012141620222628303234362426810121424610122426244262628262681026286236[[#This Row],[Saldo no cartão]:[Recarga Pendente]])</f>
        <v>0</v>
      </c>
      <c r="N601" s="19">
        <f>Tabela174681012142230322681619252731333624210121416182426283038402481012141620222628303234362426810121424610122426244262628262681026286236[[#This Row],[Uso diário]]*2</f>
        <v>37.6</v>
      </c>
      <c r="O601" s="19">
        <f>Tabela174681012142230322681619252731333624210121416182426283038402481012141620222628303234362426810121424610122426244262628262681026286236[[#This Row],[Total Acumulado]]-P601</f>
        <v>-94</v>
      </c>
      <c r="P601" s="48">
        <f>Tabela174681012142230322681619252731333624210121416182426283038402481012141620222628303234362426810121424610122426244262628262681026286236[[#This Row],[Uso diário]]*5</f>
        <v>94</v>
      </c>
      <c r="Q6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1" s="25">
        <v>5</v>
      </c>
    </row>
    <row r="602" spans="1:20" s="26" customFormat="1" x14ac:dyDescent="0.25">
      <c r="A602" s="16">
        <v>232974</v>
      </c>
      <c r="B602" s="30" t="s">
        <v>989</v>
      </c>
      <c r="C602" s="20" t="s">
        <v>653</v>
      </c>
      <c r="D602" s="20" t="s">
        <v>714</v>
      </c>
      <c r="E602" s="20" t="s">
        <v>2719</v>
      </c>
      <c r="F602" s="20" t="s">
        <v>2720</v>
      </c>
      <c r="G602" s="21">
        <v>13.4</v>
      </c>
      <c r="H602" s="16">
        <v>26</v>
      </c>
      <c r="I602" s="16"/>
      <c r="J6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02" s="22"/>
      <c r="L602" s="23"/>
      <c r="M602" s="23">
        <f>SUM(Tabela174681012142230322681619252731333624210121416182426283038402481012141620222628303234362426810121424610122426244262628262681026286236[[#This Row],[Saldo no cartão]:[Recarga Pendente]])</f>
        <v>0</v>
      </c>
      <c r="N602" s="19">
        <f>Tabela174681012142230322681619252731333624210121416182426283038402481012141620222628303234362426810121424610122426244262628262681026286236[[#This Row],[Uso diário]]*2</f>
        <v>26.8</v>
      </c>
      <c r="O602" s="19">
        <f>Tabela174681012142230322681619252731333624210121416182426283038402481012141620222628303234362426810121424610122426244262628262681026286236[[#This Row],[Total Acumulado]]-P602</f>
        <v>-67</v>
      </c>
      <c r="P602" s="48">
        <f>Tabela174681012142230322681619252731333624210121416182426283038402481012141620222628303234362426810121424610122426244262628262681026286236[[#This Row],[Uso diário]]*5</f>
        <v>67</v>
      </c>
      <c r="Q6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2" s="25">
        <v>5</v>
      </c>
    </row>
    <row r="603" spans="1:20" s="26" customFormat="1" x14ac:dyDescent="0.25">
      <c r="A603" s="16">
        <v>234615</v>
      </c>
      <c r="B603" s="30" t="s">
        <v>1314</v>
      </c>
      <c r="C603" s="20" t="s">
        <v>653</v>
      </c>
      <c r="D603" s="20" t="s">
        <v>714</v>
      </c>
      <c r="E603" s="20" t="s">
        <v>2721</v>
      </c>
      <c r="F603" s="20" t="s">
        <v>2722</v>
      </c>
      <c r="G603" s="21">
        <v>13.4</v>
      </c>
      <c r="H603" s="16">
        <v>26</v>
      </c>
      <c r="I603" s="16"/>
      <c r="J6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03" s="22"/>
      <c r="L603" s="23"/>
      <c r="M603" s="23">
        <f>SUM(Tabela174681012142230322681619252731333624210121416182426283038402481012141620222628303234362426810121424610122426244262628262681026286236[[#This Row],[Saldo no cartão]:[Recarga Pendente]])</f>
        <v>0</v>
      </c>
      <c r="N603" s="19">
        <f>Tabela174681012142230322681619252731333624210121416182426283038402481012141620222628303234362426810121424610122426244262628262681026286236[[#This Row],[Uso diário]]*2</f>
        <v>26.8</v>
      </c>
      <c r="O603" s="19">
        <f>Tabela174681012142230322681619252731333624210121416182426283038402481012141620222628303234362426810121424610122426244262628262681026286236[[#This Row],[Total Acumulado]]-P603</f>
        <v>-67</v>
      </c>
      <c r="P603" s="48">
        <f>Tabela174681012142230322681619252731333624210121416182426283038402481012141620222628303234362426810121424610122426244262628262681026286236[[#This Row],[Uso diário]]*5</f>
        <v>67</v>
      </c>
      <c r="Q6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3" s="25">
        <v>5</v>
      </c>
    </row>
    <row r="604" spans="1:20" s="26" customFormat="1" x14ac:dyDescent="0.25">
      <c r="A604" s="16">
        <v>234808</v>
      </c>
      <c r="B604" s="30" t="s">
        <v>1363</v>
      </c>
      <c r="C604" s="20" t="s">
        <v>653</v>
      </c>
      <c r="D604" s="20" t="s">
        <v>714</v>
      </c>
      <c r="E604" s="20" t="s">
        <v>2723</v>
      </c>
      <c r="F604" s="20" t="s">
        <v>2724</v>
      </c>
      <c r="G604" s="21">
        <v>18.8</v>
      </c>
      <c r="H604" s="16">
        <v>26</v>
      </c>
      <c r="I604" s="16"/>
      <c r="J6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04" s="22"/>
      <c r="L604" s="23"/>
      <c r="M604" s="23">
        <f>SUM(Tabela174681012142230322681619252731333624210121416182426283038402481012141620222628303234362426810121424610122426244262628262681026286236[[#This Row],[Saldo no cartão]:[Recarga Pendente]])</f>
        <v>0</v>
      </c>
      <c r="N604" s="19">
        <f>Tabela174681012142230322681619252731333624210121416182426283038402481012141620222628303234362426810121424610122426244262628262681026286236[[#This Row],[Uso diário]]*2</f>
        <v>37.6</v>
      </c>
      <c r="O604" s="19">
        <f>Tabela174681012142230322681619252731333624210121416182426283038402481012141620222628303234362426810121424610122426244262628262681026286236[[#This Row],[Total Acumulado]]-P604</f>
        <v>-94</v>
      </c>
      <c r="P604" s="48">
        <f>Tabela174681012142230322681619252731333624210121416182426283038402481012141620222628303234362426810121424610122426244262628262681026286236[[#This Row],[Uso diário]]*5</f>
        <v>94</v>
      </c>
      <c r="Q6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4" s="25">
        <v>5</v>
      </c>
    </row>
    <row r="605" spans="1:20" s="26" customFormat="1" x14ac:dyDescent="0.25">
      <c r="A605" s="16">
        <v>218301</v>
      </c>
      <c r="B605" s="30" t="s">
        <v>1193</v>
      </c>
      <c r="C605" s="20" t="s">
        <v>656</v>
      </c>
      <c r="D605" s="20" t="s">
        <v>740</v>
      </c>
      <c r="E605" s="20" t="s">
        <v>2725</v>
      </c>
      <c r="F605" s="20" t="s">
        <v>2726</v>
      </c>
      <c r="G605" s="21">
        <v>18.8</v>
      </c>
      <c r="H605" s="16">
        <v>29</v>
      </c>
      <c r="I605" s="16"/>
      <c r="J6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545.20000000000005</v>
      </c>
      <c r="K605" s="22"/>
      <c r="L605" s="23"/>
      <c r="M605" s="23">
        <f>SUM(Tabela174681012142230322681619252731333624210121416182426283038402481012141620222628303234362426810121424610122426244262628262681026286236[[#This Row],[Saldo no cartão]:[Recarga Pendente]])</f>
        <v>0</v>
      </c>
      <c r="N605" s="19">
        <f>Tabela174681012142230322681619252731333624210121416182426283038402481012141620222628303234362426810121424610122426244262628262681026286236[[#This Row],[Uso diário]]*2</f>
        <v>37.6</v>
      </c>
      <c r="O605" s="19">
        <f>Tabela174681012142230322681619252731333624210121416182426283038402481012141620222628303234362426810121424610122426244262628262681026286236[[#This Row],[Total Acumulado]]-P605</f>
        <v>-94</v>
      </c>
      <c r="P605" s="48">
        <f>Tabela174681012142230322681619252731333624210121416182426283038402481012141620222628303234362426810121424610122426244262628262681026286236[[#This Row],[Uso diário]]*5</f>
        <v>94</v>
      </c>
      <c r="Q6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545.20000000000005</v>
      </c>
      <c r="S6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5" s="25">
        <v>5</v>
      </c>
    </row>
    <row r="606" spans="1:20" s="26" customFormat="1" x14ac:dyDescent="0.25">
      <c r="A606" s="16">
        <v>208437</v>
      </c>
      <c r="B606" s="30" t="s">
        <v>1194</v>
      </c>
      <c r="C606" s="20" t="s">
        <v>654</v>
      </c>
      <c r="D606" s="20" t="s">
        <v>715</v>
      </c>
      <c r="E606" s="20" t="s">
        <v>2727</v>
      </c>
      <c r="F606" s="20" t="s">
        <v>2728</v>
      </c>
      <c r="G606" s="21">
        <v>14.2</v>
      </c>
      <c r="H606" s="16">
        <v>26</v>
      </c>
      <c r="I606" s="16">
        <v>1</v>
      </c>
      <c r="J6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355</v>
      </c>
      <c r="K606" s="22"/>
      <c r="L606" s="23">
        <v>215.32</v>
      </c>
      <c r="M606" s="23">
        <f>SUM(Tabela174681012142230322681619252731333624210121416182426283038402481012141620222628303234362426810121424610122426244262628262681026286236[[#This Row],[Saldo no cartão]:[Recarga Pendente]])</f>
        <v>215.32</v>
      </c>
      <c r="N606" s="19">
        <f>Tabela174681012142230322681619252731333624210121416182426283038402481012141620222628303234362426810121424610122426244262628262681026286236[[#This Row],[Uso diário]]*2</f>
        <v>28.4</v>
      </c>
      <c r="O606" s="19">
        <f>Tabela174681012142230322681619252731333624210121416182426283038402481012141620222628303234362426810121424610122426244262628262681026286236[[#This Row],[Total Acumulado]]-P606</f>
        <v>144.32</v>
      </c>
      <c r="P606" s="48">
        <f>Tabela174681012142230322681619252731333624210121416182426283038402481012141620222628303234362426810121424610122426244262628262681026286236[[#This Row],[Uso diário]]*5</f>
        <v>71</v>
      </c>
      <c r="Q6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144.32</v>
      </c>
      <c r="R6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210.68</v>
      </c>
      <c r="S606" s="18" t="s">
        <v>11</v>
      </c>
      <c r="T606" s="25">
        <v>5</v>
      </c>
    </row>
    <row r="607" spans="1:20" s="26" customFormat="1" x14ac:dyDescent="0.25">
      <c r="A607" s="16">
        <v>217034</v>
      </c>
      <c r="B607" s="30" t="s">
        <v>293</v>
      </c>
      <c r="C607" s="20" t="s">
        <v>654</v>
      </c>
      <c r="D607" s="20" t="s">
        <v>715</v>
      </c>
      <c r="E607" s="20" t="s">
        <v>2729</v>
      </c>
      <c r="F607" s="20" t="s">
        <v>2730</v>
      </c>
      <c r="G607" s="21">
        <v>14.2</v>
      </c>
      <c r="H607" s="16">
        <v>26</v>
      </c>
      <c r="I607" s="16"/>
      <c r="J6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07" s="22"/>
      <c r="L607" s="23">
        <v>59.1</v>
      </c>
      <c r="M607" s="23">
        <f>SUM(Tabela174681012142230322681619252731333624210121416182426283038402481012141620222628303234362426810121424610122426244262628262681026286236[[#This Row],[Saldo no cartão]:[Recarga Pendente]])</f>
        <v>59.1</v>
      </c>
      <c r="N607" s="19">
        <f>Tabela174681012142230322681619252731333624210121416182426283038402481012141620222628303234362426810121424610122426244262628262681026286236[[#This Row],[Uso diário]]*2</f>
        <v>28.4</v>
      </c>
      <c r="O607" s="19">
        <f>Tabela174681012142230322681619252731333624210121416182426283038402481012141620222628303234362426810121424610122426244262628262681026286236[[#This Row],[Total Acumulado]]-P607</f>
        <v>-11.899999999999999</v>
      </c>
      <c r="P607" s="48">
        <f>Tabela174681012142230322681619252731333624210121416182426283038402481012141620222628303234362426810121424610122426244262628262681026286236[[#This Row],[Uso diário]]*5</f>
        <v>71</v>
      </c>
      <c r="Q6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7" s="25">
        <v>5</v>
      </c>
    </row>
    <row r="608" spans="1:20" s="26" customFormat="1" x14ac:dyDescent="0.25">
      <c r="A608" s="16">
        <v>218167</v>
      </c>
      <c r="B608" s="30" t="s">
        <v>294</v>
      </c>
      <c r="C608" s="20" t="s">
        <v>654</v>
      </c>
      <c r="D608" s="20" t="s">
        <v>715</v>
      </c>
      <c r="E608" s="20" t="s">
        <v>2731</v>
      </c>
      <c r="F608" s="20" t="s">
        <v>2732</v>
      </c>
      <c r="G608" s="21">
        <v>18.8</v>
      </c>
      <c r="H608" s="16">
        <v>26</v>
      </c>
      <c r="I608" s="16"/>
      <c r="J6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08" s="22"/>
      <c r="L608" s="23"/>
      <c r="M608" s="23">
        <f>SUM(Tabela174681012142230322681619252731333624210121416182426283038402481012141620222628303234362426810121424610122426244262628262681026286236[[#This Row],[Saldo no cartão]:[Recarga Pendente]])</f>
        <v>0</v>
      </c>
      <c r="N608" s="19">
        <f>Tabela174681012142230322681619252731333624210121416182426283038402481012141620222628303234362426810121424610122426244262628262681026286236[[#This Row],[Uso diário]]*2</f>
        <v>37.6</v>
      </c>
      <c r="O608" s="19">
        <f>Tabela174681012142230322681619252731333624210121416182426283038402481012141620222628303234362426810121424610122426244262628262681026286236[[#This Row],[Total Acumulado]]-P608</f>
        <v>-94</v>
      </c>
      <c r="P608" s="48">
        <f>Tabela174681012142230322681619252731333624210121416182426283038402481012141620222628303234362426810121424610122426244262628262681026286236[[#This Row],[Uso diário]]*5</f>
        <v>94</v>
      </c>
      <c r="Q6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8" s="25">
        <v>5</v>
      </c>
    </row>
    <row r="609" spans="1:20" s="26" customFormat="1" x14ac:dyDescent="0.25">
      <c r="A609" s="16">
        <v>222203</v>
      </c>
      <c r="B609" s="30" t="s">
        <v>1287</v>
      </c>
      <c r="C609" s="20" t="s">
        <v>654</v>
      </c>
      <c r="D609" s="20" t="s">
        <v>731</v>
      </c>
      <c r="E609" s="20" t="s">
        <v>2733</v>
      </c>
      <c r="F609" s="20" t="s">
        <v>2734</v>
      </c>
      <c r="G609" s="21">
        <v>18.8</v>
      </c>
      <c r="H609" s="16">
        <v>26</v>
      </c>
      <c r="I609" s="16"/>
      <c r="J6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09" s="22"/>
      <c r="L609" s="23"/>
      <c r="M609" s="23">
        <f>SUM(Tabela174681012142230322681619252731333624210121416182426283038402481012141620222628303234362426810121424610122426244262628262681026286236[[#This Row],[Saldo no cartão]:[Recarga Pendente]])</f>
        <v>0</v>
      </c>
      <c r="N609" s="19">
        <f>Tabela174681012142230322681619252731333624210121416182426283038402481012141620222628303234362426810121424610122426244262628262681026286236[[#This Row],[Uso diário]]*2</f>
        <v>37.6</v>
      </c>
      <c r="O609" s="19">
        <f>Tabela174681012142230322681619252731333624210121416182426283038402481012141620222628303234362426810121424610122426244262628262681026286236[[#This Row],[Total Acumulado]]-P609</f>
        <v>-94</v>
      </c>
      <c r="P609" s="48">
        <f>Tabela174681012142230322681619252731333624210121416182426283038402481012141620222628303234362426810121424610122426244262628262681026286236[[#This Row],[Uso diário]]*5</f>
        <v>94</v>
      </c>
      <c r="Q6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09" s="25">
        <v>5</v>
      </c>
    </row>
    <row r="610" spans="1:20" s="26" customFormat="1" x14ac:dyDescent="0.25">
      <c r="A610" s="16">
        <v>224151</v>
      </c>
      <c r="B610" s="30" t="s">
        <v>1456</v>
      </c>
      <c r="C610" s="20" t="s">
        <v>654</v>
      </c>
      <c r="D610" s="20" t="s">
        <v>715</v>
      </c>
      <c r="E610" s="20" t="s">
        <v>2735</v>
      </c>
      <c r="F610" s="20" t="s">
        <v>2736</v>
      </c>
      <c r="G610" s="21">
        <v>14.2</v>
      </c>
      <c r="H610" s="16">
        <v>26</v>
      </c>
      <c r="I610" s="16"/>
      <c r="J6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10" s="22"/>
      <c r="L610" s="23"/>
      <c r="M610" s="23">
        <f>SUM(Tabela174681012142230322681619252731333624210121416182426283038402481012141620222628303234362426810121424610122426244262628262681026286236[[#This Row],[Saldo no cartão]:[Recarga Pendente]])</f>
        <v>0</v>
      </c>
      <c r="N610" s="19">
        <f>Tabela174681012142230322681619252731333624210121416182426283038402481012141620222628303234362426810121424610122426244262628262681026286236[[#This Row],[Uso diário]]*2</f>
        <v>28.4</v>
      </c>
      <c r="O610" s="19">
        <f>Tabela174681012142230322681619252731333624210121416182426283038402481012141620222628303234362426810121424610122426244262628262681026286236[[#This Row],[Total Acumulado]]-P610</f>
        <v>-71</v>
      </c>
      <c r="P610" s="48">
        <f>Tabela174681012142230322681619252731333624210121416182426283038402481012141620222628303234362426810121424610122426244262628262681026286236[[#This Row],[Uso diário]]*5</f>
        <v>71</v>
      </c>
      <c r="Q6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0" s="25">
        <v>5</v>
      </c>
    </row>
    <row r="611" spans="1:20" s="26" customFormat="1" x14ac:dyDescent="0.25">
      <c r="A611" s="16">
        <v>228688</v>
      </c>
      <c r="B611" s="30" t="s">
        <v>295</v>
      </c>
      <c r="C611" s="20" t="s">
        <v>654</v>
      </c>
      <c r="D611" s="20" t="s">
        <v>715</v>
      </c>
      <c r="E611" s="20" t="s">
        <v>2737</v>
      </c>
      <c r="F611" s="20" t="s">
        <v>2738</v>
      </c>
      <c r="G611" s="21">
        <v>18.8</v>
      </c>
      <c r="H611" s="16">
        <v>26</v>
      </c>
      <c r="I611" s="16">
        <v>1</v>
      </c>
      <c r="J6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11" s="22"/>
      <c r="L611" s="23"/>
      <c r="M611" s="23">
        <f>SUM(Tabela174681012142230322681619252731333624210121416182426283038402481012141620222628303234362426810121424610122426244262628262681026286236[[#This Row],[Saldo no cartão]:[Recarga Pendente]])</f>
        <v>0</v>
      </c>
      <c r="N611" s="19">
        <f>Tabela174681012142230322681619252731333624210121416182426283038402481012141620222628303234362426810121424610122426244262628262681026286236[[#This Row],[Uso diário]]*2</f>
        <v>37.6</v>
      </c>
      <c r="O611" s="19">
        <f>Tabela174681012142230322681619252731333624210121416182426283038402481012141620222628303234362426810121424610122426244262628262681026286236[[#This Row],[Total Acumulado]]-P611</f>
        <v>-94</v>
      </c>
      <c r="P611" s="48">
        <f>Tabela174681012142230322681619252731333624210121416182426283038402481012141620222628303234362426810121424610122426244262628262681026286236[[#This Row],[Uso diário]]*5</f>
        <v>94</v>
      </c>
      <c r="Q6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1" s="25">
        <v>5</v>
      </c>
    </row>
    <row r="612" spans="1:20" s="26" customFormat="1" x14ac:dyDescent="0.25">
      <c r="A612" s="16">
        <v>229513</v>
      </c>
      <c r="B612" s="30" t="s">
        <v>1072</v>
      </c>
      <c r="C612" s="20" t="s">
        <v>654</v>
      </c>
      <c r="D612" s="20" t="s">
        <v>715</v>
      </c>
      <c r="E612" s="20" t="s">
        <v>2739</v>
      </c>
      <c r="F612" s="20" t="s">
        <v>2740</v>
      </c>
      <c r="G612" s="21">
        <v>18.8</v>
      </c>
      <c r="H612" s="16">
        <v>26</v>
      </c>
      <c r="I612" s="16"/>
      <c r="J6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12" s="22"/>
      <c r="L612" s="23"/>
      <c r="M612" s="23">
        <f>SUM(Tabela174681012142230322681619252731333624210121416182426283038402481012141620222628303234362426810121424610122426244262628262681026286236[[#This Row],[Saldo no cartão]:[Recarga Pendente]])</f>
        <v>0</v>
      </c>
      <c r="N612" s="19">
        <f>Tabela174681012142230322681619252731333624210121416182426283038402481012141620222628303234362426810121424610122426244262628262681026286236[[#This Row],[Uso diário]]*2</f>
        <v>37.6</v>
      </c>
      <c r="O612" s="19">
        <f>Tabela174681012142230322681619252731333624210121416182426283038402481012141620222628303234362426810121424610122426244262628262681026286236[[#This Row],[Total Acumulado]]-P612</f>
        <v>-94</v>
      </c>
      <c r="P612" s="48">
        <f>Tabela174681012142230322681619252731333624210121416182426283038402481012141620222628303234362426810121424610122426244262628262681026286236[[#This Row],[Uso diário]]*5</f>
        <v>94</v>
      </c>
      <c r="Q6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2" s="25">
        <v>5</v>
      </c>
    </row>
    <row r="613" spans="1:20" s="26" customFormat="1" x14ac:dyDescent="0.25">
      <c r="A613" s="16">
        <v>230387</v>
      </c>
      <c r="B613" s="30" t="s">
        <v>296</v>
      </c>
      <c r="C613" s="20" t="s">
        <v>654</v>
      </c>
      <c r="D613" s="20" t="s">
        <v>715</v>
      </c>
      <c r="E613" s="20" t="s">
        <v>2741</v>
      </c>
      <c r="F613" s="20" t="s">
        <v>2742</v>
      </c>
      <c r="G613" s="21">
        <v>14.2</v>
      </c>
      <c r="H613" s="16">
        <v>26</v>
      </c>
      <c r="I613" s="16"/>
      <c r="J6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13" s="22"/>
      <c r="L613" s="23"/>
      <c r="M613" s="23">
        <f>SUM(Tabela174681012142230322681619252731333624210121416182426283038402481012141620222628303234362426810121424610122426244262628262681026286236[[#This Row],[Saldo no cartão]:[Recarga Pendente]])</f>
        <v>0</v>
      </c>
      <c r="N613" s="19">
        <f>Tabela174681012142230322681619252731333624210121416182426283038402481012141620222628303234362426810121424610122426244262628262681026286236[[#This Row],[Uso diário]]*2</f>
        <v>28.4</v>
      </c>
      <c r="O613" s="19">
        <f>Tabela174681012142230322681619252731333624210121416182426283038402481012141620222628303234362426810121424610122426244262628262681026286236[[#This Row],[Total Acumulado]]-P613</f>
        <v>-71</v>
      </c>
      <c r="P613" s="48">
        <f>Tabela174681012142230322681619252731333624210121416182426283038402481012141620222628303234362426810121424610122426244262628262681026286236[[#This Row],[Uso diário]]*5</f>
        <v>71</v>
      </c>
      <c r="Q6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3" s="25">
        <v>5</v>
      </c>
    </row>
    <row r="614" spans="1:20" s="26" customFormat="1" x14ac:dyDescent="0.25">
      <c r="A614" s="16">
        <v>231948</v>
      </c>
      <c r="B614" s="30" t="s">
        <v>827</v>
      </c>
      <c r="C614" s="20" t="s">
        <v>654</v>
      </c>
      <c r="D614" s="20" t="s">
        <v>715</v>
      </c>
      <c r="E614" s="20" t="s">
        <v>2743</v>
      </c>
      <c r="F614" s="20" t="s">
        <v>2744</v>
      </c>
      <c r="G614" s="21">
        <v>18.8</v>
      </c>
      <c r="H614" s="16">
        <v>26</v>
      </c>
      <c r="I614" s="16">
        <v>1</v>
      </c>
      <c r="J6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14" s="22"/>
      <c r="L614" s="23"/>
      <c r="M614" s="23">
        <f>SUM(Tabela174681012142230322681619252731333624210121416182426283038402481012141620222628303234362426810121424610122426244262628262681026286236[[#This Row],[Saldo no cartão]:[Recarga Pendente]])</f>
        <v>0</v>
      </c>
      <c r="N614" s="19">
        <f>Tabela174681012142230322681619252731333624210121416182426283038402481012141620222628303234362426810121424610122426244262628262681026286236[[#This Row],[Uso diário]]*2</f>
        <v>37.6</v>
      </c>
      <c r="O614" s="19">
        <f>Tabela174681012142230322681619252731333624210121416182426283038402481012141620222628303234362426810121424610122426244262628262681026286236[[#This Row],[Total Acumulado]]-P614</f>
        <v>-94</v>
      </c>
      <c r="P614" s="48">
        <f>Tabela174681012142230322681619252731333624210121416182426283038402481012141620222628303234362426810121424610122426244262628262681026286236[[#This Row],[Uso diário]]*5</f>
        <v>94</v>
      </c>
      <c r="Q6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4" s="25">
        <v>5</v>
      </c>
    </row>
    <row r="615" spans="1:20" s="26" customFormat="1" x14ac:dyDescent="0.25">
      <c r="A615" s="16">
        <v>234140</v>
      </c>
      <c r="B615" s="30" t="s">
        <v>1195</v>
      </c>
      <c r="C615" s="20" t="s">
        <v>654</v>
      </c>
      <c r="D615" s="20" t="s">
        <v>715</v>
      </c>
      <c r="E615" s="20" t="s">
        <v>2745</v>
      </c>
      <c r="F615" s="20" t="s">
        <v>2746</v>
      </c>
      <c r="G615" s="21">
        <v>13.4</v>
      </c>
      <c r="H615" s="16">
        <v>26</v>
      </c>
      <c r="I615" s="16"/>
      <c r="J6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15" s="22"/>
      <c r="L615" s="23"/>
      <c r="M615" s="23">
        <f>SUM(Tabela174681012142230322681619252731333624210121416182426283038402481012141620222628303234362426810121424610122426244262628262681026286236[[#This Row],[Saldo no cartão]:[Recarga Pendente]])</f>
        <v>0</v>
      </c>
      <c r="N615" s="19">
        <f>Tabela174681012142230322681619252731333624210121416182426283038402481012141620222628303234362426810121424610122426244262628262681026286236[[#This Row],[Uso diário]]*2</f>
        <v>26.8</v>
      </c>
      <c r="O615" s="19">
        <f>Tabela174681012142230322681619252731333624210121416182426283038402481012141620222628303234362426810121424610122426244262628262681026286236[[#This Row],[Total Acumulado]]-P615</f>
        <v>-67</v>
      </c>
      <c r="P615" s="48">
        <f>Tabela174681012142230322681619252731333624210121416182426283038402481012141620222628303234362426810121424610122426244262628262681026286236[[#This Row],[Uso diário]]*5</f>
        <v>67</v>
      </c>
      <c r="Q6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5" s="25">
        <v>5</v>
      </c>
    </row>
    <row r="616" spans="1:20" s="26" customFormat="1" x14ac:dyDescent="0.25">
      <c r="A616" s="16">
        <v>234307</v>
      </c>
      <c r="B616" s="30" t="s">
        <v>1288</v>
      </c>
      <c r="C616" s="20" t="s">
        <v>654</v>
      </c>
      <c r="D616" s="20" t="s">
        <v>715</v>
      </c>
      <c r="E616" s="20" t="s">
        <v>2747</v>
      </c>
      <c r="F616" s="20" t="s">
        <v>2748</v>
      </c>
      <c r="G616" s="21">
        <v>13.4</v>
      </c>
      <c r="H616" s="16">
        <v>26</v>
      </c>
      <c r="I616" s="16"/>
      <c r="J6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16" s="22"/>
      <c r="L616" s="23">
        <v>36.700000000000003</v>
      </c>
      <c r="M616" s="23">
        <f>SUM(Tabela174681012142230322681619252731333624210121416182426283038402481012141620222628303234362426810121424610122426244262628262681026286236[[#This Row],[Saldo no cartão]:[Recarga Pendente]])</f>
        <v>36.700000000000003</v>
      </c>
      <c r="N616" s="19">
        <f>Tabela174681012142230322681619252731333624210121416182426283038402481012141620222628303234362426810121424610122426244262628262681026286236[[#This Row],[Uso diário]]*2</f>
        <v>26.8</v>
      </c>
      <c r="O616" s="19">
        <f>Tabela174681012142230322681619252731333624210121416182426283038402481012141620222628303234362426810121424610122426244262628262681026286236[[#This Row],[Total Acumulado]]-P616</f>
        <v>-30.299999999999997</v>
      </c>
      <c r="P616" s="48">
        <f>Tabela174681012142230322681619252731333624210121416182426283038402481012141620222628303234362426810121424610122426244262628262681026286236[[#This Row],[Uso diário]]*5</f>
        <v>67</v>
      </c>
      <c r="Q6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6" s="25">
        <v>5</v>
      </c>
    </row>
    <row r="617" spans="1:20" s="26" customFormat="1" x14ac:dyDescent="0.25">
      <c r="A617" s="16">
        <v>234339</v>
      </c>
      <c r="B617" s="30" t="s">
        <v>1289</v>
      </c>
      <c r="C617" s="20" t="s">
        <v>654</v>
      </c>
      <c r="D617" s="20" t="s">
        <v>715</v>
      </c>
      <c r="E617" s="20" t="s">
        <v>2749</v>
      </c>
      <c r="F617" s="20" t="s">
        <v>2750</v>
      </c>
      <c r="G617" s="21">
        <v>13.4</v>
      </c>
      <c r="H617" s="16">
        <v>26</v>
      </c>
      <c r="I617" s="16"/>
      <c r="J6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17" s="22"/>
      <c r="L617" s="23"/>
      <c r="M617" s="23">
        <f>SUM(Tabela174681012142230322681619252731333624210121416182426283038402481012141620222628303234362426810121424610122426244262628262681026286236[[#This Row],[Saldo no cartão]:[Recarga Pendente]])</f>
        <v>0</v>
      </c>
      <c r="N617" s="19">
        <f>Tabela174681012142230322681619252731333624210121416182426283038402481012141620222628303234362426810121424610122426244262628262681026286236[[#This Row],[Uso diário]]*2</f>
        <v>26.8</v>
      </c>
      <c r="O617" s="19">
        <f>Tabela174681012142230322681619252731333624210121416182426283038402481012141620222628303234362426810121424610122426244262628262681026286236[[#This Row],[Total Acumulado]]-P617</f>
        <v>-67</v>
      </c>
      <c r="P617" s="48">
        <f>Tabela174681012142230322681619252731333624210121416182426283038402481012141620222628303234362426810121424610122426244262628262681026286236[[#This Row],[Uso diário]]*5</f>
        <v>67</v>
      </c>
      <c r="Q6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7" s="25">
        <v>5</v>
      </c>
    </row>
    <row r="618" spans="1:20" s="26" customFormat="1" x14ac:dyDescent="0.25">
      <c r="A618" s="16">
        <v>234396</v>
      </c>
      <c r="B618" s="30" t="s">
        <v>1315</v>
      </c>
      <c r="C618" s="20" t="s">
        <v>654</v>
      </c>
      <c r="D618" s="20" t="s">
        <v>715</v>
      </c>
      <c r="E618" s="20" t="s">
        <v>2751</v>
      </c>
      <c r="F618" s="20" t="s">
        <v>2752</v>
      </c>
      <c r="G618" s="21">
        <v>13.4</v>
      </c>
      <c r="H618" s="16">
        <v>26</v>
      </c>
      <c r="I618" s="16">
        <v>2</v>
      </c>
      <c r="J6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618" s="22"/>
      <c r="L618" s="23"/>
      <c r="M618" s="23">
        <f>SUM(Tabela174681012142230322681619252731333624210121416182426283038402481012141620222628303234362426810121424610122426244262628262681026286236[[#This Row],[Saldo no cartão]:[Recarga Pendente]])</f>
        <v>0</v>
      </c>
      <c r="N618" s="19">
        <f>Tabela174681012142230322681619252731333624210121416182426283038402481012141620222628303234362426810121424610122426244262628262681026286236[[#This Row],[Uso diário]]*2</f>
        <v>26.8</v>
      </c>
      <c r="O618" s="19">
        <f>Tabela174681012142230322681619252731333624210121416182426283038402481012141620222628303234362426810121424610122426244262628262681026286236[[#This Row],[Total Acumulado]]-P618</f>
        <v>-67</v>
      </c>
      <c r="P618" s="48">
        <f>Tabela174681012142230322681619252731333624210121416182426283038402481012141620222628303234362426810121424610122426244262628262681026286236[[#This Row],[Uso diário]]*5</f>
        <v>67</v>
      </c>
      <c r="Q6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6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18" s="25">
        <v>5</v>
      </c>
    </row>
    <row r="619" spans="1:20" s="26" customFormat="1" x14ac:dyDescent="0.25">
      <c r="A619" s="16">
        <v>234805</v>
      </c>
      <c r="B619" s="30" t="s">
        <v>1364</v>
      </c>
      <c r="C619" s="20" t="s">
        <v>654</v>
      </c>
      <c r="D619" s="20" t="s">
        <v>715</v>
      </c>
      <c r="E619" s="20" t="s">
        <v>2753</v>
      </c>
      <c r="F619" s="20" t="s">
        <v>2754</v>
      </c>
      <c r="G619" s="21">
        <v>18.8</v>
      </c>
      <c r="H619" s="16">
        <v>26</v>
      </c>
      <c r="I619" s="16"/>
      <c r="J6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19" s="22"/>
      <c r="L619" s="23">
        <v>451.2</v>
      </c>
      <c r="M619" s="23">
        <f>SUM(Tabela174681012142230322681619252731333624210121416182426283038402481012141620222628303234362426810121424610122426244262628262681026286236[[#This Row],[Saldo no cartão]:[Recarga Pendente]])</f>
        <v>451.2</v>
      </c>
      <c r="N619" s="19">
        <f>Tabela174681012142230322681619252731333624210121416182426283038402481012141620222628303234362426810121424610122426244262628262681026286236[[#This Row],[Uso diário]]*2</f>
        <v>37.6</v>
      </c>
      <c r="O619" s="19">
        <f>Tabela174681012142230322681619252731333624210121416182426283038402481012141620222628303234362426810121424610122426244262628262681026286236[[#This Row],[Total Acumulado]]-P619</f>
        <v>357.2</v>
      </c>
      <c r="P619" s="48">
        <f>Tabela174681012142230322681619252731333624210121416182426283038402481012141620222628303234362426810121424610122426244262628262681026286236[[#This Row],[Uso diário]]*5</f>
        <v>94</v>
      </c>
      <c r="Q6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357.2</v>
      </c>
      <c r="R6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131.60000000000002</v>
      </c>
      <c r="S619" s="18" t="s">
        <v>11</v>
      </c>
      <c r="T619" s="25">
        <v>5</v>
      </c>
    </row>
    <row r="620" spans="1:20" s="26" customFormat="1" x14ac:dyDescent="0.25">
      <c r="A620" s="16">
        <v>209670</v>
      </c>
      <c r="B620" s="30" t="s">
        <v>297</v>
      </c>
      <c r="C620" s="20" t="s">
        <v>640</v>
      </c>
      <c r="D620" s="20" t="s">
        <v>702</v>
      </c>
      <c r="E620" s="20" t="s">
        <v>2755</v>
      </c>
      <c r="F620" s="20" t="s">
        <v>2756</v>
      </c>
      <c r="G620" s="21">
        <v>18.8</v>
      </c>
      <c r="H620" s="16">
        <v>26</v>
      </c>
      <c r="I620" s="16"/>
      <c r="J6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20" s="22"/>
      <c r="L620" s="23"/>
      <c r="M620" s="23">
        <f>SUM(Tabela174681012142230322681619252731333624210121416182426283038402481012141620222628303234362426810121424610122426244262628262681026286236[[#This Row],[Saldo no cartão]:[Recarga Pendente]])</f>
        <v>0</v>
      </c>
      <c r="N620" s="19">
        <f>Tabela174681012142230322681619252731333624210121416182426283038402481012141620222628303234362426810121424610122426244262628262681026286236[[#This Row],[Uso diário]]*2</f>
        <v>37.6</v>
      </c>
      <c r="O620" s="19">
        <f>Tabela174681012142230322681619252731333624210121416182426283038402481012141620222628303234362426810121424610122426244262628262681026286236[[#This Row],[Total Acumulado]]-P620</f>
        <v>-94</v>
      </c>
      <c r="P620" s="48">
        <f>Tabela174681012142230322681619252731333624210121416182426283038402481012141620222628303234362426810121424610122426244262628262681026286236[[#This Row],[Uso diário]]*5</f>
        <v>94</v>
      </c>
      <c r="Q6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0" s="25">
        <v>5</v>
      </c>
    </row>
    <row r="621" spans="1:20" s="26" customFormat="1" x14ac:dyDescent="0.25">
      <c r="A621" s="16">
        <v>221177</v>
      </c>
      <c r="B621" s="30" t="s">
        <v>298</v>
      </c>
      <c r="C621" s="20" t="s">
        <v>640</v>
      </c>
      <c r="D621" s="20" t="s">
        <v>701</v>
      </c>
      <c r="E621" s="20" t="s">
        <v>2757</v>
      </c>
      <c r="F621" s="20" t="s">
        <v>2758</v>
      </c>
      <c r="G621" s="21">
        <v>18.8</v>
      </c>
      <c r="H621" s="16">
        <v>26</v>
      </c>
      <c r="I621" s="16"/>
      <c r="J6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21" s="22"/>
      <c r="L621" s="23"/>
      <c r="M621" s="23">
        <f>SUM(Tabela174681012142230322681619252731333624210121416182426283038402481012141620222628303234362426810121424610122426244262628262681026286236[[#This Row],[Saldo no cartão]:[Recarga Pendente]])</f>
        <v>0</v>
      </c>
      <c r="N621" s="19">
        <f>Tabela174681012142230322681619252731333624210121416182426283038402481012141620222628303234362426810121424610122426244262628262681026286236[[#This Row],[Uso diário]]*2</f>
        <v>37.6</v>
      </c>
      <c r="O621" s="19">
        <f>Tabela174681012142230322681619252731333624210121416182426283038402481012141620222628303234362426810121424610122426244262628262681026286236[[#This Row],[Total Acumulado]]-P621</f>
        <v>-94</v>
      </c>
      <c r="P621" s="48">
        <f>Tabela174681012142230322681619252731333624210121416182426283038402481012141620222628303234362426810121424610122426244262628262681026286236[[#This Row],[Uso diário]]*5</f>
        <v>94</v>
      </c>
      <c r="Q6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1" s="25">
        <v>5</v>
      </c>
    </row>
    <row r="622" spans="1:20" s="26" customFormat="1" x14ac:dyDescent="0.25">
      <c r="A622" s="16">
        <v>226600</v>
      </c>
      <c r="B622" s="30" t="s">
        <v>1457</v>
      </c>
      <c r="C622" s="20" t="s">
        <v>640</v>
      </c>
      <c r="D622" s="20" t="s">
        <v>701</v>
      </c>
      <c r="E622" s="20" t="s">
        <v>2759</v>
      </c>
      <c r="F622" s="20" t="s">
        <v>2760</v>
      </c>
      <c r="G622" s="21">
        <v>18.8</v>
      </c>
      <c r="H622" s="16">
        <v>26</v>
      </c>
      <c r="I622" s="16"/>
      <c r="J6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22" s="22"/>
      <c r="L622" s="23"/>
      <c r="M622" s="23">
        <f>SUM(Tabela174681012142230322681619252731333624210121416182426283038402481012141620222628303234362426810121424610122426244262628262681026286236[[#This Row],[Saldo no cartão]:[Recarga Pendente]])</f>
        <v>0</v>
      </c>
      <c r="N622" s="19">
        <f>Tabela174681012142230322681619252731333624210121416182426283038402481012141620222628303234362426810121424610122426244262628262681026286236[[#This Row],[Uso diário]]*2</f>
        <v>37.6</v>
      </c>
      <c r="O622" s="19">
        <f>Tabela174681012142230322681619252731333624210121416182426283038402481012141620222628303234362426810121424610122426244262628262681026286236[[#This Row],[Total Acumulado]]-P622</f>
        <v>-94</v>
      </c>
      <c r="P622" s="48">
        <f>Tabela174681012142230322681619252731333624210121416182426283038402481012141620222628303234362426810121424610122426244262628262681026286236[[#This Row],[Uso diário]]*5</f>
        <v>94</v>
      </c>
      <c r="Q6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2" s="25">
        <v>5</v>
      </c>
    </row>
    <row r="623" spans="1:20" s="26" customFormat="1" x14ac:dyDescent="0.25">
      <c r="A623" s="16">
        <v>230607</v>
      </c>
      <c r="B623" s="30" t="s">
        <v>1316</v>
      </c>
      <c r="C623" s="20" t="s">
        <v>640</v>
      </c>
      <c r="D623" s="20" t="s">
        <v>701</v>
      </c>
      <c r="E623" s="20" t="s">
        <v>2761</v>
      </c>
      <c r="F623" s="20" t="s">
        <v>2762</v>
      </c>
      <c r="G623" s="21">
        <v>13.4</v>
      </c>
      <c r="H623" s="16">
        <v>26</v>
      </c>
      <c r="I623" s="16"/>
      <c r="J6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23" s="22"/>
      <c r="L623" s="23"/>
      <c r="M623" s="23">
        <f>SUM(Tabela174681012142230322681619252731333624210121416182426283038402481012141620222628303234362426810121424610122426244262628262681026286236[[#This Row],[Saldo no cartão]:[Recarga Pendente]])</f>
        <v>0</v>
      </c>
      <c r="N623" s="19">
        <f>Tabela174681012142230322681619252731333624210121416182426283038402481012141620222628303234362426810121424610122426244262628262681026286236[[#This Row],[Uso diário]]*2</f>
        <v>26.8</v>
      </c>
      <c r="O623" s="19">
        <f>Tabela174681012142230322681619252731333624210121416182426283038402481012141620222628303234362426810121424610122426244262628262681026286236[[#This Row],[Total Acumulado]]-P623</f>
        <v>-67</v>
      </c>
      <c r="P623" s="48">
        <f>Tabela174681012142230322681619252731333624210121416182426283038402481012141620222628303234362426810121424610122426244262628262681026286236[[#This Row],[Uso diário]]*5</f>
        <v>67</v>
      </c>
      <c r="Q6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3" s="25">
        <v>5</v>
      </c>
    </row>
    <row r="624" spans="1:20" s="26" customFormat="1" x14ac:dyDescent="0.25">
      <c r="A624" s="16">
        <v>231792</v>
      </c>
      <c r="B624" s="30" t="s">
        <v>828</v>
      </c>
      <c r="C624" s="20" t="s">
        <v>640</v>
      </c>
      <c r="D624" s="20" t="s">
        <v>702</v>
      </c>
      <c r="E624" s="20" t="s">
        <v>2763</v>
      </c>
      <c r="F624" s="20" t="s">
        <v>2764</v>
      </c>
      <c r="G624" s="21">
        <v>18.8</v>
      </c>
      <c r="H624" s="16">
        <v>26</v>
      </c>
      <c r="I624" s="16"/>
      <c r="J6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24" s="22"/>
      <c r="L624" s="23"/>
      <c r="M624" s="23">
        <f>SUM(Tabela174681012142230322681619252731333624210121416182426283038402481012141620222628303234362426810121424610122426244262628262681026286236[[#This Row],[Saldo no cartão]:[Recarga Pendente]])</f>
        <v>0</v>
      </c>
      <c r="N624" s="19">
        <f>Tabela174681012142230322681619252731333624210121416182426283038402481012141620222628303234362426810121424610122426244262628262681026286236[[#This Row],[Uso diário]]*2</f>
        <v>37.6</v>
      </c>
      <c r="O624" s="19">
        <f>Tabela174681012142230322681619252731333624210121416182426283038402481012141620222628303234362426810121424610122426244262628262681026286236[[#This Row],[Total Acumulado]]-P624</f>
        <v>-94</v>
      </c>
      <c r="P624" s="48">
        <f>Tabela174681012142230322681619252731333624210121416182426283038402481012141620222628303234362426810121424610122426244262628262681026286236[[#This Row],[Uso diário]]*5</f>
        <v>94</v>
      </c>
      <c r="Q6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4" s="25">
        <v>5</v>
      </c>
    </row>
    <row r="625" spans="1:20" s="26" customFormat="1" x14ac:dyDescent="0.25">
      <c r="A625" s="16">
        <v>235057</v>
      </c>
      <c r="B625" s="30" t="s">
        <v>1458</v>
      </c>
      <c r="C625" s="20" t="s">
        <v>640</v>
      </c>
      <c r="D625" s="20" t="s">
        <v>701</v>
      </c>
      <c r="E625" s="20" t="s">
        <v>2765</v>
      </c>
      <c r="F625" s="20">
        <v>0</v>
      </c>
      <c r="G625" s="21">
        <v>13.4</v>
      </c>
      <c r="H625" s="16">
        <v>26</v>
      </c>
      <c r="I625" s="16"/>
      <c r="J6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25" s="22"/>
      <c r="L625" s="23"/>
      <c r="M625" s="23">
        <f>SUM(Tabela174681012142230322681619252731333624210121416182426283038402481012141620222628303234362426810121424610122426244262628262681026286236[[#This Row],[Saldo no cartão]:[Recarga Pendente]])</f>
        <v>0</v>
      </c>
      <c r="N625" s="19">
        <f>Tabela174681012142230322681619252731333624210121416182426283038402481012141620222628303234362426810121424610122426244262628262681026286236[[#This Row],[Uso diário]]*2</f>
        <v>26.8</v>
      </c>
      <c r="O625" s="19">
        <f>Tabela174681012142230322681619252731333624210121416182426283038402481012141620222628303234362426810121424610122426244262628262681026286236[[#This Row],[Total Acumulado]]-P625</f>
        <v>-67</v>
      </c>
      <c r="P625" s="48">
        <f>Tabela174681012142230322681619252731333624210121416182426283038402481012141620222628303234362426810121424610122426244262628262681026286236[[#This Row],[Uso diário]]*5</f>
        <v>67</v>
      </c>
      <c r="Q6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5" s="25">
        <v>5</v>
      </c>
    </row>
    <row r="626" spans="1:20" s="26" customFormat="1" x14ac:dyDescent="0.25">
      <c r="A626" s="16">
        <v>209911</v>
      </c>
      <c r="B626" s="30" t="s">
        <v>1196</v>
      </c>
      <c r="C626" s="20" t="s">
        <v>655</v>
      </c>
      <c r="D626" s="20" t="s">
        <v>713</v>
      </c>
      <c r="E626" s="20" t="s">
        <v>2766</v>
      </c>
      <c r="F626" s="20" t="s">
        <v>2767</v>
      </c>
      <c r="G626" s="21">
        <v>14.2</v>
      </c>
      <c r="H626" s="16">
        <v>26</v>
      </c>
      <c r="I626" s="16"/>
      <c r="J6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26" s="22"/>
      <c r="L626" s="23"/>
      <c r="M626" s="23">
        <f>SUM(Tabela174681012142230322681619252731333624210121416182426283038402481012141620222628303234362426810121424610122426244262628262681026286236[[#This Row],[Saldo no cartão]:[Recarga Pendente]])</f>
        <v>0</v>
      </c>
      <c r="N626" s="19">
        <f>Tabela174681012142230322681619252731333624210121416182426283038402481012141620222628303234362426810121424610122426244262628262681026286236[[#This Row],[Uso diário]]*2</f>
        <v>28.4</v>
      </c>
      <c r="O626" s="19">
        <f>Tabela174681012142230322681619252731333624210121416182426283038402481012141620222628303234362426810121424610122426244262628262681026286236[[#This Row],[Total Acumulado]]-P626</f>
        <v>-71</v>
      </c>
      <c r="P626" s="48">
        <f>Tabela174681012142230322681619252731333624210121416182426283038402481012141620222628303234362426810121424610122426244262628262681026286236[[#This Row],[Uso diário]]*5</f>
        <v>71</v>
      </c>
      <c r="Q6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6" s="25">
        <v>5</v>
      </c>
    </row>
    <row r="627" spans="1:20" s="26" customFormat="1" x14ac:dyDescent="0.25">
      <c r="A627" s="16">
        <v>219204</v>
      </c>
      <c r="B627" s="30" t="s">
        <v>334</v>
      </c>
      <c r="C627" s="20" t="s">
        <v>655</v>
      </c>
      <c r="D627" s="20" t="s">
        <v>733</v>
      </c>
      <c r="E627" s="20" t="s">
        <v>2768</v>
      </c>
      <c r="F627" s="20" t="s">
        <v>2769</v>
      </c>
      <c r="G627" s="21">
        <v>13.4</v>
      </c>
      <c r="H627" s="16">
        <v>26</v>
      </c>
      <c r="I627" s="16"/>
      <c r="J6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27" s="22"/>
      <c r="L627" s="23"/>
      <c r="M627" s="23">
        <f>SUM(Tabela174681012142230322681619252731333624210121416182426283038402481012141620222628303234362426810121424610122426244262628262681026286236[[#This Row],[Saldo no cartão]:[Recarga Pendente]])</f>
        <v>0</v>
      </c>
      <c r="N627" s="19">
        <f>Tabela174681012142230322681619252731333624210121416182426283038402481012141620222628303234362426810121424610122426244262628262681026286236[[#This Row],[Uso diário]]*2</f>
        <v>26.8</v>
      </c>
      <c r="O627" s="19">
        <f>Tabela174681012142230322681619252731333624210121416182426283038402481012141620222628303234362426810121424610122426244262628262681026286236[[#This Row],[Total Acumulado]]-P627</f>
        <v>-67</v>
      </c>
      <c r="P627" s="48">
        <f>Tabela174681012142230322681619252731333624210121416182426283038402481012141620222628303234362426810121424610122426244262628262681026286236[[#This Row],[Uso diário]]*5</f>
        <v>67</v>
      </c>
      <c r="Q6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7" s="25">
        <v>5</v>
      </c>
    </row>
    <row r="628" spans="1:20" s="26" customFormat="1" x14ac:dyDescent="0.25">
      <c r="A628" s="16">
        <v>233181</v>
      </c>
      <c r="B628" s="30" t="s">
        <v>990</v>
      </c>
      <c r="C628" s="20" t="s">
        <v>655</v>
      </c>
      <c r="D628" s="20" t="s">
        <v>734</v>
      </c>
      <c r="E628" s="20" t="s">
        <v>2770</v>
      </c>
      <c r="F628" s="20" t="s">
        <v>2771</v>
      </c>
      <c r="G628" s="21">
        <v>13.4</v>
      </c>
      <c r="H628" s="16">
        <v>26</v>
      </c>
      <c r="I628" s="16">
        <v>1</v>
      </c>
      <c r="J6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628" s="22"/>
      <c r="L628" s="23">
        <v>22.2</v>
      </c>
      <c r="M628" s="23">
        <f>SUM(Tabela174681012142230322681619252731333624210121416182426283038402481012141620222628303234362426810121424610122426244262628262681026286236[[#This Row],[Saldo no cartão]:[Recarga Pendente]])</f>
        <v>22.2</v>
      </c>
      <c r="N628" s="19">
        <f>Tabela174681012142230322681619252731333624210121416182426283038402481012141620222628303234362426810121424610122426244262628262681026286236[[#This Row],[Uso diário]]*2</f>
        <v>26.8</v>
      </c>
      <c r="O628" s="19">
        <f>Tabela174681012142230322681619252731333624210121416182426283038402481012141620222628303234362426810121424610122426244262628262681026286236[[#This Row],[Total Acumulado]]-P628</f>
        <v>-44.8</v>
      </c>
      <c r="P628" s="48">
        <f>Tabela174681012142230322681619252731333624210121416182426283038402481012141620222628303234362426810121424610122426244262628262681026286236[[#This Row],[Uso diário]]*5</f>
        <v>67</v>
      </c>
      <c r="Q6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6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8" s="25">
        <v>5</v>
      </c>
    </row>
    <row r="629" spans="1:20" s="26" customFormat="1" x14ac:dyDescent="0.25">
      <c r="A629" s="16">
        <v>203437</v>
      </c>
      <c r="B629" s="30" t="s">
        <v>303</v>
      </c>
      <c r="C629" s="20" t="s">
        <v>641</v>
      </c>
      <c r="D629" s="20" t="s">
        <v>704</v>
      </c>
      <c r="E629" s="20" t="s">
        <v>2772</v>
      </c>
      <c r="F629" s="20" t="s">
        <v>2773</v>
      </c>
      <c r="G629" s="21">
        <v>18.8</v>
      </c>
      <c r="H629" s="16">
        <v>26</v>
      </c>
      <c r="I629" s="16"/>
      <c r="J6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29" s="22"/>
      <c r="L629" s="23"/>
      <c r="M629" s="23">
        <f>SUM(Tabela174681012142230322681619252731333624210121416182426283038402481012141620222628303234362426810121424610122426244262628262681026286236[[#This Row],[Saldo no cartão]:[Recarga Pendente]])</f>
        <v>0</v>
      </c>
      <c r="N629" s="19">
        <f>Tabela174681012142230322681619252731333624210121416182426283038402481012141620222628303234362426810121424610122426244262628262681026286236[[#This Row],[Uso diário]]*2</f>
        <v>37.6</v>
      </c>
      <c r="O629" s="19">
        <f>Tabela174681012142230322681619252731333624210121416182426283038402481012141620222628303234362426810121424610122426244262628262681026286236[[#This Row],[Total Acumulado]]-P629</f>
        <v>-94</v>
      </c>
      <c r="P629" s="48">
        <f>Tabela174681012142230322681619252731333624210121416182426283038402481012141620222628303234362426810121424610122426244262628262681026286236[[#This Row],[Uso diário]]*5</f>
        <v>94</v>
      </c>
      <c r="Q6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29" s="25">
        <v>5</v>
      </c>
    </row>
    <row r="630" spans="1:20" s="26" customFormat="1" x14ac:dyDescent="0.25">
      <c r="A630" s="16">
        <v>211379</v>
      </c>
      <c r="B630" s="30" t="s">
        <v>304</v>
      </c>
      <c r="C630" s="20" t="s">
        <v>641</v>
      </c>
      <c r="D630" s="20" t="s">
        <v>743</v>
      </c>
      <c r="E630" s="20" t="s">
        <v>2774</v>
      </c>
      <c r="F630" s="20" t="s">
        <v>2775</v>
      </c>
      <c r="G630" s="21">
        <v>14.2</v>
      </c>
      <c r="H630" s="16">
        <v>26</v>
      </c>
      <c r="I630" s="16"/>
      <c r="J6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30" s="22"/>
      <c r="L630" s="23"/>
      <c r="M630" s="23">
        <f>SUM(Tabela174681012142230322681619252731333624210121416182426283038402481012141620222628303234362426810121424610122426244262628262681026286236[[#This Row],[Saldo no cartão]:[Recarga Pendente]])</f>
        <v>0</v>
      </c>
      <c r="N630" s="19">
        <f>Tabela174681012142230322681619252731333624210121416182426283038402481012141620222628303234362426810121424610122426244262628262681026286236[[#This Row],[Uso diário]]*2</f>
        <v>28.4</v>
      </c>
      <c r="O630" s="19">
        <f>Tabela174681012142230322681619252731333624210121416182426283038402481012141620222628303234362426810121424610122426244262628262681026286236[[#This Row],[Total Acumulado]]-P630</f>
        <v>-71</v>
      </c>
      <c r="P630" s="48">
        <f>Tabela174681012142230322681619252731333624210121416182426283038402481012141620222628303234362426810121424610122426244262628262681026286236[[#This Row],[Uso diário]]*5</f>
        <v>71</v>
      </c>
      <c r="Q6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0" s="25">
        <v>5</v>
      </c>
    </row>
    <row r="631" spans="1:20" s="26" customFormat="1" x14ac:dyDescent="0.25">
      <c r="A631" s="16">
        <v>211492</v>
      </c>
      <c r="B631" s="30" t="s">
        <v>305</v>
      </c>
      <c r="C631" s="20" t="s">
        <v>641</v>
      </c>
      <c r="D631" s="20" t="s">
        <v>743</v>
      </c>
      <c r="E631" s="20" t="s">
        <v>2776</v>
      </c>
      <c r="F631" s="20" t="s">
        <v>2777</v>
      </c>
      <c r="G631" s="21">
        <v>18.8</v>
      </c>
      <c r="H631" s="16">
        <v>26</v>
      </c>
      <c r="I631" s="16"/>
      <c r="J6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31" s="22"/>
      <c r="L631" s="23"/>
      <c r="M631" s="23">
        <f>SUM(Tabela174681012142230322681619252731333624210121416182426283038402481012141620222628303234362426810121424610122426244262628262681026286236[[#This Row],[Saldo no cartão]:[Recarga Pendente]])</f>
        <v>0</v>
      </c>
      <c r="N631" s="19">
        <f>Tabela174681012142230322681619252731333624210121416182426283038402481012141620222628303234362426810121424610122426244262628262681026286236[[#This Row],[Uso diário]]*2</f>
        <v>37.6</v>
      </c>
      <c r="O631" s="19">
        <f>Tabela174681012142230322681619252731333624210121416182426283038402481012141620222628303234362426810121424610122426244262628262681026286236[[#This Row],[Total Acumulado]]-P631</f>
        <v>-94</v>
      </c>
      <c r="P631" s="48">
        <f>Tabela174681012142230322681619252731333624210121416182426283038402481012141620222628303234362426810121424610122426244262628262681026286236[[#This Row],[Uso diário]]*5</f>
        <v>94</v>
      </c>
      <c r="Q6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1" s="25">
        <v>5</v>
      </c>
    </row>
    <row r="632" spans="1:20" s="26" customFormat="1" x14ac:dyDescent="0.25">
      <c r="A632" s="16">
        <v>214636</v>
      </c>
      <c r="B632" s="30" t="s">
        <v>1073</v>
      </c>
      <c r="C632" s="20" t="s">
        <v>641</v>
      </c>
      <c r="D632" s="20" t="s">
        <v>705</v>
      </c>
      <c r="E632" s="20" t="s">
        <v>2778</v>
      </c>
      <c r="F632" s="20" t="s">
        <v>2779</v>
      </c>
      <c r="G632" s="21">
        <v>14.2</v>
      </c>
      <c r="H632" s="16">
        <v>26</v>
      </c>
      <c r="I632" s="16"/>
      <c r="J6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32" s="22"/>
      <c r="L632" s="23"/>
      <c r="M632" s="23">
        <f>SUM(Tabela174681012142230322681619252731333624210121416182426283038402481012141620222628303234362426810121424610122426244262628262681026286236[[#This Row],[Saldo no cartão]:[Recarga Pendente]])</f>
        <v>0</v>
      </c>
      <c r="N632" s="19">
        <f>Tabela174681012142230322681619252731333624210121416182426283038402481012141620222628303234362426810121424610122426244262628262681026286236[[#This Row],[Uso diário]]*2</f>
        <v>28.4</v>
      </c>
      <c r="O632" s="19">
        <f>Tabela174681012142230322681619252731333624210121416182426283038402481012141620222628303234362426810121424610122426244262628262681026286236[[#This Row],[Total Acumulado]]-P632</f>
        <v>-71</v>
      </c>
      <c r="P632" s="48">
        <f>Tabela174681012142230322681619252731333624210121416182426283038402481012141620222628303234362426810121424610122426244262628262681026286236[[#This Row],[Uso diário]]*5</f>
        <v>71</v>
      </c>
      <c r="Q6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2" s="25">
        <v>5</v>
      </c>
    </row>
    <row r="633" spans="1:20" s="26" customFormat="1" x14ac:dyDescent="0.25">
      <c r="A633" s="16">
        <v>218050</v>
      </c>
      <c r="B633" s="30" t="s">
        <v>307</v>
      </c>
      <c r="C633" s="20" t="s">
        <v>641</v>
      </c>
      <c r="D633" s="20" t="s">
        <v>704</v>
      </c>
      <c r="E633" s="20" t="s">
        <v>2780</v>
      </c>
      <c r="F633" s="20" t="s">
        <v>2781</v>
      </c>
      <c r="G633" s="21">
        <v>18.8</v>
      </c>
      <c r="H633" s="16">
        <v>26</v>
      </c>
      <c r="I633" s="16"/>
      <c r="J6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33" s="22"/>
      <c r="L633" s="23">
        <v>207.9</v>
      </c>
      <c r="M633" s="23">
        <f>SUM(Tabela174681012142230322681619252731333624210121416182426283038402481012141620222628303234362426810121424610122426244262628262681026286236[[#This Row],[Saldo no cartão]:[Recarga Pendente]])</f>
        <v>207.9</v>
      </c>
      <c r="N633" s="19">
        <f>Tabela174681012142230322681619252731333624210121416182426283038402481012141620222628303234362426810121424610122426244262628262681026286236[[#This Row],[Uso diário]]*2</f>
        <v>37.6</v>
      </c>
      <c r="O633" s="19">
        <f>Tabela174681012142230322681619252731333624210121416182426283038402481012141620222628303234362426810121424610122426244262628262681026286236[[#This Row],[Total Acumulado]]-P633</f>
        <v>113.9</v>
      </c>
      <c r="P633" s="48">
        <f>Tabela174681012142230322681619252731333624210121416182426283038402481012141620222628303234362426810121424610122426244262628262681026286236[[#This Row],[Uso diário]]*5</f>
        <v>94</v>
      </c>
      <c r="Q6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113.9</v>
      </c>
      <c r="R6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374.9</v>
      </c>
      <c r="S633" s="18" t="s">
        <v>11</v>
      </c>
      <c r="T633" s="25">
        <v>5</v>
      </c>
    </row>
    <row r="634" spans="1:20" s="26" customFormat="1" x14ac:dyDescent="0.25">
      <c r="A634" s="16">
        <v>218807</v>
      </c>
      <c r="B634" s="30" t="s">
        <v>308</v>
      </c>
      <c r="C634" s="20" t="s">
        <v>641</v>
      </c>
      <c r="D634" s="20" t="s">
        <v>704</v>
      </c>
      <c r="E634" s="20" t="s">
        <v>2782</v>
      </c>
      <c r="F634" s="20" t="s">
        <v>2783</v>
      </c>
      <c r="G634" s="21">
        <v>18.8</v>
      </c>
      <c r="H634" s="16">
        <v>26</v>
      </c>
      <c r="I634" s="16"/>
      <c r="J6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34" s="22"/>
      <c r="L634" s="23"/>
      <c r="M634" s="23">
        <f>SUM(Tabela174681012142230322681619252731333624210121416182426283038402481012141620222628303234362426810121424610122426244262628262681026286236[[#This Row],[Saldo no cartão]:[Recarga Pendente]])</f>
        <v>0</v>
      </c>
      <c r="N634" s="19">
        <f>Tabela174681012142230322681619252731333624210121416182426283038402481012141620222628303234362426810121424610122426244262628262681026286236[[#This Row],[Uso diário]]*2</f>
        <v>37.6</v>
      </c>
      <c r="O634" s="19">
        <f>Tabela174681012142230322681619252731333624210121416182426283038402481012141620222628303234362426810121424610122426244262628262681026286236[[#This Row],[Total Acumulado]]-P634</f>
        <v>-94</v>
      </c>
      <c r="P634" s="48">
        <f>Tabela174681012142230322681619252731333624210121416182426283038402481012141620222628303234362426810121424610122426244262628262681026286236[[#This Row],[Uso diário]]*5</f>
        <v>94</v>
      </c>
      <c r="Q6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4" s="25">
        <v>5</v>
      </c>
    </row>
    <row r="635" spans="1:20" s="26" customFormat="1" x14ac:dyDescent="0.25">
      <c r="A635" s="16">
        <v>221046</v>
      </c>
      <c r="B635" s="30" t="s">
        <v>309</v>
      </c>
      <c r="C635" s="20" t="s">
        <v>641</v>
      </c>
      <c r="D635" s="20" t="s">
        <v>704</v>
      </c>
      <c r="E635" s="20" t="s">
        <v>2784</v>
      </c>
      <c r="F635" s="20" t="s">
        <v>2785</v>
      </c>
      <c r="G635" s="21">
        <v>18.8</v>
      </c>
      <c r="H635" s="16">
        <v>26</v>
      </c>
      <c r="I635" s="16">
        <v>3</v>
      </c>
      <c r="J6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635" s="22"/>
      <c r="L635" s="23"/>
      <c r="M635" s="23">
        <f>SUM(Tabela174681012142230322681619252731333624210121416182426283038402481012141620222628303234362426810121424610122426244262628262681026286236[[#This Row],[Saldo no cartão]:[Recarga Pendente]])</f>
        <v>0</v>
      </c>
      <c r="N635" s="19">
        <f>Tabela174681012142230322681619252731333624210121416182426283038402481012141620222628303234362426810121424610122426244262628262681026286236[[#This Row],[Uso diário]]*2</f>
        <v>37.6</v>
      </c>
      <c r="O635" s="19">
        <f>Tabela174681012142230322681619252731333624210121416182426283038402481012141620222628303234362426810121424610122426244262628262681026286236[[#This Row],[Total Acumulado]]-P635</f>
        <v>-94</v>
      </c>
      <c r="P635" s="48">
        <f>Tabela174681012142230322681619252731333624210121416182426283038402481012141620222628303234362426810121424610122426244262628262681026286236[[#This Row],[Uso diário]]*5</f>
        <v>94</v>
      </c>
      <c r="Q6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6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5" s="25">
        <v>5</v>
      </c>
    </row>
    <row r="636" spans="1:20" s="26" customFormat="1" x14ac:dyDescent="0.25">
      <c r="A636" s="16">
        <v>222574</v>
      </c>
      <c r="B636" s="30" t="s">
        <v>1074</v>
      </c>
      <c r="C636" s="20" t="s">
        <v>641</v>
      </c>
      <c r="D636" s="20" t="s">
        <v>744</v>
      </c>
      <c r="E636" s="20" t="s">
        <v>2786</v>
      </c>
      <c r="F636" s="20" t="s">
        <v>2787</v>
      </c>
      <c r="G636" s="21">
        <v>18.8</v>
      </c>
      <c r="H636" s="16">
        <v>26</v>
      </c>
      <c r="I636" s="16"/>
      <c r="J6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36" s="22"/>
      <c r="L636" s="23">
        <v>432.4</v>
      </c>
      <c r="M636" s="23">
        <f>SUM(Tabela174681012142230322681619252731333624210121416182426283038402481012141620222628303234362426810121424610122426244262628262681026286236[[#This Row],[Saldo no cartão]:[Recarga Pendente]])</f>
        <v>432.4</v>
      </c>
      <c r="N636" s="19">
        <f>Tabela174681012142230322681619252731333624210121416182426283038402481012141620222628303234362426810121424610122426244262628262681026286236[[#This Row],[Uso diário]]*2</f>
        <v>37.6</v>
      </c>
      <c r="O636" s="19">
        <f>Tabela174681012142230322681619252731333624210121416182426283038402481012141620222628303234362426810121424610122426244262628262681026286236[[#This Row],[Total Acumulado]]-P636</f>
        <v>338.4</v>
      </c>
      <c r="P636" s="48">
        <f>Tabela174681012142230322681619252731333624210121416182426283038402481012141620222628303234362426810121424610122426244262628262681026286236[[#This Row],[Uso diário]]*5</f>
        <v>94</v>
      </c>
      <c r="Q6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338.4</v>
      </c>
      <c r="R6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150.40000000000003</v>
      </c>
      <c r="S636" s="18" t="s">
        <v>11</v>
      </c>
      <c r="T636" s="25">
        <v>5</v>
      </c>
    </row>
    <row r="637" spans="1:20" s="26" customFormat="1" x14ac:dyDescent="0.25">
      <c r="A637" s="16">
        <v>222724</v>
      </c>
      <c r="B637" s="30" t="s">
        <v>310</v>
      </c>
      <c r="C637" s="20" t="s">
        <v>641</v>
      </c>
      <c r="D637" s="20" t="s">
        <v>704</v>
      </c>
      <c r="E637" s="20" t="s">
        <v>2788</v>
      </c>
      <c r="F637" s="20" t="s">
        <v>2789</v>
      </c>
      <c r="G637" s="21">
        <v>14.2</v>
      </c>
      <c r="H637" s="16">
        <v>26</v>
      </c>
      <c r="I637" s="16"/>
      <c r="J6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637" s="22"/>
      <c r="L637" s="23"/>
      <c r="M637" s="23">
        <f>SUM(Tabela174681012142230322681619252731333624210121416182426283038402481012141620222628303234362426810121424610122426244262628262681026286236[[#This Row],[Saldo no cartão]:[Recarga Pendente]])</f>
        <v>0</v>
      </c>
      <c r="N637" s="19">
        <f>Tabela174681012142230322681619252731333624210121416182426283038402481012141620222628303234362426810121424610122426244262628262681026286236[[#This Row],[Uso diário]]*2</f>
        <v>28.4</v>
      </c>
      <c r="O637" s="19">
        <f>Tabela174681012142230322681619252731333624210121416182426283038402481012141620222628303234362426810121424610122426244262628262681026286236[[#This Row],[Total Acumulado]]-P637</f>
        <v>-71</v>
      </c>
      <c r="P637" s="48">
        <f>Tabela174681012142230322681619252731333624210121416182426283038402481012141620222628303234362426810121424610122426244262628262681026286236[[#This Row],[Uso diário]]*5</f>
        <v>71</v>
      </c>
      <c r="Q6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6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7" s="25">
        <v>5</v>
      </c>
    </row>
    <row r="638" spans="1:20" s="26" customFormat="1" x14ac:dyDescent="0.25">
      <c r="A638" s="16">
        <v>222867</v>
      </c>
      <c r="B638" s="30" t="s">
        <v>1197</v>
      </c>
      <c r="C638" s="20" t="s">
        <v>641</v>
      </c>
      <c r="D638" s="20" t="s">
        <v>704</v>
      </c>
      <c r="E638" s="20" t="s">
        <v>2790</v>
      </c>
      <c r="F638" s="20" t="s">
        <v>2791</v>
      </c>
      <c r="G638" s="21">
        <v>13.8</v>
      </c>
      <c r="H638" s="16">
        <v>26</v>
      </c>
      <c r="I638" s="16"/>
      <c r="J6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358.8</v>
      </c>
      <c r="K638" s="22"/>
      <c r="L638" s="23">
        <v>164.6</v>
      </c>
      <c r="M638" s="23">
        <f>SUM(Tabela174681012142230322681619252731333624210121416182426283038402481012141620222628303234362426810121424610122426244262628262681026286236[[#This Row],[Saldo no cartão]:[Recarga Pendente]])</f>
        <v>164.6</v>
      </c>
      <c r="N638" s="19">
        <f>Tabela174681012142230322681619252731333624210121416182426283038402481012141620222628303234362426810121424610122426244262628262681026286236[[#This Row],[Uso diário]]*2</f>
        <v>27.6</v>
      </c>
      <c r="O638" s="19">
        <f>Tabela174681012142230322681619252731333624210121416182426283038402481012141620222628303234362426810121424610122426244262628262681026286236[[#This Row],[Total Acumulado]]-P638</f>
        <v>95.6</v>
      </c>
      <c r="P638" s="48">
        <f>Tabela174681012142230322681619252731333624210121416182426283038402481012141620222628303234362426810121424610122426244262628262681026286236[[#This Row],[Uso diário]]*5</f>
        <v>69</v>
      </c>
      <c r="Q6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95.6</v>
      </c>
      <c r="R6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263.20000000000005</v>
      </c>
      <c r="S638" s="18" t="s">
        <v>11</v>
      </c>
      <c r="T638" s="25">
        <v>5</v>
      </c>
    </row>
    <row r="639" spans="1:20" s="26" customFormat="1" x14ac:dyDescent="0.25">
      <c r="A639" s="16">
        <v>231793</v>
      </c>
      <c r="B639" s="30" t="s">
        <v>829</v>
      </c>
      <c r="C639" s="20" t="s">
        <v>641</v>
      </c>
      <c r="D639" s="20" t="s">
        <v>704</v>
      </c>
      <c r="E639" s="20" t="s">
        <v>2792</v>
      </c>
      <c r="F639" s="20" t="s">
        <v>2793</v>
      </c>
      <c r="G639" s="21">
        <v>18.8</v>
      </c>
      <c r="H639" s="16">
        <v>26</v>
      </c>
      <c r="I639" s="16"/>
      <c r="J6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39" s="22"/>
      <c r="L639" s="23"/>
      <c r="M639" s="23">
        <f>SUM(Tabela174681012142230322681619252731333624210121416182426283038402481012141620222628303234362426810121424610122426244262628262681026286236[[#This Row],[Saldo no cartão]:[Recarga Pendente]])</f>
        <v>0</v>
      </c>
      <c r="N639" s="19">
        <f>Tabela174681012142230322681619252731333624210121416182426283038402481012141620222628303234362426810121424610122426244262628262681026286236[[#This Row],[Uso diário]]*2</f>
        <v>37.6</v>
      </c>
      <c r="O639" s="19">
        <f>Tabela174681012142230322681619252731333624210121416182426283038402481012141620222628303234362426810121424610122426244262628262681026286236[[#This Row],[Total Acumulado]]-P639</f>
        <v>-94</v>
      </c>
      <c r="P639" s="48">
        <f>Tabela174681012142230322681619252731333624210121416182426283038402481012141620222628303234362426810121424610122426244262628262681026286236[[#This Row],[Uso diário]]*5</f>
        <v>94</v>
      </c>
      <c r="Q6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39" s="25">
        <v>5</v>
      </c>
    </row>
    <row r="640" spans="1:20" s="26" customFormat="1" x14ac:dyDescent="0.25">
      <c r="A640" s="16">
        <v>233249</v>
      </c>
      <c r="B640" s="30" t="s">
        <v>991</v>
      </c>
      <c r="C640" s="20" t="s">
        <v>641</v>
      </c>
      <c r="D640" s="20" t="s">
        <v>704</v>
      </c>
      <c r="E640" s="20" t="s">
        <v>2794</v>
      </c>
      <c r="F640" s="20" t="s">
        <v>2795</v>
      </c>
      <c r="G640" s="21">
        <v>18.8</v>
      </c>
      <c r="H640" s="16">
        <v>26</v>
      </c>
      <c r="I640" s="16"/>
      <c r="J6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40" s="22"/>
      <c r="L640" s="23"/>
      <c r="M640" s="23">
        <f>SUM(Tabela174681012142230322681619252731333624210121416182426283038402481012141620222628303234362426810121424610122426244262628262681026286236[[#This Row],[Saldo no cartão]:[Recarga Pendente]])</f>
        <v>0</v>
      </c>
      <c r="N640" s="19">
        <f>Tabela174681012142230322681619252731333624210121416182426283038402481012141620222628303234362426810121424610122426244262628262681026286236[[#This Row],[Uso diário]]*2</f>
        <v>37.6</v>
      </c>
      <c r="O640" s="19">
        <f>Tabela174681012142230322681619252731333624210121416182426283038402481012141620222628303234362426810121424610122426244262628262681026286236[[#This Row],[Total Acumulado]]-P640</f>
        <v>-94</v>
      </c>
      <c r="P640" s="48">
        <f>Tabela174681012142230322681619252731333624210121416182426283038402481012141620222628303234362426810121424610122426244262628262681026286236[[#This Row],[Uso diário]]*5</f>
        <v>94</v>
      </c>
      <c r="Q6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0" s="25">
        <v>5</v>
      </c>
    </row>
    <row r="641" spans="1:20" s="26" customFormat="1" x14ac:dyDescent="0.25">
      <c r="A641" s="16">
        <v>233250</v>
      </c>
      <c r="B641" s="30" t="s">
        <v>992</v>
      </c>
      <c r="C641" s="20" t="s">
        <v>641</v>
      </c>
      <c r="D641" s="20" t="s">
        <v>704</v>
      </c>
      <c r="E641" s="20" t="s">
        <v>2796</v>
      </c>
      <c r="F641" s="20" t="s">
        <v>2797</v>
      </c>
      <c r="G641" s="21">
        <v>18.8</v>
      </c>
      <c r="H641" s="16">
        <v>26</v>
      </c>
      <c r="I641" s="16"/>
      <c r="J6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41" s="22"/>
      <c r="L641" s="23"/>
      <c r="M641" s="23">
        <f>SUM(Tabela174681012142230322681619252731333624210121416182426283038402481012141620222628303234362426810121424610122426244262628262681026286236[[#This Row],[Saldo no cartão]:[Recarga Pendente]])</f>
        <v>0</v>
      </c>
      <c r="N641" s="19">
        <f>Tabela174681012142230322681619252731333624210121416182426283038402481012141620222628303234362426810121424610122426244262628262681026286236[[#This Row],[Uso diário]]*2</f>
        <v>37.6</v>
      </c>
      <c r="O641" s="19">
        <f>Tabela174681012142230322681619252731333624210121416182426283038402481012141620222628303234362426810121424610122426244262628262681026286236[[#This Row],[Total Acumulado]]-P641</f>
        <v>-94</v>
      </c>
      <c r="P641" s="48">
        <f>Tabela174681012142230322681619252731333624210121416182426283038402481012141620222628303234362426810121424610122426244262628262681026286236[[#This Row],[Uso diário]]*5</f>
        <v>94</v>
      </c>
      <c r="Q6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1" s="25">
        <v>5</v>
      </c>
    </row>
    <row r="642" spans="1:20" s="26" customFormat="1" x14ac:dyDescent="0.25">
      <c r="A642" s="16">
        <v>234628</v>
      </c>
      <c r="B642" s="30" t="s">
        <v>1317</v>
      </c>
      <c r="C642" s="20" t="s">
        <v>641</v>
      </c>
      <c r="D642" s="20" t="s">
        <v>704</v>
      </c>
      <c r="E642" s="20" t="s">
        <v>2798</v>
      </c>
      <c r="F642" s="20" t="s">
        <v>2799</v>
      </c>
      <c r="G642" s="21">
        <v>18.8</v>
      </c>
      <c r="H642" s="16">
        <v>26</v>
      </c>
      <c r="I642" s="16">
        <v>4</v>
      </c>
      <c r="J6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42" s="22"/>
      <c r="L642" s="23"/>
      <c r="M642" s="23">
        <f>SUM(Tabela174681012142230322681619252731333624210121416182426283038402481012141620222628303234362426810121424610122426244262628262681026286236[[#This Row],[Saldo no cartão]:[Recarga Pendente]])</f>
        <v>0</v>
      </c>
      <c r="N642" s="19">
        <f>Tabela174681012142230322681619252731333624210121416182426283038402481012141620222628303234362426810121424610122426244262628262681026286236[[#This Row],[Uso diário]]*2</f>
        <v>37.6</v>
      </c>
      <c r="O642" s="19">
        <f>Tabela174681012142230322681619252731333624210121416182426283038402481012141620222628303234362426810121424610122426244262628262681026286236[[#This Row],[Total Acumulado]]-P642</f>
        <v>-94</v>
      </c>
      <c r="P642" s="48">
        <f>Tabela174681012142230322681619252731333624210121416182426283038402481012141620222628303234362426810121424610122426244262628262681026286236[[#This Row],[Uso diário]]*5</f>
        <v>94</v>
      </c>
      <c r="Q6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2" s="25">
        <v>5</v>
      </c>
    </row>
    <row r="643" spans="1:20" s="26" customFormat="1" x14ac:dyDescent="0.25">
      <c r="A643" s="16">
        <v>234669</v>
      </c>
      <c r="B643" s="30" t="s">
        <v>1365</v>
      </c>
      <c r="C643" s="20" t="s">
        <v>641</v>
      </c>
      <c r="D643" s="20" t="s">
        <v>743</v>
      </c>
      <c r="E643" s="20" t="s">
        <v>2800</v>
      </c>
      <c r="F643" s="20" t="s">
        <v>2801</v>
      </c>
      <c r="G643" s="21">
        <v>13.4</v>
      </c>
      <c r="H643" s="16">
        <v>26</v>
      </c>
      <c r="I643" s="16"/>
      <c r="J6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43" s="22"/>
      <c r="L643" s="23"/>
      <c r="M643" s="23">
        <f>SUM(Tabela174681012142230322681619252731333624210121416182426283038402481012141620222628303234362426810121424610122426244262628262681026286236[[#This Row],[Saldo no cartão]:[Recarga Pendente]])</f>
        <v>0</v>
      </c>
      <c r="N643" s="19">
        <f>Tabela174681012142230322681619252731333624210121416182426283038402481012141620222628303234362426810121424610122426244262628262681026286236[[#This Row],[Uso diário]]*2</f>
        <v>26.8</v>
      </c>
      <c r="O643" s="19">
        <f>Tabela174681012142230322681619252731333624210121416182426283038402481012141620222628303234362426810121424610122426244262628262681026286236[[#This Row],[Total Acumulado]]-P643</f>
        <v>-67</v>
      </c>
      <c r="P643" s="48">
        <f>Tabela174681012142230322681619252731333624210121416182426283038402481012141620222628303234362426810121424610122426244262628262681026286236[[#This Row],[Uso diário]]*5</f>
        <v>67</v>
      </c>
      <c r="Q6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3" s="25">
        <v>5</v>
      </c>
    </row>
    <row r="644" spans="1:20" s="26" customFormat="1" x14ac:dyDescent="0.25">
      <c r="A644" s="16">
        <v>222581</v>
      </c>
      <c r="B644" s="30" t="s">
        <v>311</v>
      </c>
      <c r="C644" s="20" t="s">
        <v>645</v>
      </c>
      <c r="D644" s="20" t="s">
        <v>711</v>
      </c>
      <c r="E644" s="20" t="s">
        <v>2802</v>
      </c>
      <c r="F644" s="20" t="s">
        <v>2803</v>
      </c>
      <c r="G644" s="21">
        <v>18.8</v>
      </c>
      <c r="H644" s="16">
        <v>26</v>
      </c>
      <c r="I644" s="16"/>
      <c r="J6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44" s="22"/>
      <c r="L644" s="23"/>
      <c r="M644" s="23">
        <f>SUM(Tabela174681012142230322681619252731333624210121416182426283038402481012141620222628303234362426810121424610122426244262628262681026286236[[#This Row],[Saldo no cartão]:[Recarga Pendente]])</f>
        <v>0</v>
      </c>
      <c r="N644" s="19">
        <f>Tabela174681012142230322681619252731333624210121416182426283038402481012141620222628303234362426810121424610122426244262628262681026286236[[#This Row],[Uso diário]]*2</f>
        <v>37.6</v>
      </c>
      <c r="O644" s="19">
        <f>Tabela174681012142230322681619252731333624210121416182426283038402481012141620222628303234362426810121424610122426244262628262681026286236[[#This Row],[Total Acumulado]]-P644</f>
        <v>-94</v>
      </c>
      <c r="P644" s="48">
        <f>Tabela174681012142230322681619252731333624210121416182426283038402481012141620222628303234362426810121424610122426244262628262681026286236[[#This Row],[Uso diário]]*5</f>
        <v>94</v>
      </c>
      <c r="Q6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4" s="25">
        <v>5</v>
      </c>
    </row>
    <row r="645" spans="1:20" s="26" customFormat="1" x14ac:dyDescent="0.25">
      <c r="A645" s="16">
        <v>215994</v>
      </c>
      <c r="B645" s="30" t="s">
        <v>312</v>
      </c>
      <c r="C645" s="20" t="s">
        <v>647</v>
      </c>
      <c r="D645" s="20" t="s">
        <v>724</v>
      </c>
      <c r="E645" s="20" t="s">
        <v>2804</v>
      </c>
      <c r="F645" s="20" t="s">
        <v>2805</v>
      </c>
      <c r="G645" s="21">
        <v>13.4</v>
      </c>
      <c r="H645" s="16">
        <v>26</v>
      </c>
      <c r="I645" s="16"/>
      <c r="J6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45" s="22"/>
      <c r="L645" s="23"/>
      <c r="M645" s="23">
        <f>SUM(Tabela174681012142230322681619252731333624210121416182426283038402481012141620222628303234362426810121424610122426244262628262681026286236[[#This Row],[Saldo no cartão]:[Recarga Pendente]])</f>
        <v>0</v>
      </c>
      <c r="N645" s="19">
        <f>Tabela174681012142230322681619252731333624210121416182426283038402481012141620222628303234362426810121424610122426244262628262681026286236[[#This Row],[Uso diário]]*2</f>
        <v>26.8</v>
      </c>
      <c r="O645" s="19">
        <f>Tabela174681012142230322681619252731333624210121416182426283038402481012141620222628303234362426810121424610122426244262628262681026286236[[#This Row],[Total Acumulado]]-P645</f>
        <v>-67</v>
      </c>
      <c r="P645" s="48">
        <f>Tabela174681012142230322681619252731333624210121416182426283038402481012141620222628303234362426810121424610122426244262628262681026286236[[#This Row],[Uso diário]]*5</f>
        <v>67</v>
      </c>
      <c r="Q6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5" s="25">
        <v>6</v>
      </c>
    </row>
    <row r="646" spans="1:20" s="26" customFormat="1" x14ac:dyDescent="0.25">
      <c r="A646" s="16">
        <v>228199</v>
      </c>
      <c r="B646" s="30" t="s">
        <v>323</v>
      </c>
      <c r="C646" s="20" t="s">
        <v>647</v>
      </c>
      <c r="D646" s="20" t="s">
        <v>721</v>
      </c>
      <c r="E646" s="20" t="s">
        <v>2806</v>
      </c>
      <c r="F646" s="20" t="s">
        <v>2807</v>
      </c>
      <c r="G646" s="21">
        <v>13.4</v>
      </c>
      <c r="H646" s="16">
        <v>26</v>
      </c>
      <c r="I646" s="16"/>
      <c r="J6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46" s="22"/>
      <c r="L646" s="23"/>
      <c r="M646" s="23">
        <f>SUM(Tabela174681012142230322681619252731333624210121416182426283038402481012141620222628303234362426810121424610122426244262628262681026286236[[#This Row],[Saldo no cartão]:[Recarga Pendente]])</f>
        <v>0</v>
      </c>
      <c r="N646" s="19">
        <f>Tabela174681012142230322681619252731333624210121416182426283038402481012141620222628303234362426810121424610122426244262628262681026286236[[#This Row],[Uso diário]]*2</f>
        <v>26.8</v>
      </c>
      <c r="O646" s="19">
        <f>Tabela174681012142230322681619252731333624210121416182426283038402481012141620222628303234362426810121424610122426244262628262681026286236[[#This Row],[Total Acumulado]]-P646</f>
        <v>-67</v>
      </c>
      <c r="P646" s="48">
        <f>Tabela174681012142230322681619252731333624210121416182426283038402481012141620222628303234362426810121424610122426244262628262681026286236[[#This Row],[Uso diário]]*5</f>
        <v>67</v>
      </c>
      <c r="Q6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6" s="25">
        <v>6</v>
      </c>
    </row>
    <row r="647" spans="1:20" s="26" customFormat="1" x14ac:dyDescent="0.25">
      <c r="A647" s="16">
        <v>210398</v>
      </c>
      <c r="B647" s="30" t="s">
        <v>314</v>
      </c>
      <c r="C647" s="20" t="s">
        <v>648</v>
      </c>
      <c r="D647" s="20" t="s">
        <v>737</v>
      </c>
      <c r="E647" s="20" t="s">
        <v>2808</v>
      </c>
      <c r="F647" s="20" t="s">
        <v>2809</v>
      </c>
      <c r="G647" s="21">
        <v>10</v>
      </c>
      <c r="H647" s="16">
        <v>26</v>
      </c>
      <c r="I647" s="16"/>
      <c r="J6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647" s="22"/>
      <c r="L647" s="23"/>
      <c r="M647" s="23">
        <f>SUM(Tabela174681012142230322681619252731333624210121416182426283038402481012141620222628303234362426810121424610122426244262628262681026286236[[#This Row],[Saldo no cartão]:[Recarga Pendente]])</f>
        <v>0</v>
      </c>
      <c r="N647" s="19">
        <f>Tabela174681012142230322681619252731333624210121416182426283038402481012141620222628303234362426810121424610122426244262628262681026286236[[#This Row],[Uso diário]]*2</f>
        <v>20</v>
      </c>
      <c r="O647" s="19">
        <f>Tabela174681012142230322681619252731333624210121416182426283038402481012141620222628303234362426810121424610122426244262628262681026286236[[#This Row],[Total Acumulado]]-P647</f>
        <v>-50</v>
      </c>
      <c r="P647" s="48">
        <f>Tabela174681012142230322681619252731333624210121416182426283038402481012141620222628303234362426810121424610122426244262628262681026286236[[#This Row],[Uso diário]]*5</f>
        <v>50</v>
      </c>
      <c r="Q6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6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7" s="25">
        <v>6</v>
      </c>
    </row>
    <row r="648" spans="1:20" s="26" customFormat="1" x14ac:dyDescent="0.25">
      <c r="A648" s="16">
        <v>217095</v>
      </c>
      <c r="B648" s="30" t="s">
        <v>315</v>
      </c>
      <c r="C648" s="20" t="s">
        <v>648</v>
      </c>
      <c r="D648" s="20" t="s">
        <v>718</v>
      </c>
      <c r="E648" s="20" t="s">
        <v>2810</v>
      </c>
      <c r="F648" s="20" t="s">
        <v>2811</v>
      </c>
      <c r="G648" s="21">
        <v>18.8</v>
      </c>
      <c r="H648" s="16">
        <v>26</v>
      </c>
      <c r="I648" s="16"/>
      <c r="J6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48" s="22"/>
      <c r="L648" s="23"/>
      <c r="M648" s="23">
        <f>SUM(Tabela174681012142230322681619252731333624210121416182426283038402481012141620222628303234362426810121424610122426244262628262681026286236[[#This Row],[Saldo no cartão]:[Recarga Pendente]])</f>
        <v>0</v>
      </c>
      <c r="N648" s="19">
        <f>Tabela174681012142230322681619252731333624210121416182426283038402481012141620222628303234362426810121424610122426244262628262681026286236[[#This Row],[Uso diário]]*2</f>
        <v>37.6</v>
      </c>
      <c r="O648" s="19">
        <f>Tabela174681012142230322681619252731333624210121416182426283038402481012141620222628303234362426810121424610122426244262628262681026286236[[#This Row],[Total Acumulado]]-P648</f>
        <v>-94</v>
      </c>
      <c r="P648" s="48">
        <f>Tabela174681012142230322681619252731333624210121416182426283038402481012141620222628303234362426810121424610122426244262628262681026286236[[#This Row],[Uso diário]]*5</f>
        <v>94</v>
      </c>
      <c r="Q6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8" s="25">
        <v>6</v>
      </c>
    </row>
    <row r="649" spans="1:20" s="26" customFormat="1" x14ac:dyDescent="0.25">
      <c r="A649" s="16">
        <v>219463</v>
      </c>
      <c r="B649" s="30" t="s">
        <v>316</v>
      </c>
      <c r="C649" s="20" t="s">
        <v>650</v>
      </c>
      <c r="D649" s="20" t="s">
        <v>738</v>
      </c>
      <c r="E649" s="20" t="s">
        <v>2812</v>
      </c>
      <c r="F649" s="20" t="s">
        <v>2813</v>
      </c>
      <c r="G649" s="21">
        <v>18.8</v>
      </c>
      <c r="H649" s="16">
        <v>26</v>
      </c>
      <c r="I649" s="16"/>
      <c r="J6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49" s="22"/>
      <c r="L649" s="23"/>
      <c r="M649" s="23">
        <f>SUM(Tabela174681012142230322681619252731333624210121416182426283038402481012141620222628303234362426810121424610122426244262628262681026286236[[#This Row],[Saldo no cartão]:[Recarga Pendente]])</f>
        <v>0</v>
      </c>
      <c r="N649" s="19">
        <f>Tabela174681012142230322681619252731333624210121416182426283038402481012141620222628303234362426810121424610122426244262628262681026286236[[#This Row],[Uso diário]]*2</f>
        <v>37.6</v>
      </c>
      <c r="O649" s="19">
        <f>Tabela174681012142230322681619252731333624210121416182426283038402481012141620222628303234362426810121424610122426244262628262681026286236[[#This Row],[Total Acumulado]]-P649</f>
        <v>-94</v>
      </c>
      <c r="P649" s="48">
        <f>Tabela174681012142230322681619252731333624210121416182426283038402481012141620222628303234362426810121424610122426244262628262681026286236[[#This Row],[Uso diário]]*5</f>
        <v>94</v>
      </c>
      <c r="Q6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49" s="25">
        <v>6</v>
      </c>
    </row>
    <row r="650" spans="1:20" s="26" customFormat="1" x14ac:dyDescent="0.25">
      <c r="A650" s="16">
        <v>202841</v>
      </c>
      <c r="B650" s="30" t="s">
        <v>1198</v>
      </c>
      <c r="C650" s="20" t="s">
        <v>651</v>
      </c>
      <c r="D650" s="20" t="s">
        <v>719</v>
      </c>
      <c r="E650" s="20" t="s">
        <v>2814</v>
      </c>
      <c r="F650" s="20" t="s">
        <v>2815</v>
      </c>
      <c r="G650" s="21">
        <v>13.4</v>
      </c>
      <c r="H650" s="16">
        <v>16</v>
      </c>
      <c r="I650" s="16"/>
      <c r="J6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650" s="22"/>
      <c r="L650" s="23">
        <v>178.5</v>
      </c>
      <c r="M650" s="23">
        <f>SUM(Tabela174681012142230322681619252731333624210121416182426283038402481012141620222628303234362426810121424610122426244262628262681026286236[[#This Row],[Saldo no cartão]:[Recarga Pendente]])</f>
        <v>178.5</v>
      </c>
      <c r="N650" s="19">
        <f>Tabela174681012142230322681619252731333624210121416182426283038402481012141620222628303234362426810121424610122426244262628262681026286236[[#This Row],[Uso diário]]*2</f>
        <v>26.8</v>
      </c>
      <c r="O650" s="19">
        <f>Tabela174681012142230322681619252731333624210121416182426283038402481012141620222628303234362426810121424610122426244262628262681026286236[[#This Row],[Total Acumulado]]-P650</f>
        <v>111.5</v>
      </c>
      <c r="P650" s="48">
        <f>Tabela174681012142230322681619252731333624210121416182426283038402481012141620222628303234362426810121424610122426244262628262681026286236[[#This Row],[Uso diário]]*5</f>
        <v>67</v>
      </c>
      <c r="Q6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111.5</v>
      </c>
      <c r="R6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102.9</v>
      </c>
      <c r="S650" s="18" t="s">
        <v>11</v>
      </c>
      <c r="T650" s="25">
        <v>6</v>
      </c>
    </row>
    <row r="651" spans="1:20" s="26" customFormat="1" x14ac:dyDescent="0.25">
      <c r="A651" s="16">
        <v>203011</v>
      </c>
      <c r="B651" s="30" t="s">
        <v>317</v>
      </c>
      <c r="C651" s="20" t="s">
        <v>651</v>
      </c>
      <c r="D651" s="20" t="s">
        <v>719</v>
      </c>
      <c r="E651" s="20" t="s">
        <v>2816</v>
      </c>
      <c r="F651" s="20" t="s">
        <v>2817</v>
      </c>
      <c r="G651" s="21">
        <v>13.4</v>
      </c>
      <c r="H651" s="16">
        <v>16</v>
      </c>
      <c r="I651" s="16"/>
      <c r="J6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651" s="22"/>
      <c r="L651" s="23"/>
      <c r="M651" s="23">
        <f>SUM(Tabela174681012142230322681619252731333624210121416182426283038402481012141620222628303234362426810121424610122426244262628262681026286236[[#This Row],[Saldo no cartão]:[Recarga Pendente]])</f>
        <v>0</v>
      </c>
      <c r="N651" s="19">
        <f>Tabela174681012142230322681619252731333624210121416182426283038402481012141620222628303234362426810121424610122426244262628262681026286236[[#This Row],[Uso diário]]*2</f>
        <v>26.8</v>
      </c>
      <c r="O651" s="19">
        <f>Tabela174681012142230322681619252731333624210121416182426283038402481012141620222628303234362426810121424610122426244262628262681026286236[[#This Row],[Total Acumulado]]-P651</f>
        <v>-67</v>
      </c>
      <c r="P651" s="48">
        <f>Tabela174681012142230322681619252731333624210121416182426283038402481012141620222628303234362426810121424610122426244262628262681026286236[[#This Row],[Uso diário]]*5</f>
        <v>67</v>
      </c>
      <c r="Q6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6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1" s="25">
        <v>6</v>
      </c>
    </row>
    <row r="652" spans="1:20" s="26" customFormat="1" x14ac:dyDescent="0.25">
      <c r="A652" s="16">
        <v>212501</v>
      </c>
      <c r="B652" s="30" t="s">
        <v>1459</v>
      </c>
      <c r="C652" s="20" t="s">
        <v>651</v>
      </c>
      <c r="D652" s="20" t="s">
        <v>716</v>
      </c>
      <c r="E652" s="20" t="s">
        <v>2818</v>
      </c>
      <c r="F652" s="20" t="s">
        <v>2819</v>
      </c>
      <c r="G652" s="21">
        <v>10</v>
      </c>
      <c r="H652" s="16">
        <v>26</v>
      </c>
      <c r="I652" s="16">
        <v>1</v>
      </c>
      <c r="J6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652" s="22"/>
      <c r="L652" s="23"/>
      <c r="M652" s="23">
        <f>SUM(Tabela174681012142230322681619252731333624210121416182426283038402481012141620222628303234362426810121424610122426244262628262681026286236[[#This Row],[Saldo no cartão]:[Recarga Pendente]])</f>
        <v>0</v>
      </c>
      <c r="N652" s="19">
        <f>Tabela174681012142230322681619252731333624210121416182426283038402481012141620222628303234362426810121424610122426244262628262681026286236[[#This Row],[Uso diário]]*2</f>
        <v>20</v>
      </c>
      <c r="O652" s="19">
        <f>Tabela174681012142230322681619252731333624210121416182426283038402481012141620222628303234362426810121424610122426244262628262681026286236[[#This Row],[Total Acumulado]]-P652</f>
        <v>-50</v>
      </c>
      <c r="P652" s="48">
        <f>Tabela174681012142230322681619252731333624210121416182426283038402481012141620222628303234362426810121424610122426244262628262681026286236[[#This Row],[Uso diário]]*5</f>
        <v>50</v>
      </c>
      <c r="Q6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6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2" s="25">
        <v>6</v>
      </c>
    </row>
    <row r="653" spans="1:20" s="26" customFormat="1" x14ac:dyDescent="0.25">
      <c r="A653" s="16">
        <v>214981</v>
      </c>
      <c r="B653" s="30" t="s">
        <v>318</v>
      </c>
      <c r="C653" s="20" t="s">
        <v>651</v>
      </c>
      <c r="D653" s="20" t="s">
        <v>717</v>
      </c>
      <c r="E653" s="20" t="s">
        <v>2820</v>
      </c>
      <c r="F653" s="20" t="s">
        <v>2821</v>
      </c>
      <c r="G653" s="21">
        <v>18.8</v>
      </c>
      <c r="H653" s="16">
        <v>16</v>
      </c>
      <c r="I653" s="16"/>
      <c r="J6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653" s="22"/>
      <c r="L653" s="23"/>
      <c r="M653" s="23">
        <f>SUM(Tabela174681012142230322681619252731333624210121416182426283038402481012141620222628303234362426810121424610122426244262628262681026286236[[#This Row],[Saldo no cartão]:[Recarga Pendente]])</f>
        <v>0</v>
      </c>
      <c r="N653" s="19">
        <f>Tabela174681012142230322681619252731333624210121416182426283038402481012141620222628303234362426810121424610122426244262628262681026286236[[#This Row],[Uso diário]]*2</f>
        <v>37.6</v>
      </c>
      <c r="O653" s="19">
        <f>Tabela174681012142230322681619252731333624210121416182426283038402481012141620222628303234362426810121424610122426244262628262681026286236[[#This Row],[Total Acumulado]]-P653</f>
        <v>-94</v>
      </c>
      <c r="P653" s="48">
        <f>Tabela174681012142230322681619252731333624210121416182426283038402481012141620222628303234362426810121424610122426244262628262681026286236[[#This Row],[Uso diário]]*5</f>
        <v>94</v>
      </c>
      <c r="Q6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6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3" s="25">
        <v>6</v>
      </c>
    </row>
    <row r="654" spans="1:20" s="26" customFormat="1" x14ac:dyDescent="0.25">
      <c r="A654" s="16">
        <v>217074</v>
      </c>
      <c r="B654" s="30" t="s">
        <v>320</v>
      </c>
      <c r="C654" s="20" t="s">
        <v>651</v>
      </c>
      <c r="D654" s="20" t="s">
        <v>719</v>
      </c>
      <c r="E654" s="20" t="s">
        <v>2822</v>
      </c>
      <c r="F654" s="20" t="s">
        <v>2823</v>
      </c>
      <c r="G654" s="21">
        <v>13.4</v>
      </c>
      <c r="H654" s="16">
        <v>16</v>
      </c>
      <c r="I654" s="16"/>
      <c r="J6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654" s="22"/>
      <c r="L654" s="23"/>
      <c r="M654" s="23">
        <f>SUM(Tabela174681012142230322681619252731333624210121416182426283038402481012141620222628303234362426810121424610122426244262628262681026286236[[#This Row],[Saldo no cartão]:[Recarga Pendente]])</f>
        <v>0</v>
      </c>
      <c r="N654" s="19">
        <f>Tabela174681012142230322681619252731333624210121416182426283038402481012141620222628303234362426810121424610122426244262628262681026286236[[#This Row],[Uso diário]]*2</f>
        <v>26.8</v>
      </c>
      <c r="O654" s="19">
        <f>Tabela174681012142230322681619252731333624210121416182426283038402481012141620222628303234362426810121424610122426244262628262681026286236[[#This Row],[Total Acumulado]]-P654</f>
        <v>-67</v>
      </c>
      <c r="P654" s="48">
        <f>Tabela174681012142230322681619252731333624210121416182426283038402481012141620222628303234362426810121424610122426244262628262681026286236[[#This Row],[Uso diário]]*5</f>
        <v>67</v>
      </c>
      <c r="Q6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6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4" s="25">
        <v>6</v>
      </c>
    </row>
    <row r="655" spans="1:20" s="26" customFormat="1" x14ac:dyDescent="0.25">
      <c r="A655" s="16">
        <v>228058</v>
      </c>
      <c r="B655" s="30" t="s">
        <v>322</v>
      </c>
      <c r="C655" s="20" t="s">
        <v>651</v>
      </c>
      <c r="D655" s="20" t="s">
        <v>717</v>
      </c>
      <c r="E655" s="20" t="s">
        <v>2824</v>
      </c>
      <c r="F655" s="20" t="s">
        <v>2825</v>
      </c>
      <c r="G655" s="21">
        <v>18.8</v>
      </c>
      <c r="H655" s="16">
        <v>16</v>
      </c>
      <c r="I655" s="16"/>
      <c r="J6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655" s="22"/>
      <c r="L655" s="23"/>
      <c r="M655" s="23">
        <f>SUM(Tabela174681012142230322681619252731333624210121416182426283038402481012141620222628303234362426810121424610122426244262628262681026286236[[#This Row],[Saldo no cartão]:[Recarga Pendente]])</f>
        <v>0</v>
      </c>
      <c r="N655" s="19">
        <f>Tabela174681012142230322681619252731333624210121416182426283038402481012141620222628303234362426810121424610122426244262628262681026286236[[#This Row],[Uso diário]]*2</f>
        <v>37.6</v>
      </c>
      <c r="O655" s="19">
        <f>Tabela174681012142230322681619252731333624210121416182426283038402481012141620222628303234362426810121424610122426244262628262681026286236[[#This Row],[Total Acumulado]]-P655</f>
        <v>-94</v>
      </c>
      <c r="P655" s="48">
        <f>Tabela174681012142230322681619252731333624210121416182426283038402481012141620222628303234362426810121424610122426244262628262681026286236[[#This Row],[Uso diário]]*5</f>
        <v>94</v>
      </c>
      <c r="Q6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6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5" s="25">
        <v>6</v>
      </c>
    </row>
    <row r="656" spans="1:20" s="26" customFormat="1" x14ac:dyDescent="0.25">
      <c r="A656" s="16">
        <v>228852</v>
      </c>
      <c r="B656" s="30" t="s">
        <v>324</v>
      </c>
      <c r="C656" s="20" t="s">
        <v>651</v>
      </c>
      <c r="D656" s="20" t="s">
        <v>719</v>
      </c>
      <c r="E656" s="20" t="s">
        <v>2826</v>
      </c>
      <c r="F656" s="20" t="s">
        <v>2827</v>
      </c>
      <c r="G656" s="21">
        <v>18.8</v>
      </c>
      <c r="H656" s="16">
        <v>16</v>
      </c>
      <c r="I656" s="16"/>
      <c r="J6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656" s="22"/>
      <c r="L656" s="23"/>
      <c r="M656" s="23">
        <f>SUM(Tabela174681012142230322681619252731333624210121416182426283038402481012141620222628303234362426810121424610122426244262628262681026286236[[#This Row],[Saldo no cartão]:[Recarga Pendente]])</f>
        <v>0</v>
      </c>
      <c r="N656" s="19">
        <f>Tabela174681012142230322681619252731333624210121416182426283038402481012141620222628303234362426810121424610122426244262628262681026286236[[#This Row],[Uso diário]]*2</f>
        <v>37.6</v>
      </c>
      <c r="O656" s="19">
        <f>Tabela174681012142230322681619252731333624210121416182426283038402481012141620222628303234362426810121424610122426244262628262681026286236[[#This Row],[Total Acumulado]]-P656</f>
        <v>-94</v>
      </c>
      <c r="P656" s="48">
        <f>Tabela174681012142230322681619252731333624210121416182426283038402481012141620222628303234362426810121424610122426244262628262681026286236[[#This Row],[Uso diário]]*5</f>
        <v>94</v>
      </c>
      <c r="Q6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6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6" s="25">
        <v>6</v>
      </c>
    </row>
    <row r="657" spans="1:20" s="26" customFormat="1" x14ac:dyDescent="0.25">
      <c r="A657" s="16">
        <v>229064</v>
      </c>
      <c r="B657" s="30" t="s">
        <v>1075</v>
      </c>
      <c r="C657" s="20" t="s">
        <v>651</v>
      </c>
      <c r="D657" s="20" t="s">
        <v>719</v>
      </c>
      <c r="E657" s="20" t="s">
        <v>2828</v>
      </c>
      <c r="F657" s="20" t="s">
        <v>2829</v>
      </c>
      <c r="G657" s="21">
        <v>13.4</v>
      </c>
      <c r="H657" s="16">
        <v>16</v>
      </c>
      <c r="I657" s="16"/>
      <c r="J6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657" s="22"/>
      <c r="L657" s="23"/>
      <c r="M657" s="23">
        <f>SUM(Tabela174681012142230322681619252731333624210121416182426283038402481012141620222628303234362426810121424610122426244262628262681026286236[[#This Row],[Saldo no cartão]:[Recarga Pendente]])</f>
        <v>0</v>
      </c>
      <c r="N657" s="19">
        <f>Tabela174681012142230322681619252731333624210121416182426283038402481012141620222628303234362426810121424610122426244262628262681026286236[[#This Row],[Uso diário]]*2</f>
        <v>26.8</v>
      </c>
      <c r="O657" s="19">
        <f>Tabela174681012142230322681619252731333624210121416182426283038402481012141620222628303234362426810121424610122426244262628262681026286236[[#This Row],[Total Acumulado]]-P657</f>
        <v>-67</v>
      </c>
      <c r="P657" s="48">
        <f>Tabela174681012142230322681619252731333624210121416182426283038402481012141620222628303234362426810121424610122426244262628262681026286236[[#This Row],[Uso diário]]*5</f>
        <v>67</v>
      </c>
      <c r="Q6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6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7" s="25">
        <v>6</v>
      </c>
    </row>
    <row r="658" spans="1:20" s="26" customFormat="1" x14ac:dyDescent="0.25">
      <c r="A658" s="16">
        <v>231075</v>
      </c>
      <c r="B658" s="30" t="s">
        <v>1199</v>
      </c>
      <c r="C658" s="20" t="s">
        <v>651</v>
      </c>
      <c r="D658" s="20" t="s">
        <v>719</v>
      </c>
      <c r="E658" s="20" t="s">
        <v>2830</v>
      </c>
      <c r="F658" s="20" t="s">
        <v>2831</v>
      </c>
      <c r="G658" s="21">
        <v>18.8</v>
      </c>
      <c r="H658" s="16">
        <v>16</v>
      </c>
      <c r="I658" s="16"/>
      <c r="J6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658" s="22"/>
      <c r="L658" s="23"/>
      <c r="M658" s="23">
        <f>SUM(Tabela174681012142230322681619252731333624210121416182426283038402481012141620222628303234362426810121424610122426244262628262681026286236[[#This Row],[Saldo no cartão]:[Recarga Pendente]])</f>
        <v>0</v>
      </c>
      <c r="N658" s="19">
        <f>Tabela174681012142230322681619252731333624210121416182426283038402481012141620222628303234362426810121424610122426244262628262681026286236[[#This Row],[Uso diário]]*2</f>
        <v>37.6</v>
      </c>
      <c r="O658" s="19">
        <f>Tabela174681012142230322681619252731333624210121416182426283038402481012141620222628303234362426810121424610122426244262628262681026286236[[#This Row],[Total Acumulado]]-P658</f>
        <v>-94</v>
      </c>
      <c r="P658" s="48">
        <f>Tabela174681012142230322681619252731333624210121416182426283038402481012141620222628303234362426810121424610122426244262628262681026286236[[#This Row],[Uso diário]]*5</f>
        <v>94</v>
      </c>
      <c r="Q6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6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8" s="25">
        <v>6</v>
      </c>
    </row>
    <row r="659" spans="1:20" s="26" customFormat="1" x14ac:dyDescent="0.25">
      <c r="A659" s="16">
        <v>233884</v>
      </c>
      <c r="B659" s="30" t="s">
        <v>1076</v>
      </c>
      <c r="C659" s="20" t="s">
        <v>651</v>
      </c>
      <c r="D659" s="20" t="s">
        <v>716</v>
      </c>
      <c r="E659" s="20" t="s">
        <v>2832</v>
      </c>
      <c r="F659" s="20" t="s">
        <v>2833</v>
      </c>
      <c r="G659" s="21">
        <v>13.4</v>
      </c>
      <c r="H659" s="16">
        <v>16</v>
      </c>
      <c r="I659" s="16"/>
      <c r="J6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659" s="22"/>
      <c r="L659" s="23"/>
      <c r="M659" s="23">
        <f>SUM(Tabela174681012142230322681619252731333624210121416182426283038402481012141620222628303234362426810121424610122426244262628262681026286236[[#This Row],[Saldo no cartão]:[Recarga Pendente]])</f>
        <v>0</v>
      </c>
      <c r="N659" s="19">
        <f>Tabela174681012142230322681619252731333624210121416182426283038402481012141620222628303234362426810121424610122426244262628262681026286236[[#This Row],[Uso diário]]*2</f>
        <v>26.8</v>
      </c>
      <c r="O659" s="19">
        <f>Tabela174681012142230322681619252731333624210121416182426283038402481012141620222628303234362426810121424610122426244262628262681026286236[[#This Row],[Total Acumulado]]-P659</f>
        <v>-67</v>
      </c>
      <c r="P659" s="48">
        <f>Tabela174681012142230322681619252731333624210121416182426283038402481012141620222628303234362426810121424610122426244262628262681026286236[[#This Row],[Uso diário]]*5</f>
        <v>67</v>
      </c>
      <c r="Q6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6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59" s="25">
        <v>6</v>
      </c>
    </row>
    <row r="660" spans="1:20" s="26" customFormat="1" x14ac:dyDescent="0.25">
      <c r="A660" s="16">
        <v>219929</v>
      </c>
      <c r="B660" s="30" t="s">
        <v>359</v>
      </c>
      <c r="C660" s="20" t="s">
        <v>635</v>
      </c>
      <c r="D660" s="20" t="s">
        <v>689</v>
      </c>
      <c r="E660" s="20" t="s">
        <v>2834</v>
      </c>
      <c r="F660" s="20" t="s">
        <v>2835</v>
      </c>
      <c r="G660" s="21">
        <v>18.8</v>
      </c>
      <c r="H660" s="16">
        <v>22</v>
      </c>
      <c r="I660" s="16">
        <v>1</v>
      </c>
      <c r="J6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660" s="22"/>
      <c r="L660" s="23"/>
      <c r="M660" s="23">
        <f>SUM(Tabela174681012142230322681619252731333624210121416182426283038402481012141620222628303234362426810121424610122426244262628262681026286236[[#This Row],[Saldo no cartão]:[Recarga Pendente]])</f>
        <v>0</v>
      </c>
      <c r="N660" s="19">
        <f>Tabela174681012142230322681619252731333624210121416182426283038402481012141620222628303234362426810121424610122426244262628262681026286236[[#This Row],[Uso diário]]*2</f>
        <v>37.6</v>
      </c>
      <c r="O660" s="19">
        <f>Tabela174681012142230322681619252731333624210121416182426283038402481012141620222628303234362426810121424610122426244262628262681026286236[[#This Row],[Total Acumulado]]-P660</f>
        <v>-94</v>
      </c>
      <c r="P660" s="48">
        <f>Tabela174681012142230322681619252731333624210121416182426283038402481012141620222628303234362426810121424610122426244262628262681026286236[[#This Row],[Uso diário]]*5</f>
        <v>94</v>
      </c>
      <c r="Q6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6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0" s="25">
        <v>6</v>
      </c>
    </row>
    <row r="661" spans="1:20" s="26" customFormat="1" x14ac:dyDescent="0.25">
      <c r="A661" s="16">
        <v>231616</v>
      </c>
      <c r="B661" s="30" t="s">
        <v>830</v>
      </c>
      <c r="C661" s="20" t="s">
        <v>636</v>
      </c>
      <c r="D661" s="20" t="s">
        <v>729</v>
      </c>
      <c r="E661" s="20" t="s">
        <v>2836</v>
      </c>
      <c r="F661" s="20" t="s">
        <v>2837</v>
      </c>
      <c r="G661" s="21">
        <v>18.8</v>
      </c>
      <c r="H661" s="16">
        <v>22</v>
      </c>
      <c r="I661" s="16">
        <v>2</v>
      </c>
      <c r="J6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661" s="22"/>
      <c r="L661" s="23"/>
      <c r="M661" s="23">
        <f>SUM(Tabela174681012142230322681619252731333624210121416182426283038402481012141620222628303234362426810121424610122426244262628262681026286236[[#This Row],[Saldo no cartão]:[Recarga Pendente]])</f>
        <v>0</v>
      </c>
      <c r="N661" s="19">
        <f>Tabela174681012142230322681619252731333624210121416182426283038402481012141620222628303234362426810121424610122426244262628262681026286236[[#This Row],[Uso diário]]*2</f>
        <v>37.6</v>
      </c>
      <c r="O661" s="19">
        <f>Tabela174681012142230322681619252731333624210121416182426283038402481012141620222628303234362426810121424610122426244262628262681026286236[[#This Row],[Total Acumulado]]-P661</f>
        <v>-94</v>
      </c>
      <c r="P661" s="48">
        <f>Tabela174681012142230322681619252731333624210121416182426283038402481012141620222628303234362426810121424610122426244262628262681026286236[[#This Row],[Uso diário]]*5</f>
        <v>94</v>
      </c>
      <c r="Q6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6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1" s="25">
        <v>6</v>
      </c>
    </row>
    <row r="662" spans="1:20" s="26" customFormat="1" x14ac:dyDescent="0.25">
      <c r="A662" s="16">
        <v>231617</v>
      </c>
      <c r="B662" s="30" t="s">
        <v>831</v>
      </c>
      <c r="C662" s="20" t="s">
        <v>636</v>
      </c>
      <c r="D662" s="20" t="s">
        <v>729</v>
      </c>
      <c r="E662" s="20" t="s">
        <v>2838</v>
      </c>
      <c r="F662" s="20" t="s">
        <v>2839</v>
      </c>
      <c r="G662" s="21">
        <v>9.4</v>
      </c>
      <c r="H662" s="16">
        <v>22</v>
      </c>
      <c r="I662" s="16"/>
      <c r="J6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662" s="22"/>
      <c r="L662" s="23"/>
      <c r="M662" s="23">
        <f>SUM(Tabela174681012142230322681619252731333624210121416182426283038402481012141620222628303234362426810121424610122426244262628262681026286236[[#This Row],[Saldo no cartão]:[Recarga Pendente]])</f>
        <v>0</v>
      </c>
      <c r="N662" s="19">
        <f>Tabela174681012142230322681619252731333624210121416182426283038402481012141620222628303234362426810121424610122426244262628262681026286236[[#This Row],[Uso diário]]*2</f>
        <v>18.8</v>
      </c>
      <c r="O662" s="19">
        <f>Tabela174681012142230322681619252731333624210121416182426283038402481012141620222628303234362426810121424610122426244262628262681026286236[[#This Row],[Total Acumulado]]-P662</f>
        <v>-47</v>
      </c>
      <c r="P662" s="48">
        <f>Tabela174681012142230322681619252731333624210121416182426283038402481012141620222628303234362426810121424610122426244262628262681026286236[[#This Row],[Uso diário]]*5</f>
        <v>47</v>
      </c>
      <c r="Q6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6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2" s="25">
        <v>6</v>
      </c>
    </row>
    <row r="663" spans="1:20" s="26" customFormat="1" x14ac:dyDescent="0.25">
      <c r="A663" s="16">
        <v>234715</v>
      </c>
      <c r="B663" s="30" t="s">
        <v>1366</v>
      </c>
      <c r="C663" s="20" t="s">
        <v>636</v>
      </c>
      <c r="D663" s="20" t="s">
        <v>729</v>
      </c>
      <c r="E663" s="20" t="s">
        <v>2840</v>
      </c>
      <c r="F663" s="20" t="s">
        <v>2841</v>
      </c>
      <c r="G663" s="21">
        <v>10</v>
      </c>
      <c r="H663" s="16">
        <v>22</v>
      </c>
      <c r="I663" s="16">
        <v>1</v>
      </c>
      <c r="J6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210</v>
      </c>
      <c r="K663" s="22"/>
      <c r="L663" s="23">
        <v>190</v>
      </c>
      <c r="M663" s="23">
        <f>SUM(Tabela174681012142230322681619252731333624210121416182426283038402481012141620222628303234362426810121424610122426244262628262681026286236[[#This Row],[Saldo no cartão]:[Recarga Pendente]])</f>
        <v>190</v>
      </c>
      <c r="N663" s="19">
        <f>Tabela174681012142230322681619252731333624210121416182426283038402481012141620222628303234362426810121424610122426244262628262681026286236[[#This Row],[Uso diário]]*2</f>
        <v>20</v>
      </c>
      <c r="O663" s="19">
        <f>Tabela174681012142230322681619252731333624210121416182426283038402481012141620222628303234362426810121424610122426244262628262681026286236[[#This Row],[Total Acumulado]]-P663</f>
        <v>140</v>
      </c>
      <c r="P663" s="48">
        <f>Tabela174681012142230322681619252731333624210121416182426283038402481012141620222628303234362426810121424610122426244262628262681026286236[[#This Row],[Uso diário]]*5</f>
        <v>50</v>
      </c>
      <c r="Q6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140</v>
      </c>
      <c r="R6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70</v>
      </c>
      <c r="S663" s="18" t="s">
        <v>11</v>
      </c>
      <c r="T663" s="25">
        <v>6</v>
      </c>
    </row>
    <row r="664" spans="1:20" s="26" customFormat="1" x14ac:dyDescent="0.25">
      <c r="A664" s="16">
        <v>234716</v>
      </c>
      <c r="B664" s="30" t="s">
        <v>1367</v>
      </c>
      <c r="C664" s="20" t="s">
        <v>636</v>
      </c>
      <c r="D664" s="20" t="s">
        <v>729</v>
      </c>
      <c r="E664" s="20" t="s">
        <v>2842</v>
      </c>
      <c r="F664" s="20" t="s">
        <v>2843</v>
      </c>
      <c r="G664" s="21">
        <v>10</v>
      </c>
      <c r="H664" s="16">
        <v>22</v>
      </c>
      <c r="I664" s="16"/>
      <c r="J6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664" s="22"/>
      <c r="L664" s="23">
        <v>190</v>
      </c>
      <c r="M664" s="23">
        <f>SUM(Tabela174681012142230322681619252731333624210121416182426283038402481012141620222628303234362426810121424610122426244262628262681026286236[[#This Row],[Saldo no cartão]:[Recarga Pendente]])</f>
        <v>190</v>
      </c>
      <c r="N664" s="19">
        <f>Tabela174681012142230322681619252731333624210121416182426283038402481012141620222628303234362426810121424610122426244262628262681026286236[[#This Row],[Uso diário]]*2</f>
        <v>20</v>
      </c>
      <c r="O664" s="19">
        <f>Tabela174681012142230322681619252731333624210121416182426283038402481012141620222628303234362426810121424610122426244262628262681026286236[[#This Row],[Total Acumulado]]-P664</f>
        <v>140</v>
      </c>
      <c r="P664" s="48">
        <f>Tabela174681012142230322681619252731333624210121416182426283038402481012141620222628303234362426810121424610122426244262628262681026286236[[#This Row],[Uso diário]]*5</f>
        <v>50</v>
      </c>
      <c r="Q6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140</v>
      </c>
      <c r="R6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80</v>
      </c>
      <c r="S664" s="18" t="s">
        <v>11</v>
      </c>
      <c r="T664" s="25">
        <v>6</v>
      </c>
    </row>
    <row r="665" spans="1:20" s="26" customFormat="1" x14ac:dyDescent="0.25">
      <c r="A665" s="16">
        <v>213425</v>
      </c>
      <c r="B665" s="30" t="s">
        <v>1200</v>
      </c>
      <c r="C665" s="20" t="s">
        <v>653</v>
      </c>
      <c r="D665" s="20" t="s">
        <v>704</v>
      </c>
      <c r="E665" s="20" t="s">
        <v>2844</v>
      </c>
      <c r="F665" s="20" t="s">
        <v>2845</v>
      </c>
      <c r="G665" s="21">
        <v>18.8</v>
      </c>
      <c r="H665" s="16">
        <v>26</v>
      </c>
      <c r="I665" s="16"/>
      <c r="J6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65" s="22"/>
      <c r="L665" s="23"/>
      <c r="M665" s="23">
        <f>SUM(Tabela174681012142230322681619252731333624210121416182426283038402481012141620222628303234362426810121424610122426244262628262681026286236[[#This Row],[Saldo no cartão]:[Recarga Pendente]])</f>
        <v>0</v>
      </c>
      <c r="N665" s="19">
        <f>Tabela174681012142230322681619252731333624210121416182426283038402481012141620222628303234362426810121424610122426244262628262681026286236[[#This Row],[Uso diário]]*2</f>
        <v>37.6</v>
      </c>
      <c r="O665" s="19">
        <f>Tabela174681012142230322681619252731333624210121416182426283038402481012141620222628303234362426810121424610122426244262628262681026286236[[#This Row],[Total Acumulado]]-P665</f>
        <v>-94</v>
      </c>
      <c r="P665" s="48">
        <f>Tabela174681012142230322681619252731333624210121416182426283038402481012141620222628303234362426810121424610122426244262628262681026286236[[#This Row],[Uso diário]]*5</f>
        <v>94</v>
      </c>
      <c r="Q6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5" s="25">
        <v>6</v>
      </c>
    </row>
    <row r="666" spans="1:20" s="26" customFormat="1" x14ac:dyDescent="0.25">
      <c r="A666" s="16">
        <v>221904</v>
      </c>
      <c r="B666" s="30" t="s">
        <v>326</v>
      </c>
      <c r="C666" s="20" t="s">
        <v>654</v>
      </c>
      <c r="D666" s="20" t="s">
        <v>731</v>
      </c>
      <c r="E666" s="20" t="s">
        <v>2846</v>
      </c>
      <c r="F666" s="20" t="s">
        <v>2847</v>
      </c>
      <c r="G666" s="21">
        <v>18.8</v>
      </c>
      <c r="H666" s="16">
        <v>26</v>
      </c>
      <c r="I666" s="16"/>
      <c r="J6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66" s="22"/>
      <c r="L666" s="23">
        <v>18.8</v>
      </c>
      <c r="M666" s="23">
        <f>SUM(Tabela174681012142230322681619252731333624210121416182426283038402481012141620222628303234362426810121424610122426244262628262681026286236[[#This Row],[Saldo no cartão]:[Recarga Pendente]])</f>
        <v>18.8</v>
      </c>
      <c r="N666" s="19">
        <f>Tabela174681012142230322681619252731333624210121416182426283038402481012141620222628303234362426810121424610122426244262628262681026286236[[#This Row],[Uso diário]]*2</f>
        <v>37.6</v>
      </c>
      <c r="O666" s="19">
        <f>Tabela174681012142230322681619252731333624210121416182426283038402481012141620222628303234362426810121424610122426244262628262681026286236[[#This Row],[Total Acumulado]]-P666</f>
        <v>-75.2</v>
      </c>
      <c r="P666" s="48">
        <f>Tabela174681012142230322681619252731333624210121416182426283038402481012141620222628303234362426810121424610122426244262628262681026286236[[#This Row],[Uso diário]]*5</f>
        <v>94</v>
      </c>
      <c r="Q6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6" s="25">
        <v>6</v>
      </c>
    </row>
    <row r="667" spans="1:20" s="26" customFormat="1" x14ac:dyDescent="0.25">
      <c r="A667" s="16">
        <v>228851</v>
      </c>
      <c r="B667" s="30" t="s">
        <v>1077</v>
      </c>
      <c r="C667" s="20" t="s">
        <v>654</v>
      </c>
      <c r="D667" s="20" t="s">
        <v>715</v>
      </c>
      <c r="E667" s="20" t="s">
        <v>2848</v>
      </c>
      <c r="F667" s="20" t="s">
        <v>2849</v>
      </c>
      <c r="G667" s="21">
        <v>10</v>
      </c>
      <c r="H667" s="16">
        <v>26</v>
      </c>
      <c r="I667" s="16"/>
      <c r="J6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667" s="22"/>
      <c r="L667" s="23">
        <v>67.349999999999994</v>
      </c>
      <c r="M667" s="23">
        <f>SUM(Tabela174681012142230322681619252731333624210121416182426283038402481012141620222628303234362426810121424610122426244262628262681026286236[[#This Row],[Saldo no cartão]:[Recarga Pendente]])</f>
        <v>67.349999999999994</v>
      </c>
      <c r="N667" s="19">
        <f>Tabela174681012142230322681619252731333624210121416182426283038402481012141620222628303234362426810121424610122426244262628262681026286236[[#This Row],[Uso diário]]*2</f>
        <v>20</v>
      </c>
      <c r="O667" s="19">
        <f>Tabela174681012142230322681619252731333624210121416182426283038402481012141620222628303234362426810121424610122426244262628262681026286236[[#This Row],[Total Acumulado]]-P667</f>
        <v>17.349999999999994</v>
      </c>
      <c r="P667" s="48">
        <f>Tabela174681012142230322681619252731333624210121416182426283038402481012141620222628303234362426810121424610122426244262628262681026286236[[#This Row],[Uso diário]]*5</f>
        <v>50</v>
      </c>
      <c r="Q6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6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7" s="25">
        <v>6</v>
      </c>
    </row>
    <row r="668" spans="1:20" s="26" customFormat="1" x14ac:dyDescent="0.25">
      <c r="A668" s="16">
        <v>215704</v>
      </c>
      <c r="B668" s="30" t="s">
        <v>327</v>
      </c>
      <c r="C668" s="20" t="s">
        <v>640</v>
      </c>
      <c r="D668" s="20" t="s">
        <v>702</v>
      </c>
      <c r="E668" s="20" t="s">
        <v>2850</v>
      </c>
      <c r="F668" s="20" t="s">
        <v>2851</v>
      </c>
      <c r="G668" s="21">
        <v>18.8</v>
      </c>
      <c r="H668" s="16">
        <v>26</v>
      </c>
      <c r="I668" s="16">
        <v>1</v>
      </c>
      <c r="J6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68" s="22"/>
      <c r="L668" s="23"/>
      <c r="M668" s="23">
        <f>SUM(Tabela174681012142230322681619252731333624210121416182426283038402481012141620222628303234362426810121424610122426244262628262681026286236[[#This Row],[Saldo no cartão]:[Recarga Pendente]])</f>
        <v>0</v>
      </c>
      <c r="N668" s="19">
        <f>Tabela174681012142230322681619252731333624210121416182426283038402481012141620222628303234362426810121424610122426244262628262681026286236[[#This Row],[Uso diário]]*2</f>
        <v>37.6</v>
      </c>
      <c r="O668" s="19">
        <f>Tabela174681012142230322681619252731333624210121416182426283038402481012141620222628303234362426810121424610122426244262628262681026286236[[#This Row],[Total Acumulado]]-P668</f>
        <v>-94</v>
      </c>
      <c r="P668" s="48">
        <f>Tabela174681012142230322681619252731333624210121416182426283038402481012141620222628303234362426810121424610122426244262628262681026286236[[#This Row],[Uso diário]]*5</f>
        <v>94</v>
      </c>
      <c r="Q6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8" s="25">
        <v>6</v>
      </c>
    </row>
    <row r="669" spans="1:20" s="26" customFormat="1" x14ac:dyDescent="0.25">
      <c r="A669" s="16">
        <v>208543</v>
      </c>
      <c r="B669" s="30" t="s">
        <v>328</v>
      </c>
      <c r="C669" s="20" t="s">
        <v>655</v>
      </c>
      <c r="D669" s="20" t="s">
        <v>713</v>
      </c>
      <c r="E669" s="20" t="s">
        <v>2852</v>
      </c>
      <c r="F669" s="20" t="s">
        <v>2853</v>
      </c>
      <c r="G669" s="21">
        <v>13.4</v>
      </c>
      <c r="H669" s="16">
        <v>26</v>
      </c>
      <c r="I669" s="16"/>
      <c r="J6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669" s="22"/>
      <c r="L669" s="23"/>
      <c r="M669" s="23">
        <f>SUM(Tabela174681012142230322681619252731333624210121416182426283038402481012141620222628303234362426810121424610122426244262628262681026286236[[#This Row],[Saldo no cartão]:[Recarga Pendente]])</f>
        <v>0</v>
      </c>
      <c r="N669" s="19">
        <f>Tabela174681012142230322681619252731333624210121416182426283038402481012141620222628303234362426810121424610122426244262628262681026286236[[#This Row],[Uso diário]]*2</f>
        <v>26.8</v>
      </c>
      <c r="O669" s="19">
        <f>Tabela174681012142230322681619252731333624210121416182426283038402481012141620222628303234362426810121424610122426244262628262681026286236[[#This Row],[Total Acumulado]]-P669</f>
        <v>-67</v>
      </c>
      <c r="P669" s="48">
        <f>Tabela174681012142230322681619252731333624210121416182426283038402481012141620222628303234362426810121424610122426244262628262681026286236[[#This Row],[Uso diário]]*5</f>
        <v>67</v>
      </c>
      <c r="Q6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6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69" s="25">
        <v>6</v>
      </c>
    </row>
    <row r="670" spans="1:20" s="26" customFormat="1" x14ac:dyDescent="0.25">
      <c r="A670" s="16">
        <v>6317</v>
      </c>
      <c r="B670" s="30" t="s">
        <v>1460</v>
      </c>
      <c r="C670" s="20" t="s">
        <v>641</v>
      </c>
      <c r="D670" s="20" t="s">
        <v>704</v>
      </c>
      <c r="E670" s="20" t="s">
        <v>2854</v>
      </c>
      <c r="F670" s="20" t="s">
        <v>2855</v>
      </c>
      <c r="G670" s="21">
        <v>13.4</v>
      </c>
      <c r="H670" s="16">
        <v>26</v>
      </c>
      <c r="I670" s="16">
        <v>2</v>
      </c>
      <c r="J6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670" s="22"/>
      <c r="L670" s="23"/>
      <c r="M670" s="23">
        <f>SUM(Tabela174681012142230322681619252731333624210121416182426283038402481012141620222628303234362426810121424610122426244262628262681026286236[[#This Row],[Saldo no cartão]:[Recarga Pendente]])</f>
        <v>0</v>
      </c>
      <c r="N670" s="19">
        <f>Tabela174681012142230322681619252731333624210121416182426283038402481012141620222628303234362426810121424610122426244262628262681026286236[[#This Row],[Uso diário]]*2</f>
        <v>26.8</v>
      </c>
      <c r="O670" s="19">
        <f>Tabela174681012142230322681619252731333624210121416182426283038402481012141620222628303234362426810121424610122426244262628262681026286236[[#This Row],[Total Acumulado]]-P670</f>
        <v>-67</v>
      </c>
      <c r="P670" s="48">
        <f>Tabela174681012142230322681619252731333624210121416182426283038402481012141620222628303234362426810121424610122426244262628262681026286236[[#This Row],[Uso diário]]*5</f>
        <v>67</v>
      </c>
      <c r="Q6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6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0" s="25">
        <v>6</v>
      </c>
    </row>
    <row r="671" spans="1:20" s="26" customFormat="1" x14ac:dyDescent="0.25">
      <c r="A671" s="16">
        <v>229698</v>
      </c>
      <c r="B671" s="30" t="s">
        <v>301</v>
      </c>
      <c r="C671" s="20" t="s">
        <v>641</v>
      </c>
      <c r="D671" s="20" t="s">
        <v>704</v>
      </c>
      <c r="E671" s="20" t="s">
        <v>2856</v>
      </c>
      <c r="F671" s="20" t="s">
        <v>2857</v>
      </c>
      <c r="G671" s="21">
        <v>18.8</v>
      </c>
      <c r="H671" s="16">
        <v>26</v>
      </c>
      <c r="I671" s="16">
        <v>10</v>
      </c>
      <c r="J6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671" s="22"/>
      <c r="L671" s="23"/>
      <c r="M671" s="23">
        <f>SUM(Tabela174681012142230322681619252731333624210121416182426283038402481012141620222628303234362426810121424610122426244262628262681026286236[[#This Row],[Saldo no cartão]:[Recarga Pendente]])</f>
        <v>0</v>
      </c>
      <c r="N671" s="19">
        <f>Tabela174681012142230322681619252731333624210121416182426283038402481012141620222628303234362426810121424610122426244262628262681026286236[[#This Row],[Uso diário]]*2</f>
        <v>37.6</v>
      </c>
      <c r="O671" s="19">
        <f>Tabela174681012142230322681619252731333624210121416182426283038402481012141620222628303234362426810121424610122426244262628262681026286236[[#This Row],[Total Acumulado]]-P671</f>
        <v>-94</v>
      </c>
      <c r="P671" s="48">
        <f>Tabela174681012142230322681619252731333624210121416182426283038402481012141620222628303234362426810121424610122426244262628262681026286236[[#This Row],[Uso diário]]*5</f>
        <v>94</v>
      </c>
      <c r="Q6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6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1" s="25">
        <v>6</v>
      </c>
    </row>
    <row r="672" spans="1:20" s="26" customFormat="1" x14ac:dyDescent="0.25">
      <c r="A672" s="16">
        <v>229935</v>
      </c>
      <c r="B672" s="30" t="s">
        <v>330</v>
      </c>
      <c r="C672" s="20" t="s">
        <v>641</v>
      </c>
      <c r="D672" s="20" t="s">
        <v>704</v>
      </c>
      <c r="E672" s="20" t="s">
        <v>2858</v>
      </c>
      <c r="F672" s="20" t="s">
        <v>2859</v>
      </c>
      <c r="G672" s="21">
        <v>13.4</v>
      </c>
      <c r="H672" s="16">
        <v>26</v>
      </c>
      <c r="I672" s="16">
        <v>1</v>
      </c>
      <c r="J6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672" s="22"/>
      <c r="L672" s="23"/>
      <c r="M672" s="23">
        <f>SUM(Tabela174681012142230322681619252731333624210121416182426283038402481012141620222628303234362426810121424610122426244262628262681026286236[[#This Row],[Saldo no cartão]:[Recarga Pendente]])</f>
        <v>0</v>
      </c>
      <c r="N672" s="19">
        <f>Tabela174681012142230322681619252731333624210121416182426283038402481012141620222628303234362426810121424610122426244262628262681026286236[[#This Row],[Uso diário]]*2</f>
        <v>26.8</v>
      </c>
      <c r="O672" s="19">
        <f>Tabela174681012142230322681619252731333624210121416182426283038402481012141620222628303234362426810121424610122426244262628262681026286236[[#This Row],[Total Acumulado]]-P672</f>
        <v>-67</v>
      </c>
      <c r="P672" s="48">
        <f>Tabela174681012142230322681619252731333624210121416182426283038402481012141620222628303234362426810121424610122426244262628262681026286236[[#This Row],[Uso diário]]*5</f>
        <v>67</v>
      </c>
      <c r="Q6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6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2" s="25">
        <v>6</v>
      </c>
    </row>
    <row r="673" spans="1:20" s="26" customFormat="1" x14ac:dyDescent="0.25">
      <c r="A673" s="16">
        <v>209689</v>
      </c>
      <c r="B673" s="30" t="s">
        <v>1461</v>
      </c>
      <c r="C673" s="20" t="s">
        <v>647</v>
      </c>
      <c r="D673" s="20" t="s">
        <v>720</v>
      </c>
      <c r="E673" s="20" t="s">
        <v>2860</v>
      </c>
      <c r="F673" s="20" t="s">
        <v>2861</v>
      </c>
      <c r="G673" s="21">
        <v>18.8</v>
      </c>
      <c r="H673" s="16">
        <v>26</v>
      </c>
      <c r="I673" s="16"/>
      <c r="J6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73" s="22"/>
      <c r="L673" s="23"/>
      <c r="M673" s="23">
        <f>SUM(Tabela174681012142230322681619252731333624210121416182426283038402481012141620222628303234362426810121424610122426244262628262681026286236[[#This Row],[Saldo no cartão]:[Recarga Pendente]])</f>
        <v>0</v>
      </c>
      <c r="N673" s="19">
        <f>Tabela174681012142230322681619252731333624210121416182426283038402481012141620222628303234362426810121424610122426244262628262681026286236[[#This Row],[Uso diário]]*2</f>
        <v>37.6</v>
      </c>
      <c r="O673" s="19">
        <f>Tabela174681012142230322681619252731333624210121416182426283038402481012141620222628303234362426810121424610122426244262628262681026286236[[#This Row],[Total Acumulado]]-P673</f>
        <v>-94</v>
      </c>
      <c r="P673" s="48">
        <f>Tabela174681012142230322681619252731333624210121416182426283038402481012141620222628303234362426810121424610122426244262628262681026286236[[#This Row],[Uso diário]]*5</f>
        <v>94</v>
      </c>
      <c r="Q6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3" s="25">
        <v>7</v>
      </c>
    </row>
    <row r="674" spans="1:20" s="26" customFormat="1" x14ac:dyDescent="0.25">
      <c r="A674" s="16">
        <v>222687</v>
      </c>
      <c r="B674" s="30" t="s">
        <v>1462</v>
      </c>
      <c r="C674" s="20" t="s">
        <v>647</v>
      </c>
      <c r="D674" s="20" t="s">
        <v>722</v>
      </c>
      <c r="E674" s="20" t="s">
        <v>2862</v>
      </c>
      <c r="F674" s="20" t="s">
        <v>2863</v>
      </c>
      <c r="G674" s="21">
        <v>18.8</v>
      </c>
      <c r="H674" s="16">
        <v>26</v>
      </c>
      <c r="I674" s="16"/>
      <c r="J6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74" s="22"/>
      <c r="L674" s="23"/>
      <c r="M674" s="23">
        <f>SUM(Tabela174681012142230322681619252731333624210121416182426283038402481012141620222628303234362426810121424610122426244262628262681026286236[[#This Row],[Saldo no cartão]:[Recarga Pendente]])</f>
        <v>0</v>
      </c>
      <c r="N674" s="19">
        <f>Tabela174681012142230322681619252731333624210121416182426283038402481012141620222628303234362426810121424610122426244262628262681026286236[[#This Row],[Uso diário]]*2</f>
        <v>37.6</v>
      </c>
      <c r="O674" s="19">
        <f>Tabela174681012142230322681619252731333624210121416182426283038402481012141620222628303234362426810121424610122426244262628262681026286236[[#This Row],[Total Acumulado]]-P674</f>
        <v>-94</v>
      </c>
      <c r="P674" s="48">
        <f>Tabela174681012142230322681619252731333624210121416182426283038402481012141620222628303234362426810121424610122426244262628262681026286236[[#This Row],[Uso diário]]*5</f>
        <v>94</v>
      </c>
      <c r="Q6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4" s="25">
        <v>7</v>
      </c>
    </row>
    <row r="675" spans="1:20" s="26" customFormat="1" x14ac:dyDescent="0.25">
      <c r="A675" s="16">
        <v>219504</v>
      </c>
      <c r="B675" s="30" t="s">
        <v>331</v>
      </c>
      <c r="C675" s="20" t="s">
        <v>651</v>
      </c>
      <c r="D675" s="20" t="s">
        <v>719</v>
      </c>
      <c r="E675" s="20" t="s">
        <v>2864</v>
      </c>
      <c r="F675" s="20" t="s">
        <v>2865</v>
      </c>
      <c r="G675" s="21">
        <v>28.5</v>
      </c>
      <c r="H675" s="16">
        <v>26</v>
      </c>
      <c r="I675" s="16"/>
      <c r="J6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741</v>
      </c>
      <c r="K675" s="22"/>
      <c r="L675" s="23"/>
      <c r="M675" s="23">
        <f>SUM(Tabela174681012142230322681619252731333624210121416182426283038402481012141620222628303234362426810121424610122426244262628262681026286236[[#This Row],[Saldo no cartão]:[Recarga Pendente]])</f>
        <v>0</v>
      </c>
      <c r="N675" s="19">
        <f>Tabela174681012142230322681619252731333624210121416182426283038402481012141620222628303234362426810121424610122426244262628262681026286236[[#This Row],[Uso diário]]*2</f>
        <v>57</v>
      </c>
      <c r="O675" s="19">
        <f>Tabela174681012142230322681619252731333624210121416182426283038402481012141620222628303234362426810121424610122426244262628262681026286236[[#This Row],[Total Acumulado]]-P675</f>
        <v>-142.5</v>
      </c>
      <c r="P675" s="48">
        <f>Tabela174681012142230322681619252731333624210121416182426283038402481012141620222628303234362426810121424610122426244262628262681026286236[[#This Row],[Uso diário]]*5</f>
        <v>142.5</v>
      </c>
      <c r="Q6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741</v>
      </c>
      <c r="S6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5" s="25">
        <v>7</v>
      </c>
    </row>
    <row r="676" spans="1:20" s="26" customFormat="1" x14ac:dyDescent="0.25">
      <c r="A676" s="16">
        <v>214437</v>
      </c>
      <c r="B676" s="30" t="s">
        <v>941</v>
      </c>
      <c r="C676" s="20" t="s">
        <v>635</v>
      </c>
      <c r="D676" s="20" t="s">
        <v>689</v>
      </c>
      <c r="E676" s="20" t="s">
        <v>2866</v>
      </c>
      <c r="F676" s="20" t="s">
        <v>2867</v>
      </c>
      <c r="G676" s="21">
        <v>18.8</v>
      </c>
      <c r="H676" s="16">
        <v>20</v>
      </c>
      <c r="I676" s="16"/>
      <c r="J6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676" s="22"/>
      <c r="L676" s="23"/>
      <c r="M676" s="23">
        <f>SUM(Tabela174681012142230322681619252731333624210121416182426283038402481012141620222628303234362426810121424610122426244262628262681026286236[[#This Row],[Saldo no cartão]:[Recarga Pendente]])</f>
        <v>0</v>
      </c>
      <c r="N676" s="19">
        <f>Tabela174681012142230322681619252731333624210121416182426283038402481012141620222628303234362426810121424610122426244262628262681026286236[[#This Row],[Uso diário]]*2</f>
        <v>37.6</v>
      </c>
      <c r="O676" s="19">
        <f>Tabela174681012142230322681619252731333624210121416182426283038402481012141620222628303234362426810121424610122426244262628262681026286236[[#This Row],[Total Acumulado]]-P676</f>
        <v>-94</v>
      </c>
      <c r="P676" s="48">
        <f>Tabela174681012142230322681619252731333624210121416182426283038402481012141620222628303234362426810121424610122426244262628262681026286236[[#This Row],[Uso diário]]*5</f>
        <v>94</v>
      </c>
      <c r="Q6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6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6" s="25">
        <v>7</v>
      </c>
    </row>
    <row r="677" spans="1:20" s="26" customFormat="1" x14ac:dyDescent="0.25">
      <c r="A677" s="16">
        <v>214766</v>
      </c>
      <c r="B677" s="30" t="s">
        <v>332</v>
      </c>
      <c r="C677" s="20" t="s">
        <v>654</v>
      </c>
      <c r="D677" s="20" t="s">
        <v>715</v>
      </c>
      <c r="E677" s="20" t="s">
        <v>2868</v>
      </c>
      <c r="F677" s="20" t="s">
        <v>2869</v>
      </c>
      <c r="G677" s="21">
        <v>18.8</v>
      </c>
      <c r="H677" s="16">
        <v>26</v>
      </c>
      <c r="I677" s="16">
        <v>1</v>
      </c>
      <c r="J6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77" s="22"/>
      <c r="L677" s="23"/>
      <c r="M677" s="23">
        <f>SUM(Tabela174681012142230322681619252731333624210121416182426283038402481012141620222628303234362426810121424610122426244262628262681026286236[[#This Row],[Saldo no cartão]:[Recarga Pendente]])</f>
        <v>0</v>
      </c>
      <c r="N677" s="19">
        <f>Tabela174681012142230322681619252731333624210121416182426283038402481012141620222628303234362426810121424610122426244262628262681026286236[[#This Row],[Uso diário]]*2</f>
        <v>37.6</v>
      </c>
      <c r="O677" s="19">
        <f>Tabela174681012142230322681619252731333624210121416182426283038402481012141620222628303234362426810121424610122426244262628262681026286236[[#This Row],[Total Acumulado]]-P677</f>
        <v>-94</v>
      </c>
      <c r="P677" s="48">
        <f>Tabela174681012142230322681619252731333624210121416182426283038402481012141620222628303234362426810121424610122426244262628262681026286236[[#This Row],[Uso diário]]*5</f>
        <v>94</v>
      </c>
      <c r="Q6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7" s="25">
        <v>7</v>
      </c>
    </row>
    <row r="678" spans="1:20" s="26" customFormat="1" x14ac:dyDescent="0.25">
      <c r="A678" s="16">
        <v>229758</v>
      </c>
      <c r="B678" s="30" t="s">
        <v>333</v>
      </c>
      <c r="C678" s="20" t="s">
        <v>640</v>
      </c>
      <c r="D678" s="20" t="s">
        <v>701</v>
      </c>
      <c r="E678" s="20" t="s">
        <v>2870</v>
      </c>
      <c r="F678" s="20" t="s">
        <v>2871</v>
      </c>
      <c r="G678" s="21">
        <v>18.8</v>
      </c>
      <c r="H678" s="16">
        <v>26</v>
      </c>
      <c r="I678" s="16"/>
      <c r="J6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78" s="22"/>
      <c r="L678" s="23"/>
      <c r="M678" s="23">
        <f>SUM(Tabela174681012142230322681619252731333624210121416182426283038402481012141620222628303234362426810121424610122426244262628262681026286236[[#This Row],[Saldo no cartão]:[Recarga Pendente]])</f>
        <v>0</v>
      </c>
      <c r="N678" s="19">
        <f>Tabela174681012142230322681619252731333624210121416182426283038402481012141620222628303234362426810121424610122426244262628262681026286236[[#This Row],[Uso diário]]*2</f>
        <v>37.6</v>
      </c>
      <c r="O678" s="19">
        <f>Tabela174681012142230322681619252731333624210121416182426283038402481012141620222628303234362426810121424610122426244262628262681026286236[[#This Row],[Total Acumulado]]-P678</f>
        <v>-94</v>
      </c>
      <c r="P678" s="48">
        <f>Tabela174681012142230322681619252731333624210121416182426283038402481012141620222628303234362426810121424610122426244262628262681026286236[[#This Row],[Uso diário]]*5</f>
        <v>94</v>
      </c>
      <c r="Q6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8" s="25">
        <v>7</v>
      </c>
    </row>
    <row r="679" spans="1:20" s="26" customFormat="1" x14ac:dyDescent="0.25">
      <c r="A679" s="16">
        <v>203290</v>
      </c>
      <c r="B679" s="30" t="s">
        <v>335</v>
      </c>
      <c r="C679" s="20" t="s">
        <v>641</v>
      </c>
      <c r="D679" s="20" t="s">
        <v>704</v>
      </c>
      <c r="E679" s="20" t="s">
        <v>2872</v>
      </c>
      <c r="F679" s="20" t="s">
        <v>2873</v>
      </c>
      <c r="G679" s="21">
        <v>18.8</v>
      </c>
      <c r="H679" s="16">
        <v>26</v>
      </c>
      <c r="I679" s="16"/>
      <c r="J6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79" s="22"/>
      <c r="L679" s="23"/>
      <c r="M679" s="23">
        <f>SUM(Tabela174681012142230322681619252731333624210121416182426283038402481012141620222628303234362426810121424610122426244262628262681026286236[[#This Row],[Saldo no cartão]:[Recarga Pendente]])</f>
        <v>0</v>
      </c>
      <c r="N679" s="19">
        <f>Tabela174681012142230322681619252731333624210121416182426283038402481012141620222628303234362426810121424610122426244262628262681026286236[[#This Row],[Uso diário]]*2</f>
        <v>37.6</v>
      </c>
      <c r="O679" s="19">
        <f>Tabela174681012142230322681619252731333624210121416182426283038402481012141620222628303234362426810121424610122426244262628262681026286236[[#This Row],[Total Acumulado]]-P679</f>
        <v>-94</v>
      </c>
      <c r="P679" s="48">
        <f>Tabela174681012142230322681619252731333624210121416182426283038402481012141620222628303234362426810121424610122426244262628262681026286236[[#This Row],[Uso diário]]*5</f>
        <v>94</v>
      </c>
      <c r="Q6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79" s="25">
        <v>7</v>
      </c>
    </row>
    <row r="680" spans="1:20" s="26" customFormat="1" x14ac:dyDescent="0.25">
      <c r="A680" s="16">
        <v>220828</v>
      </c>
      <c r="B680" s="30" t="s">
        <v>336</v>
      </c>
      <c r="C680" s="20" t="s">
        <v>641</v>
      </c>
      <c r="D680" s="20" t="s">
        <v>705</v>
      </c>
      <c r="E680" s="20" t="s">
        <v>2874</v>
      </c>
      <c r="F680" s="20" t="s">
        <v>2875</v>
      </c>
      <c r="G680" s="21">
        <v>18.8</v>
      </c>
      <c r="H680" s="16">
        <v>26</v>
      </c>
      <c r="I680" s="16">
        <v>1</v>
      </c>
      <c r="J6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80" s="22"/>
      <c r="L680" s="23"/>
      <c r="M680" s="23">
        <f>SUM(Tabela174681012142230322681619252731333624210121416182426283038402481012141620222628303234362426810121424610122426244262628262681026286236[[#This Row],[Saldo no cartão]:[Recarga Pendente]])</f>
        <v>0</v>
      </c>
      <c r="N680" s="19">
        <f>Tabela174681012142230322681619252731333624210121416182426283038402481012141620222628303234362426810121424610122426244262628262681026286236[[#This Row],[Uso diário]]*2</f>
        <v>37.6</v>
      </c>
      <c r="O680" s="19">
        <f>Tabela174681012142230322681619252731333624210121416182426283038402481012141620222628303234362426810121424610122426244262628262681026286236[[#This Row],[Total Acumulado]]-P680</f>
        <v>-94</v>
      </c>
      <c r="P680" s="48">
        <f>Tabela174681012142230322681619252731333624210121416182426283038402481012141620222628303234362426810121424610122426244262628262681026286236[[#This Row],[Uso diário]]*5</f>
        <v>94</v>
      </c>
      <c r="Q6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0" s="25">
        <v>7</v>
      </c>
    </row>
    <row r="681" spans="1:20" s="26" customFormat="1" x14ac:dyDescent="0.25">
      <c r="A681" s="16">
        <v>223173</v>
      </c>
      <c r="B681" s="30" t="s">
        <v>299</v>
      </c>
      <c r="C681" s="20" t="s">
        <v>641</v>
      </c>
      <c r="D681" s="20" t="s">
        <v>704</v>
      </c>
      <c r="E681" s="20" t="s">
        <v>2876</v>
      </c>
      <c r="F681" s="20" t="s">
        <v>2877</v>
      </c>
      <c r="G681" s="21">
        <v>18.8</v>
      </c>
      <c r="H681" s="16">
        <v>26</v>
      </c>
      <c r="I681" s="16">
        <v>1</v>
      </c>
      <c r="J6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81" s="22"/>
      <c r="L681" s="23"/>
      <c r="M681" s="23">
        <f>SUM(Tabela174681012142230322681619252731333624210121416182426283038402481012141620222628303234362426810121424610122426244262628262681026286236[[#This Row],[Saldo no cartão]:[Recarga Pendente]])</f>
        <v>0</v>
      </c>
      <c r="N681" s="19">
        <f>Tabela174681012142230322681619252731333624210121416182426283038402481012141620222628303234362426810121424610122426244262628262681026286236[[#This Row],[Uso diário]]*2</f>
        <v>37.6</v>
      </c>
      <c r="O681" s="19">
        <f>Tabela174681012142230322681619252731333624210121416182426283038402481012141620222628303234362426810121424610122426244262628262681026286236[[#This Row],[Total Acumulado]]-P681</f>
        <v>-94</v>
      </c>
      <c r="P681" s="48">
        <f>Tabela174681012142230322681619252731333624210121416182426283038402481012141620222628303234362426810121424610122426244262628262681026286236[[#This Row],[Uso diário]]*5</f>
        <v>94</v>
      </c>
      <c r="Q6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1" s="25">
        <v>7</v>
      </c>
    </row>
    <row r="682" spans="1:20" s="26" customFormat="1" x14ac:dyDescent="0.25">
      <c r="A682" s="16">
        <v>229831</v>
      </c>
      <c r="B682" s="30" t="s">
        <v>1463</v>
      </c>
      <c r="C682" s="20" t="s">
        <v>641</v>
      </c>
      <c r="D682" s="20" t="s">
        <v>704</v>
      </c>
      <c r="E682" s="20" t="s">
        <v>2878</v>
      </c>
      <c r="F682" s="20" t="s">
        <v>2879</v>
      </c>
      <c r="G682" s="21">
        <v>18.8</v>
      </c>
      <c r="H682" s="16">
        <v>26</v>
      </c>
      <c r="I682" s="16"/>
      <c r="J6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82" s="22"/>
      <c r="L682" s="23"/>
      <c r="M682" s="23">
        <f>SUM(Tabela174681012142230322681619252731333624210121416182426283038402481012141620222628303234362426810121424610122426244262628262681026286236[[#This Row],[Saldo no cartão]:[Recarga Pendente]])</f>
        <v>0</v>
      </c>
      <c r="N682" s="19">
        <f>Tabela174681012142230322681619252731333624210121416182426283038402481012141620222628303234362426810121424610122426244262628262681026286236[[#This Row],[Uso diário]]*2</f>
        <v>37.6</v>
      </c>
      <c r="O682" s="19">
        <f>Tabela174681012142230322681619252731333624210121416182426283038402481012141620222628303234362426810121424610122426244262628262681026286236[[#This Row],[Total Acumulado]]-P682</f>
        <v>-94</v>
      </c>
      <c r="P682" s="48">
        <f>Tabela174681012142230322681619252731333624210121416182426283038402481012141620222628303234362426810121424610122426244262628262681026286236[[#This Row],[Uso diário]]*5</f>
        <v>94</v>
      </c>
      <c r="Q6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2" s="25">
        <v>7</v>
      </c>
    </row>
    <row r="683" spans="1:20" s="26" customFormat="1" x14ac:dyDescent="0.25">
      <c r="A683" s="16">
        <v>232530</v>
      </c>
      <c r="B683" s="30" t="s">
        <v>905</v>
      </c>
      <c r="C683" s="20" t="s">
        <v>641</v>
      </c>
      <c r="D683" s="20" t="s">
        <v>704</v>
      </c>
      <c r="E683" s="20" t="s">
        <v>2880</v>
      </c>
      <c r="F683" s="20" t="s">
        <v>2881</v>
      </c>
      <c r="G683" s="21">
        <v>18.8</v>
      </c>
      <c r="H683" s="16">
        <v>26</v>
      </c>
      <c r="I683" s="16">
        <v>1</v>
      </c>
      <c r="J6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83" s="22"/>
      <c r="L683" s="23"/>
      <c r="M683" s="23">
        <f>SUM(Tabela174681012142230322681619252731333624210121416182426283038402481012141620222628303234362426810121424610122426244262628262681026286236[[#This Row],[Saldo no cartão]:[Recarga Pendente]])</f>
        <v>0</v>
      </c>
      <c r="N683" s="19">
        <f>Tabela174681012142230322681619252731333624210121416182426283038402481012141620222628303234362426810121424610122426244262628262681026286236[[#This Row],[Uso diário]]*2</f>
        <v>37.6</v>
      </c>
      <c r="O683" s="19">
        <f>Tabela174681012142230322681619252731333624210121416182426283038402481012141620222628303234362426810121424610122426244262628262681026286236[[#This Row],[Total Acumulado]]-P683</f>
        <v>-94</v>
      </c>
      <c r="P683" s="48">
        <f>Tabela174681012142230322681619252731333624210121416182426283038402481012141620222628303234362426810121424610122426244262628262681026286236[[#This Row],[Uso diário]]*5</f>
        <v>94</v>
      </c>
      <c r="Q6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3" s="25">
        <v>7</v>
      </c>
    </row>
    <row r="684" spans="1:20" s="26" customFormat="1" x14ac:dyDescent="0.25">
      <c r="A684" s="16">
        <v>220124</v>
      </c>
      <c r="B684" s="30" t="s">
        <v>337</v>
      </c>
      <c r="C684" s="20" t="s">
        <v>658</v>
      </c>
      <c r="D684" s="20" t="s">
        <v>746</v>
      </c>
      <c r="E684" s="20" t="s">
        <v>2882</v>
      </c>
      <c r="F684" s="20" t="s">
        <v>2883</v>
      </c>
      <c r="G684" s="21">
        <v>18.8</v>
      </c>
      <c r="H684" s="16">
        <v>26</v>
      </c>
      <c r="I684" s="16">
        <v>1</v>
      </c>
      <c r="J6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84" s="22"/>
      <c r="L684" s="23"/>
      <c r="M684" s="23">
        <f>SUM(Tabela174681012142230322681619252731333624210121416182426283038402481012141620222628303234362426810121424610122426244262628262681026286236[[#This Row],[Saldo no cartão]:[Recarga Pendente]])</f>
        <v>0</v>
      </c>
      <c r="N684" s="19">
        <f>Tabela174681012142230322681619252731333624210121416182426283038402481012141620222628303234362426810121424610122426244262628262681026286236[[#This Row],[Uso diário]]*2</f>
        <v>37.6</v>
      </c>
      <c r="O684" s="19">
        <f>Tabela174681012142230322681619252731333624210121416182426283038402481012141620222628303234362426810121424610122426244262628262681026286236[[#This Row],[Total Acumulado]]-P684</f>
        <v>-94</v>
      </c>
      <c r="P684" s="48">
        <f>Tabela174681012142230322681619252731333624210121416182426283038402481012141620222628303234362426810121424610122426244262628262681026286236[[#This Row],[Uso diário]]*5</f>
        <v>94</v>
      </c>
      <c r="Q6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4" s="25">
        <v>8</v>
      </c>
    </row>
    <row r="685" spans="1:20" s="26" customFormat="1" x14ac:dyDescent="0.25">
      <c r="A685" s="16">
        <v>234128</v>
      </c>
      <c r="B685" s="30" t="s">
        <v>1464</v>
      </c>
      <c r="C685" s="20" t="s">
        <v>651</v>
      </c>
      <c r="D685" s="20" t="s">
        <v>716</v>
      </c>
      <c r="E685" s="20" t="s">
        <v>2884</v>
      </c>
      <c r="F685" s="20" t="s">
        <v>2885</v>
      </c>
      <c r="G685" s="21">
        <v>18.8</v>
      </c>
      <c r="H685" s="16">
        <v>16</v>
      </c>
      <c r="I685" s="16">
        <v>7</v>
      </c>
      <c r="J6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169.20000000000002</v>
      </c>
      <c r="K685" s="22"/>
      <c r="L685" s="23"/>
      <c r="M685" s="23">
        <f>SUM(Tabela174681012142230322681619252731333624210121416182426283038402481012141620222628303234362426810121424610122426244262628262681026286236[[#This Row],[Saldo no cartão]:[Recarga Pendente]])</f>
        <v>0</v>
      </c>
      <c r="N685" s="19">
        <f>Tabela174681012142230322681619252731333624210121416182426283038402481012141620222628303234362426810121424610122426244262628262681026286236[[#This Row],[Uso diário]]*2</f>
        <v>37.6</v>
      </c>
      <c r="O685" s="19">
        <f>Tabela174681012142230322681619252731333624210121416182426283038402481012141620222628303234362426810121424610122426244262628262681026286236[[#This Row],[Total Acumulado]]-P685</f>
        <v>-94</v>
      </c>
      <c r="P685" s="48">
        <f>Tabela174681012142230322681619252731333624210121416182426283038402481012141620222628303234362426810121424610122426244262628262681026286236[[#This Row],[Uso diário]]*5</f>
        <v>94</v>
      </c>
      <c r="Q6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169.20000000000002</v>
      </c>
      <c r="S6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5" s="25">
        <v>8</v>
      </c>
    </row>
    <row r="686" spans="1:20" s="26" customFormat="1" x14ac:dyDescent="0.25">
      <c r="A686" s="16">
        <v>232301</v>
      </c>
      <c r="B686" s="30" t="s">
        <v>906</v>
      </c>
      <c r="C686" s="20" t="s">
        <v>636</v>
      </c>
      <c r="D686" s="20" t="s">
        <v>729</v>
      </c>
      <c r="E686" s="20" t="s">
        <v>2886</v>
      </c>
      <c r="F686" s="20" t="s">
        <v>2887</v>
      </c>
      <c r="G686" s="21">
        <v>9.4</v>
      </c>
      <c r="H686" s="16">
        <v>22</v>
      </c>
      <c r="I686" s="16">
        <v>3</v>
      </c>
      <c r="J6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178.6</v>
      </c>
      <c r="K686" s="22"/>
      <c r="L686" s="23"/>
      <c r="M686" s="23">
        <f>SUM(Tabela174681012142230322681619252731333624210121416182426283038402481012141620222628303234362426810121424610122426244262628262681026286236[[#This Row],[Saldo no cartão]:[Recarga Pendente]])</f>
        <v>0</v>
      </c>
      <c r="N686" s="19">
        <f>Tabela174681012142230322681619252731333624210121416182426283038402481012141620222628303234362426810121424610122426244262628262681026286236[[#This Row],[Uso diário]]*2</f>
        <v>18.8</v>
      </c>
      <c r="O686" s="19">
        <f>Tabela174681012142230322681619252731333624210121416182426283038402481012141620222628303234362426810121424610122426244262628262681026286236[[#This Row],[Total Acumulado]]-P686</f>
        <v>-47</v>
      </c>
      <c r="P686" s="48">
        <f>Tabela174681012142230322681619252731333624210121416182426283038402481012141620222628303234362426810121424610122426244262628262681026286236[[#This Row],[Uso diário]]*5</f>
        <v>47</v>
      </c>
      <c r="Q6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178.6</v>
      </c>
      <c r="S6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6" s="25">
        <v>8</v>
      </c>
    </row>
    <row r="687" spans="1:20" s="26" customFormat="1" x14ac:dyDescent="0.25">
      <c r="A687" s="16">
        <v>232408</v>
      </c>
      <c r="B687" s="30" t="s">
        <v>907</v>
      </c>
      <c r="C687" s="20" t="s">
        <v>636</v>
      </c>
      <c r="D687" s="20" t="s">
        <v>729</v>
      </c>
      <c r="E687" s="20" t="s">
        <v>2888</v>
      </c>
      <c r="F687" s="20" t="s">
        <v>2889</v>
      </c>
      <c r="G687" s="21">
        <v>18.8</v>
      </c>
      <c r="H687" s="16">
        <v>22</v>
      </c>
      <c r="I687" s="16"/>
      <c r="J6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687" s="22"/>
      <c r="L687" s="23"/>
      <c r="M687" s="23">
        <f>SUM(Tabela174681012142230322681619252731333624210121416182426283038402481012141620222628303234362426810121424610122426244262628262681026286236[[#This Row],[Saldo no cartão]:[Recarga Pendente]])</f>
        <v>0</v>
      </c>
      <c r="N687" s="19">
        <f>Tabela174681012142230322681619252731333624210121416182426283038402481012141620222628303234362426810121424610122426244262628262681026286236[[#This Row],[Uso diário]]*2</f>
        <v>37.6</v>
      </c>
      <c r="O687" s="19">
        <f>Tabela174681012142230322681619252731333624210121416182426283038402481012141620222628303234362426810121424610122426244262628262681026286236[[#This Row],[Total Acumulado]]-P687</f>
        <v>-94</v>
      </c>
      <c r="P687" s="48">
        <f>Tabela174681012142230322681619252731333624210121416182426283038402481012141620222628303234362426810121424610122426244262628262681026286236[[#This Row],[Uso diário]]*5</f>
        <v>94</v>
      </c>
      <c r="Q6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6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7" s="25">
        <v>8</v>
      </c>
    </row>
    <row r="688" spans="1:20" s="26" customFormat="1" x14ac:dyDescent="0.25">
      <c r="A688" s="16">
        <v>232409</v>
      </c>
      <c r="B688" s="30" t="s">
        <v>908</v>
      </c>
      <c r="C688" s="20" t="s">
        <v>636</v>
      </c>
      <c r="D688" s="20" t="s">
        <v>729</v>
      </c>
      <c r="E688" s="20" t="s">
        <v>2890</v>
      </c>
      <c r="F688" s="20" t="s">
        <v>2891</v>
      </c>
      <c r="G688" s="21">
        <v>9.4</v>
      </c>
      <c r="H688" s="16">
        <v>22</v>
      </c>
      <c r="I688" s="16">
        <v>2</v>
      </c>
      <c r="J6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188</v>
      </c>
      <c r="K688" s="22"/>
      <c r="L688" s="23"/>
      <c r="M688" s="23">
        <f>SUM(Tabela174681012142230322681619252731333624210121416182426283038402481012141620222628303234362426810121424610122426244262628262681026286236[[#This Row],[Saldo no cartão]:[Recarga Pendente]])</f>
        <v>0</v>
      </c>
      <c r="N688" s="19">
        <f>Tabela174681012142230322681619252731333624210121416182426283038402481012141620222628303234362426810121424610122426244262628262681026286236[[#This Row],[Uso diário]]*2</f>
        <v>18.8</v>
      </c>
      <c r="O688" s="19">
        <f>Tabela174681012142230322681619252731333624210121416182426283038402481012141620222628303234362426810121424610122426244262628262681026286236[[#This Row],[Total Acumulado]]-P688</f>
        <v>-47</v>
      </c>
      <c r="P688" s="48">
        <f>Tabela174681012142230322681619252731333624210121416182426283038402481012141620222628303234362426810121424610122426244262628262681026286236[[#This Row],[Uso diário]]*5</f>
        <v>47</v>
      </c>
      <c r="Q6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188</v>
      </c>
      <c r="S6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8" s="25">
        <v>8</v>
      </c>
    </row>
    <row r="689" spans="1:20" s="26" customFormat="1" x14ac:dyDescent="0.25">
      <c r="A689" s="16">
        <v>232410</v>
      </c>
      <c r="B689" s="30" t="s">
        <v>909</v>
      </c>
      <c r="C689" s="20" t="s">
        <v>636</v>
      </c>
      <c r="D689" s="20" t="s">
        <v>729</v>
      </c>
      <c r="E689" s="20" t="s">
        <v>2892</v>
      </c>
      <c r="F689" s="20" t="s">
        <v>2893</v>
      </c>
      <c r="G689" s="21">
        <v>9.4</v>
      </c>
      <c r="H689" s="16">
        <v>22</v>
      </c>
      <c r="I689" s="16">
        <v>1</v>
      </c>
      <c r="J6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197.4</v>
      </c>
      <c r="K689" s="22"/>
      <c r="L689" s="23"/>
      <c r="M689" s="23">
        <f>SUM(Tabela174681012142230322681619252731333624210121416182426283038402481012141620222628303234362426810121424610122426244262628262681026286236[[#This Row],[Saldo no cartão]:[Recarga Pendente]])</f>
        <v>0</v>
      </c>
      <c r="N689" s="19">
        <f>Tabela174681012142230322681619252731333624210121416182426283038402481012141620222628303234362426810121424610122426244262628262681026286236[[#This Row],[Uso diário]]*2</f>
        <v>18.8</v>
      </c>
      <c r="O689" s="19">
        <f>Tabela174681012142230322681619252731333624210121416182426283038402481012141620222628303234362426810121424610122426244262628262681026286236[[#This Row],[Total Acumulado]]-P689</f>
        <v>-47</v>
      </c>
      <c r="P689" s="48">
        <f>Tabela174681012142230322681619252731333624210121416182426283038402481012141620222628303234362426810121424610122426244262628262681026286236[[#This Row],[Uso diário]]*5</f>
        <v>47</v>
      </c>
      <c r="Q6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197.4</v>
      </c>
      <c r="S6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89" s="25">
        <v>8</v>
      </c>
    </row>
    <row r="690" spans="1:20" s="26" customFormat="1" x14ac:dyDescent="0.25">
      <c r="A690" s="16">
        <v>218926</v>
      </c>
      <c r="B690" s="30" t="s">
        <v>339</v>
      </c>
      <c r="C690" s="20" t="s">
        <v>653</v>
      </c>
      <c r="D690" s="20" t="s">
        <v>891</v>
      </c>
      <c r="E690" s="20" t="s">
        <v>2894</v>
      </c>
      <c r="F690" s="20" t="s">
        <v>2895</v>
      </c>
      <c r="G690" s="21">
        <v>18.8</v>
      </c>
      <c r="H690" s="16">
        <v>26</v>
      </c>
      <c r="I690" s="16">
        <v>2</v>
      </c>
      <c r="J6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451.20000000000005</v>
      </c>
      <c r="K690" s="22"/>
      <c r="L690" s="23"/>
      <c r="M690" s="23">
        <f>SUM(Tabela174681012142230322681619252731333624210121416182426283038402481012141620222628303234362426810121424610122426244262628262681026286236[[#This Row],[Saldo no cartão]:[Recarga Pendente]])</f>
        <v>0</v>
      </c>
      <c r="N690" s="19">
        <f>Tabela174681012142230322681619252731333624210121416182426283038402481012141620222628303234362426810121424610122426244262628262681026286236[[#This Row],[Uso diário]]*2</f>
        <v>37.6</v>
      </c>
      <c r="O690" s="19">
        <f>Tabela174681012142230322681619252731333624210121416182426283038402481012141620222628303234362426810121424610122426244262628262681026286236[[#This Row],[Total Acumulado]]-P690</f>
        <v>-94</v>
      </c>
      <c r="P690" s="48">
        <f>Tabela174681012142230322681619252731333624210121416182426283038402481012141620222628303234362426810121424610122426244262628262681026286236[[#This Row],[Uso diário]]*5</f>
        <v>94</v>
      </c>
      <c r="Q6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451.20000000000005</v>
      </c>
      <c r="S6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0" s="25">
        <v>8</v>
      </c>
    </row>
    <row r="691" spans="1:20" s="26" customFormat="1" x14ac:dyDescent="0.25">
      <c r="A691" s="16">
        <v>219888</v>
      </c>
      <c r="B691" s="30" t="s">
        <v>341</v>
      </c>
      <c r="C691" s="20" t="s">
        <v>640</v>
      </c>
      <c r="D691" s="20" t="s">
        <v>702</v>
      </c>
      <c r="E691" s="20" t="s">
        <v>2896</v>
      </c>
      <c r="F691" s="20" t="s">
        <v>2897</v>
      </c>
      <c r="G691" s="21">
        <v>18.8</v>
      </c>
      <c r="H691" s="16">
        <v>26</v>
      </c>
      <c r="I691" s="16">
        <v>11</v>
      </c>
      <c r="J6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691" s="22"/>
      <c r="L691" s="23"/>
      <c r="M691" s="23">
        <f>SUM(Tabela174681012142230322681619252731333624210121416182426283038402481012141620222628303234362426810121424610122426244262628262681026286236[[#This Row],[Saldo no cartão]:[Recarga Pendente]])</f>
        <v>0</v>
      </c>
      <c r="N691" s="19">
        <f>Tabela174681012142230322681619252731333624210121416182426283038402481012141620222628303234362426810121424610122426244262628262681026286236[[#This Row],[Uso diário]]*2</f>
        <v>37.6</v>
      </c>
      <c r="O691" s="19">
        <f>Tabela174681012142230322681619252731333624210121416182426283038402481012141620222628303234362426810121424610122426244262628262681026286236[[#This Row],[Total Acumulado]]-P691</f>
        <v>-94</v>
      </c>
      <c r="P691" s="48">
        <f>Tabela174681012142230322681619252731333624210121416182426283038402481012141620222628303234362426810121424610122426244262628262681026286236[[#This Row],[Uso diário]]*5</f>
        <v>94</v>
      </c>
      <c r="Q6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6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1" s="25">
        <v>8</v>
      </c>
    </row>
    <row r="692" spans="1:20" s="26" customFormat="1" x14ac:dyDescent="0.25">
      <c r="A692" s="16">
        <v>223990</v>
      </c>
      <c r="B692" s="30" t="s">
        <v>1078</v>
      </c>
      <c r="C692" s="20" t="s">
        <v>655</v>
      </c>
      <c r="D692" s="20" t="s">
        <v>732</v>
      </c>
      <c r="E692" s="20" t="s">
        <v>2898</v>
      </c>
      <c r="F692" s="20" t="s">
        <v>2899</v>
      </c>
      <c r="G692" s="21">
        <v>18.8</v>
      </c>
      <c r="H692" s="16">
        <v>26</v>
      </c>
      <c r="I692" s="16">
        <v>1</v>
      </c>
      <c r="J6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92" s="22"/>
      <c r="L692" s="23"/>
      <c r="M692" s="23">
        <f>SUM(Tabela174681012142230322681619252731333624210121416182426283038402481012141620222628303234362426810121424610122426244262628262681026286236[[#This Row],[Saldo no cartão]:[Recarga Pendente]])</f>
        <v>0</v>
      </c>
      <c r="N692" s="19">
        <f>Tabela174681012142230322681619252731333624210121416182426283038402481012141620222628303234362426810121424610122426244262628262681026286236[[#This Row],[Uso diário]]*2</f>
        <v>37.6</v>
      </c>
      <c r="O692" s="19">
        <f>Tabela174681012142230322681619252731333624210121416182426283038402481012141620222628303234362426810121424610122426244262628262681026286236[[#This Row],[Total Acumulado]]-P692</f>
        <v>-94</v>
      </c>
      <c r="P692" s="48">
        <f>Tabela174681012142230322681619252731333624210121416182426283038402481012141620222628303234362426810121424610122426244262628262681026286236[[#This Row],[Uso diário]]*5</f>
        <v>94</v>
      </c>
      <c r="Q6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2" s="25">
        <v>8</v>
      </c>
    </row>
    <row r="693" spans="1:20" s="26" customFormat="1" x14ac:dyDescent="0.25">
      <c r="A693" s="16">
        <v>221932</v>
      </c>
      <c r="B693" s="30" t="s">
        <v>342</v>
      </c>
      <c r="C693" s="20" t="s">
        <v>645</v>
      </c>
      <c r="D693" s="20" t="s">
        <v>748</v>
      </c>
      <c r="E693" s="20" t="s">
        <v>2900</v>
      </c>
      <c r="F693" s="20" t="s">
        <v>2901</v>
      </c>
      <c r="G693" s="21">
        <v>18.8</v>
      </c>
      <c r="H693" s="16">
        <v>26</v>
      </c>
      <c r="I693" s="16"/>
      <c r="J6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93" s="22"/>
      <c r="L693" s="23"/>
      <c r="M693" s="23">
        <f>SUM(Tabela174681012142230322681619252731333624210121416182426283038402481012141620222628303234362426810121424610122426244262628262681026286236[[#This Row],[Saldo no cartão]:[Recarga Pendente]])</f>
        <v>0</v>
      </c>
      <c r="N693" s="19">
        <f>Tabela174681012142230322681619252731333624210121416182426283038402481012141620222628303234362426810121424610122426244262628262681026286236[[#This Row],[Uso diário]]*2</f>
        <v>37.6</v>
      </c>
      <c r="O693" s="19">
        <f>Tabela174681012142230322681619252731333624210121416182426283038402481012141620222628303234362426810121424610122426244262628262681026286236[[#This Row],[Total Acumulado]]-P693</f>
        <v>-94</v>
      </c>
      <c r="P693" s="48">
        <f>Tabela174681012142230322681619252731333624210121416182426283038402481012141620222628303234362426810121424610122426244262628262681026286236[[#This Row],[Uso diário]]*5</f>
        <v>94</v>
      </c>
      <c r="Q6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3" s="25">
        <v>8</v>
      </c>
    </row>
    <row r="694" spans="1:20" s="26" customFormat="1" x14ac:dyDescent="0.25">
      <c r="A694" s="16">
        <v>213049</v>
      </c>
      <c r="B694" s="30" t="s">
        <v>343</v>
      </c>
      <c r="C694" s="20" t="s">
        <v>647</v>
      </c>
      <c r="D694" s="20" t="s">
        <v>722</v>
      </c>
      <c r="E694" s="20" t="s">
        <v>2902</v>
      </c>
      <c r="F694" s="20" t="s">
        <v>2903</v>
      </c>
      <c r="G694" s="21">
        <v>18.8</v>
      </c>
      <c r="H694" s="16">
        <v>26</v>
      </c>
      <c r="I694" s="16"/>
      <c r="J6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694" s="22"/>
      <c r="L694" s="23"/>
      <c r="M694" s="23">
        <f>SUM(Tabela174681012142230322681619252731333624210121416182426283038402481012141620222628303234362426810121424610122426244262628262681026286236[[#This Row],[Saldo no cartão]:[Recarga Pendente]])</f>
        <v>0</v>
      </c>
      <c r="N694" s="19">
        <f>Tabela174681012142230322681619252731333624210121416182426283038402481012141620222628303234362426810121424610122426244262628262681026286236[[#This Row],[Uso diário]]*2</f>
        <v>37.6</v>
      </c>
      <c r="O694" s="19">
        <f>Tabela174681012142230322681619252731333624210121416182426283038402481012141620222628303234362426810121424610122426244262628262681026286236[[#This Row],[Total Acumulado]]-P694</f>
        <v>-94</v>
      </c>
      <c r="P694" s="48">
        <f>Tabela174681012142230322681619252731333624210121416182426283038402481012141620222628303234362426810121424610122426244262628262681026286236[[#This Row],[Uso diário]]*5</f>
        <v>94</v>
      </c>
      <c r="Q6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6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4" s="25">
        <v>9</v>
      </c>
    </row>
    <row r="695" spans="1:20" s="26" customFormat="1" x14ac:dyDescent="0.25">
      <c r="A695" s="16">
        <v>219636</v>
      </c>
      <c r="B695" s="30" t="s">
        <v>344</v>
      </c>
      <c r="C695" s="20" t="s">
        <v>647</v>
      </c>
      <c r="D695" s="20" t="s">
        <v>720</v>
      </c>
      <c r="E695" s="20" t="s">
        <v>2904</v>
      </c>
      <c r="F695" s="20" t="s">
        <v>2905</v>
      </c>
      <c r="G695" s="21">
        <v>18.8</v>
      </c>
      <c r="H695" s="16">
        <v>26</v>
      </c>
      <c r="I695" s="16">
        <v>1</v>
      </c>
      <c r="J6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695" s="22"/>
      <c r="L695" s="23"/>
      <c r="M695" s="23">
        <f>SUM(Tabela174681012142230322681619252731333624210121416182426283038402481012141620222628303234362426810121424610122426244262628262681026286236[[#This Row],[Saldo no cartão]:[Recarga Pendente]])</f>
        <v>0</v>
      </c>
      <c r="N695" s="19">
        <f>Tabela174681012142230322681619252731333624210121416182426283038402481012141620222628303234362426810121424610122426244262628262681026286236[[#This Row],[Uso diário]]*2</f>
        <v>37.6</v>
      </c>
      <c r="O695" s="19">
        <f>Tabela174681012142230322681619252731333624210121416182426283038402481012141620222628303234362426810121424610122426244262628262681026286236[[#This Row],[Total Acumulado]]-P695</f>
        <v>-94</v>
      </c>
      <c r="P695" s="48">
        <f>Tabela174681012142230322681619252731333624210121416182426283038402481012141620222628303234362426810121424610122426244262628262681026286236[[#This Row],[Uso diário]]*5</f>
        <v>94</v>
      </c>
      <c r="Q6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6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5" s="25">
        <v>9</v>
      </c>
    </row>
    <row r="696" spans="1:20" s="26" customFormat="1" x14ac:dyDescent="0.25">
      <c r="A696" s="16">
        <v>234547</v>
      </c>
      <c r="B696" s="30" t="s">
        <v>1318</v>
      </c>
      <c r="C696" s="20" t="s">
        <v>647</v>
      </c>
      <c r="D696" s="20" t="s">
        <v>721</v>
      </c>
      <c r="E696" s="20" t="s">
        <v>2906</v>
      </c>
      <c r="F696" s="20" t="s">
        <v>2907</v>
      </c>
      <c r="G696" s="21">
        <v>10</v>
      </c>
      <c r="H696" s="16">
        <v>26</v>
      </c>
      <c r="I696" s="16"/>
      <c r="J6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696" s="22"/>
      <c r="L696" s="23"/>
      <c r="M696" s="23">
        <f>SUM(Tabela174681012142230322681619252731333624210121416182426283038402481012141620222628303234362426810121424610122426244262628262681026286236[[#This Row],[Saldo no cartão]:[Recarga Pendente]])</f>
        <v>0</v>
      </c>
      <c r="N696" s="19">
        <f>Tabela174681012142230322681619252731333624210121416182426283038402481012141620222628303234362426810121424610122426244262628262681026286236[[#This Row],[Uso diário]]*2</f>
        <v>20</v>
      </c>
      <c r="O696" s="19">
        <f>Tabela174681012142230322681619252731333624210121416182426283038402481012141620222628303234362426810121424610122426244262628262681026286236[[#This Row],[Total Acumulado]]-P696</f>
        <v>-50</v>
      </c>
      <c r="P696" s="48">
        <f>Tabela174681012142230322681619252731333624210121416182426283038402481012141620222628303234362426810121424610122426244262628262681026286236[[#This Row],[Uso diário]]*5</f>
        <v>50</v>
      </c>
      <c r="Q6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6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6" s="25">
        <v>9</v>
      </c>
    </row>
    <row r="697" spans="1:20" s="26" customFormat="1" x14ac:dyDescent="0.25">
      <c r="A697" s="16">
        <v>220332</v>
      </c>
      <c r="B697" s="30" t="s">
        <v>346</v>
      </c>
      <c r="C697" s="20" t="s">
        <v>648</v>
      </c>
      <c r="D697" s="20" t="s">
        <v>718</v>
      </c>
      <c r="E697" s="20" t="s">
        <v>2908</v>
      </c>
      <c r="F697" s="20" t="s">
        <v>2909</v>
      </c>
      <c r="G697" s="21">
        <v>10</v>
      </c>
      <c r="H697" s="16">
        <v>26</v>
      </c>
      <c r="I697" s="16">
        <v>3</v>
      </c>
      <c r="J6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230</v>
      </c>
      <c r="K697" s="22"/>
      <c r="L697" s="23"/>
      <c r="M697" s="23">
        <f>SUM(Tabela174681012142230322681619252731333624210121416182426283038402481012141620222628303234362426810121424610122426244262628262681026286236[[#This Row],[Saldo no cartão]:[Recarga Pendente]])</f>
        <v>0</v>
      </c>
      <c r="N697" s="19">
        <f>Tabela174681012142230322681619252731333624210121416182426283038402481012141620222628303234362426810121424610122426244262628262681026286236[[#This Row],[Uso diário]]*2</f>
        <v>20</v>
      </c>
      <c r="O697" s="19">
        <f>Tabela174681012142230322681619252731333624210121416182426283038402481012141620222628303234362426810121424610122426244262628262681026286236[[#This Row],[Total Acumulado]]-P697</f>
        <v>-50</v>
      </c>
      <c r="P697" s="48">
        <f>Tabela174681012142230322681619252731333624210121416182426283038402481012141620222628303234362426810121424610122426244262628262681026286236[[#This Row],[Uso diário]]*5</f>
        <v>50</v>
      </c>
      <c r="Q6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230</v>
      </c>
      <c r="S6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7" s="25">
        <v>9</v>
      </c>
    </row>
    <row r="698" spans="1:20" s="26" customFormat="1" x14ac:dyDescent="0.25">
      <c r="A698" s="16">
        <v>232179</v>
      </c>
      <c r="B698" s="30" t="s">
        <v>886</v>
      </c>
      <c r="C698" s="20" t="s">
        <v>650</v>
      </c>
      <c r="D698" s="20" t="s">
        <v>726</v>
      </c>
      <c r="E698" s="20" t="s">
        <v>2910</v>
      </c>
      <c r="F698" s="20" t="s">
        <v>2911</v>
      </c>
      <c r="G698" s="21">
        <v>10</v>
      </c>
      <c r="H698" s="16">
        <v>26</v>
      </c>
      <c r="I698" s="16"/>
      <c r="J6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698" s="22"/>
      <c r="L698" s="23"/>
      <c r="M698" s="23">
        <f>SUM(Tabela174681012142230322681619252731333624210121416182426283038402481012141620222628303234362426810121424610122426244262628262681026286236[[#This Row],[Saldo no cartão]:[Recarga Pendente]])</f>
        <v>0</v>
      </c>
      <c r="N698" s="19">
        <f>Tabela174681012142230322681619252731333624210121416182426283038402481012141620222628303234362426810121424610122426244262628262681026286236[[#This Row],[Uso diário]]*2</f>
        <v>20</v>
      </c>
      <c r="O698" s="19">
        <f>Tabela174681012142230322681619252731333624210121416182426283038402481012141620222628303234362426810121424610122426244262628262681026286236[[#This Row],[Total Acumulado]]-P698</f>
        <v>-50</v>
      </c>
      <c r="P698" s="48">
        <f>Tabela174681012142230322681619252731333624210121416182426283038402481012141620222628303234362426810121424610122426244262628262681026286236[[#This Row],[Uso diário]]*5</f>
        <v>50</v>
      </c>
      <c r="Q6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6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8" s="25">
        <v>9</v>
      </c>
    </row>
    <row r="699" spans="1:20" s="26" customFormat="1" x14ac:dyDescent="0.25">
      <c r="A699" s="16">
        <v>234523</v>
      </c>
      <c r="B699" s="30" t="s">
        <v>1319</v>
      </c>
      <c r="C699" s="20" t="s">
        <v>650</v>
      </c>
      <c r="D699" s="20" t="s">
        <v>726</v>
      </c>
      <c r="E699" s="20" t="s">
        <v>2912</v>
      </c>
      <c r="F699" s="20" t="s">
        <v>2913</v>
      </c>
      <c r="G699" s="21">
        <v>10</v>
      </c>
      <c r="H699" s="16">
        <v>26</v>
      </c>
      <c r="I699" s="16">
        <v>2</v>
      </c>
      <c r="J6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240</v>
      </c>
      <c r="K699" s="22"/>
      <c r="L699" s="23"/>
      <c r="M699" s="23">
        <f>SUM(Tabela174681012142230322681619252731333624210121416182426283038402481012141620222628303234362426810121424610122426244262628262681026286236[[#This Row],[Saldo no cartão]:[Recarga Pendente]])</f>
        <v>0</v>
      </c>
      <c r="N699" s="19">
        <f>Tabela174681012142230322681619252731333624210121416182426283038402481012141620222628303234362426810121424610122426244262628262681026286236[[#This Row],[Uso diário]]*2</f>
        <v>20</v>
      </c>
      <c r="O699" s="19">
        <f>Tabela174681012142230322681619252731333624210121416182426283038402481012141620222628303234362426810121424610122426244262628262681026286236[[#This Row],[Total Acumulado]]-P699</f>
        <v>-50</v>
      </c>
      <c r="P699" s="48">
        <f>Tabela174681012142230322681619252731333624210121416182426283038402481012141620222628303234362426810121424610122426244262628262681026286236[[#This Row],[Uso diário]]*5</f>
        <v>50</v>
      </c>
      <c r="Q6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6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240</v>
      </c>
      <c r="S6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699" s="25">
        <v>9</v>
      </c>
    </row>
    <row r="700" spans="1:20" s="26" customFormat="1" x14ac:dyDescent="0.25">
      <c r="A700" s="16">
        <v>213181</v>
      </c>
      <c r="B700" s="30" t="s">
        <v>347</v>
      </c>
      <c r="C700" s="20" t="s">
        <v>651</v>
      </c>
      <c r="D700" s="20" t="s">
        <v>719</v>
      </c>
      <c r="E700" s="20" t="s">
        <v>2914</v>
      </c>
      <c r="F700" s="20" t="s">
        <v>2915</v>
      </c>
      <c r="G700" s="21">
        <v>18.8</v>
      </c>
      <c r="H700" s="16">
        <v>16</v>
      </c>
      <c r="I700" s="16"/>
      <c r="J7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700" s="22"/>
      <c r="L700" s="23"/>
      <c r="M700" s="23">
        <f>SUM(Tabela174681012142230322681619252731333624210121416182426283038402481012141620222628303234362426810121424610122426244262628262681026286236[[#This Row],[Saldo no cartão]:[Recarga Pendente]])</f>
        <v>0</v>
      </c>
      <c r="N700" s="19">
        <f>Tabela174681012142230322681619252731333624210121416182426283038402481012141620222628303234362426810121424610122426244262628262681026286236[[#This Row],[Uso diário]]*2</f>
        <v>37.6</v>
      </c>
      <c r="O700" s="19">
        <f>Tabela174681012142230322681619252731333624210121416182426283038402481012141620222628303234362426810121424610122426244262628262681026286236[[#This Row],[Total Acumulado]]-P700</f>
        <v>-94</v>
      </c>
      <c r="P700" s="48">
        <f>Tabela174681012142230322681619252731333624210121416182426283038402481012141620222628303234362426810121424610122426244262628262681026286236[[#This Row],[Uso diário]]*5</f>
        <v>94</v>
      </c>
      <c r="Q7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7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0" s="25">
        <v>9</v>
      </c>
    </row>
    <row r="701" spans="1:20" s="26" customFormat="1" x14ac:dyDescent="0.25">
      <c r="A701" s="16">
        <v>219711</v>
      </c>
      <c r="B701" s="30" t="s">
        <v>348</v>
      </c>
      <c r="C701" s="20" t="s">
        <v>651</v>
      </c>
      <c r="D701" s="20" t="s">
        <v>719</v>
      </c>
      <c r="E701" s="20" t="s">
        <v>2916</v>
      </c>
      <c r="F701" s="20" t="s">
        <v>2917</v>
      </c>
      <c r="G701" s="21">
        <v>10</v>
      </c>
      <c r="H701" s="16">
        <v>16</v>
      </c>
      <c r="I701" s="16"/>
      <c r="J7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01" s="22"/>
      <c r="L701" s="23"/>
      <c r="M701" s="23">
        <f>SUM(Tabela174681012142230322681619252731333624210121416182426283038402481012141620222628303234362426810121424610122426244262628262681026286236[[#This Row],[Saldo no cartão]:[Recarga Pendente]])</f>
        <v>0</v>
      </c>
      <c r="N701" s="19">
        <f>Tabela174681012142230322681619252731333624210121416182426283038402481012141620222628303234362426810121424610122426244262628262681026286236[[#This Row],[Uso diário]]*2</f>
        <v>20</v>
      </c>
      <c r="O701" s="19">
        <f>Tabela174681012142230322681619252731333624210121416182426283038402481012141620222628303234362426810121424610122426244262628262681026286236[[#This Row],[Total Acumulado]]-P701</f>
        <v>-50</v>
      </c>
      <c r="P701" s="48">
        <f>Tabela174681012142230322681619252731333624210121416182426283038402481012141620222628303234362426810121424610122426244262628262681026286236[[#This Row],[Uso diário]]*5</f>
        <v>50</v>
      </c>
      <c r="Q7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1" s="25">
        <v>9</v>
      </c>
    </row>
    <row r="702" spans="1:20" s="26" customFormat="1" x14ac:dyDescent="0.25">
      <c r="A702" s="16">
        <v>228393</v>
      </c>
      <c r="B702" s="30" t="s">
        <v>349</v>
      </c>
      <c r="C702" s="20" t="s">
        <v>651</v>
      </c>
      <c r="D702" s="20" t="s">
        <v>719</v>
      </c>
      <c r="E702" s="20" t="s">
        <v>2918</v>
      </c>
      <c r="F702" s="20" t="s">
        <v>2919</v>
      </c>
      <c r="G702" s="21">
        <v>10</v>
      </c>
      <c r="H702" s="16">
        <v>26</v>
      </c>
      <c r="I702" s="16"/>
      <c r="J7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02" s="22"/>
      <c r="L702" s="23"/>
      <c r="M702" s="23">
        <f>SUM(Tabela174681012142230322681619252731333624210121416182426283038402481012141620222628303234362426810121424610122426244262628262681026286236[[#This Row],[Saldo no cartão]:[Recarga Pendente]])</f>
        <v>0</v>
      </c>
      <c r="N702" s="19">
        <f>Tabela174681012142230322681619252731333624210121416182426283038402481012141620222628303234362426810121424610122426244262628262681026286236[[#This Row],[Uso diário]]*2</f>
        <v>20</v>
      </c>
      <c r="O702" s="19">
        <f>Tabela174681012142230322681619252731333624210121416182426283038402481012141620222628303234362426810121424610122426244262628262681026286236[[#This Row],[Total Acumulado]]-P702</f>
        <v>-50</v>
      </c>
      <c r="P702" s="48">
        <f>Tabela174681012142230322681619252731333624210121416182426283038402481012141620222628303234362426810121424610122426244262628262681026286236[[#This Row],[Uso diário]]*5</f>
        <v>50</v>
      </c>
      <c r="Q7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2" s="25">
        <v>9</v>
      </c>
    </row>
    <row r="703" spans="1:20" s="26" customFormat="1" x14ac:dyDescent="0.25">
      <c r="A703" s="16">
        <v>228706</v>
      </c>
      <c r="B703" s="30" t="s">
        <v>1465</v>
      </c>
      <c r="C703" s="20" t="s">
        <v>651</v>
      </c>
      <c r="D703" s="20" t="s">
        <v>719</v>
      </c>
      <c r="E703" s="20" t="s">
        <v>2920</v>
      </c>
      <c r="F703" s="20" t="s">
        <v>2921</v>
      </c>
      <c r="G703" s="21">
        <v>10</v>
      </c>
      <c r="H703" s="16">
        <v>16</v>
      </c>
      <c r="I703" s="16"/>
      <c r="J7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03" s="22"/>
      <c r="L703" s="23"/>
      <c r="M703" s="23">
        <f>SUM(Tabela174681012142230322681619252731333624210121416182426283038402481012141620222628303234362426810121424610122426244262628262681026286236[[#This Row],[Saldo no cartão]:[Recarga Pendente]])</f>
        <v>0</v>
      </c>
      <c r="N703" s="19">
        <f>Tabela174681012142230322681619252731333624210121416182426283038402481012141620222628303234362426810121424610122426244262628262681026286236[[#This Row],[Uso diário]]*2</f>
        <v>20</v>
      </c>
      <c r="O703" s="19">
        <f>Tabela174681012142230322681619252731333624210121416182426283038402481012141620222628303234362426810121424610122426244262628262681026286236[[#This Row],[Total Acumulado]]-P703</f>
        <v>-50</v>
      </c>
      <c r="P703" s="48">
        <f>Tabela174681012142230322681619252731333624210121416182426283038402481012141620222628303234362426810121424610122426244262628262681026286236[[#This Row],[Uso diário]]*5</f>
        <v>50</v>
      </c>
      <c r="Q7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3" s="25">
        <v>9</v>
      </c>
    </row>
    <row r="704" spans="1:20" s="26" customFormat="1" x14ac:dyDescent="0.25">
      <c r="A704" s="16">
        <v>229974</v>
      </c>
      <c r="B704" s="30" t="s">
        <v>350</v>
      </c>
      <c r="C704" s="20" t="s">
        <v>651</v>
      </c>
      <c r="D704" s="20" t="s">
        <v>717</v>
      </c>
      <c r="E704" s="20" t="s">
        <v>2922</v>
      </c>
      <c r="F704" s="20" t="s">
        <v>2923</v>
      </c>
      <c r="G704" s="21">
        <v>10</v>
      </c>
      <c r="H704" s="16">
        <v>16</v>
      </c>
      <c r="I704" s="16"/>
      <c r="J7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04" s="22"/>
      <c r="L704" s="23"/>
      <c r="M704" s="23">
        <f>SUM(Tabela174681012142230322681619252731333624210121416182426283038402481012141620222628303234362426810121424610122426244262628262681026286236[[#This Row],[Saldo no cartão]:[Recarga Pendente]])</f>
        <v>0</v>
      </c>
      <c r="N704" s="19">
        <f>Tabela174681012142230322681619252731333624210121416182426283038402481012141620222628303234362426810121424610122426244262628262681026286236[[#This Row],[Uso diário]]*2</f>
        <v>20</v>
      </c>
      <c r="O704" s="19">
        <f>Tabela174681012142230322681619252731333624210121416182426283038402481012141620222628303234362426810121424610122426244262628262681026286236[[#This Row],[Total Acumulado]]-P704</f>
        <v>-50</v>
      </c>
      <c r="P704" s="48">
        <f>Tabela174681012142230322681619252731333624210121416182426283038402481012141620222628303234362426810121424610122426244262628262681026286236[[#This Row],[Uso diário]]*5</f>
        <v>50</v>
      </c>
      <c r="Q7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4" s="25">
        <v>9</v>
      </c>
    </row>
    <row r="705" spans="1:20" s="26" customFormat="1" x14ac:dyDescent="0.25">
      <c r="A705" s="16">
        <v>231213</v>
      </c>
      <c r="B705" s="30" t="s">
        <v>770</v>
      </c>
      <c r="C705" s="20" t="s">
        <v>651</v>
      </c>
      <c r="D705" s="20" t="s">
        <v>719</v>
      </c>
      <c r="E705" s="20" t="s">
        <v>2924</v>
      </c>
      <c r="F705" s="20" t="s">
        <v>2925</v>
      </c>
      <c r="G705" s="21">
        <v>10</v>
      </c>
      <c r="H705" s="16">
        <v>16</v>
      </c>
      <c r="I705" s="16"/>
      <c r="J7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05" s="22"/>
      <c r="L705" s="23"/>
      <c r="M705" s="23">
        <f>SUM(Tabela174681012142230322681619252731333624210121416182426283038402481012141620222628303234362426810121424610122426244262628262681026286236[[#This Row],[Saldo no cartão]:[Recarga Pendente]])</f>
        <v>0</v>
      </c>
      <c r="N705" s="19">
        <f>Tabela174681012142230322681619252731333624210121416182426283038402481012141620222628303234362426810121424610122426244262628262681026286236[[#This Row],[Uso diário]]*2</f>
        <v>20</v>
      </c>
      <c r="O705" s="19">
        <f>Tabela174681012142230322681619252731333624210121416182426283038402481012141620222628303234362426810121424610122426244262628262681026286236[[#This Row],[Total Acumulado]]-P705</f>
        <v>-50</v>
      </c>
      <c r="P705" s="48">
        <f>Tabela174681012142230322681619252731333624210121416182426283038402481012141620222628303234362426810121424610122426244262628262681026286236[[#This Row],[Uso diário]]*5</f>
        <v>50</v>
      </c>
      <c r="Q7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5" s="25">
        <v>9</v>
      </c>
    </row>
    <row r="706" spans="1:20" s="26" customFormat="1" x14ac:dyDescent="0.25">
      <c r="A706" s="16">
        <v>234231</v>
      </c>
      <c r="B706" s="30" t="s">
        <v>1201</v>
      </c>
      <c r="C706" s="20" t="s">
        <v>651</v>
      </c>
      <c r="D706" s="20" t="s">
        <v>716</v>
      </c>
      <c r="E706" s="20" t="s">
        <v>2926</v>
      </c>
      <c r="F706" s="20" t="s">
        <v>2927</v>
      </c>
      <c r="G706" s="21">
        <v>10</v>
      </c>
      <c r="H706" s="16">
        <v>16</v>
      </c>
      <c r="I706" s="16"/>
      <c r="J7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06" s="22"/>
      <c r="L706" s="23"/>
      <c r="M706" s="23">
        <f>SUM(Tabela174681012142230322681619252731333624210121416182426283038402481012141620222628303234362426810121424610122426244262628262681026286236[[#This Row],[Saldo no cartão]:[Recarga Pendente]])</f>
        <v>0</v>
      </c>
      <c r="N706" s="19">
        <f>Tabela174681012142230322681619252731333624210121416182426283038402481012141620222628303234362426810121424610122426244262628262681026286236[[#This Row],[Uso diário]]*2</f>
        <v>20</v>
      </c>
      <c r="O706" s="19">
        <f>Tabela174681012142230322681619252731333624210121416182426283038402481012141620222628303234362426810121424610122426244262628262681026286236[[#This Row],[Total Acumulado]]-P706</f>
        <v>-50</v>
      </c>
      <c r="P706" s="48">
        <f>Tabela174681012142230322681619252731333624210121416182426283038402481012141620222628303234362426810121424610122426244262628262681026286236[[#This Row],[Uso diário]]*5</f>
        <v>50</v>
      </c>
      <c r="Q7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6" s="25">
        <v>9</v>
      </c>
    </row>
    <row r="707" spans="1:20" s="26" customFormat="1" x14ac:dyDescent="0.25">
      <c r="A707" s="16">
        <v>234521</v>
      </c>
      <c r="B707" s="30" t="s">
        <v>1320</v>
      </c>
      <c r="C707" s="20" t="s">
        <v>651</v>
      </c>
      <c r="D707" s="20" t="s">
        <v>716</v>
      </c>
      <c r="E707" s="20" t="s">
        <v>2928</v>
      </c>
      <c r="F707" s="20" t="s">
        <v>2929</v>
      </c>
      <c r="G707" s="21">
        <v>10</v>
      </c>
      <c r="H707" s="16">
        <v>16</v>
      </c>
      <c r="I707" s="16">
        <v>1</v>
      </c>
      <c r="J7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</v>
      </c>
      <c r="K707" s="22"/>
      <c r="L707" s="23"/>
      <c r="M707" s="23">
        <f>SUM(Tabela174681012142230322681619252731333624210121416182426283038402481012141620222628303234362426810121424610122426244262628262681026286236[[#This Row],[Saldo no cartão]:[Recarga Pendente]])</f>
        <v>0</v>
      </c>
      <c r="N707" s="19">
        <f>Tabela174681012142230322681619252731333624210121416182426283038402481012141620222628303234362426810121424610122426244262628262681026286236[[#This Row],[Uso diário]]*2</f>
        <v>20</v>
      </c>
      <c r="O707" s="19">
        <f>Tabela174681012142230322681619252731333624210121416182426283038402481012141620222628303234362426810121424610122426244262628262681026286236[[#This Row],[Total Acumulado]]-P707</f>
        <v>-50</v>
      </c>
      <c r="P707" s="48">
        <f>Tabela174681012142230322681619252731333624210121416182426283038402481012141620222628303234362426810121424610122426244262628262681026286236[[#This Row],[Uso diário]]*5</f>
        <v>50</v>
      </c>
      <c r="Q7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</v>
      </c>
      <c r="S7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7" s="25">
        <v>9</v>
      </c>
    </row>
    <row r="708" spans="1:20" s="26" customFormat="1" x14ac:dyDescent="0.25">
      <c r="A708" s="16">
        <v>234809</v>
      </c>
      <c r="B708" s="30" t="s">
        <v>1368</v>
      </c>
      <c r="C708" s="20" t="s">
        <v>651</v>
      </c>
      <c r="D708" s="20" t="s">
        <v>719</v>
      </c>
      <c r="E708" s="20" t="s">
        <v>2930</v>
      </c>
      <c r="F708" s="20" t="s">
        <v>2931</v>
      </c>
      <c r="G708" s="21">
        <v>10</v>
      </c>
      <c r="H708" s="16">
        <v>16</v>
      </c>
      <c r="I708" s="16"/>
      <c r="J7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08" s="22"/>
      <c r="L708" s="23"/>
      <c r="M708" s="23">
        <f>SUM(Tabela174681012142230322681619252731333624210121416182426283038402481012141620222628303234362426810121424610122426244262628262681026286236[[#This Row],[Saldo no cartão]:[Recarga Pendente]])</f>
        <v>0</v>
      </c>
      <c r="N708" s="19">
        <f>Tabela174681012142230322681619252731333624210121416182426283038402481012141620222628303234362426810121424610122426244262628262681026286236[[#This Row],[Uso diário]]*2</f>
        <v>20</v>
      </c>
      <c r="O708" s="19">
        <f>Tabela174681012142230322681619252731333624210121416182426283038402481012141620222628303234362426810121424610122426244262628262681026286236[[#This Row],[Total Acumulado]]-P708</f>
        <v>-50</v>
      </c>
      <c r="P708" s="48">
        <f>Tabela174681012142230322681619252731333624210121416182426283038402481012141620222628303234362426810121424610122426244262628262681026286236[[#This Row],[Uso diário]]*5</f>
        <v>50</v>
      </c>
      <c r="Q7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8" s="25">
        <v>9</v>
      </c>
    </row>
    <row r="709" spans="1:20" s="26" customFormat="1" x14ac:dyDescent="0.25">
      <c r="A709" s="16">
        <v>235008</v>
      </c>
      <c r="B709" s="30" t="s">
        <v>1466</v>
      </c>
      <c r="C709" s="20" t="s">
        <v>651</v>
      </c>
      <c r="D709" s="20" t="s">
        <v>716</v>
      </c>
      <c r="E709" s="20" t="s">
        <v>2932</v>
      </c>
      <c r="F709" s="20" t="s">
        <v>2933</v>
      </c>
      <c r="G709" s="21">
        <v>18.8</v>
      </c>
      <c r="H709" s="16">
        <v>16</v>
      </c>
      <c r="I709" s="16"/>
      <c r="J7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709" s="22"/>
      <c r="L709" s="23"/>
      <c r="M709" s="23">
        <f>SUM(Tabela174681012142230322681619252731333624210121416182426283038402481012141620222628303234362426810121424610122426244262628262681026286236[[#This Row],[Saldo no cartão]:[Recarga Pendente]])</f>
        <v>0</v>
      </c>
      <c r="N709" s="19">
        <f>Tabela174681012142230322681619252731333624210121416182426283038402481012141620222628303234362426810121424610122426244262628262681026286236[[#This Row],[Uso diário]]*2</f>
        <v>37.6</v>
      </c>
      <c r="O709" s="19">
        <f>Tabela174681012142230322681619252731333624210121416182426283038402481012141620222628303234362426810121424610122426244262628262681026286236[[#This Row],[Total Acumulado]]-P709</f>
        <v>-94</v>
      </c>
      <c r="P709" s="48">
        <f>Tabela174681012142230322681619252731333624210121416182426283038402481012141620222628303234362426810121424610122426244262628262681026286236[[#This Row],[Uso diário]]*5</f>
        <v>94</v>
      </c>
      <c r="Q7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7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09" s="25">
        <v>9</v>
      </c>
    </row>
    <row r="710" spans="1:20" s="26" customFormat="1" x14ac:dyDescent="0.25">
      <c r="A710" s="16">
        <v>212619</v>
      </c>
      <c r="B710" s="30" t="s">
        <v>478</v>
      </c>
      <c r="C710" s="20" t="s">
        <v>652</v>
      </c>
      <c r="D710" s="20" t="s">
        <v>728</v>
      </c>
      <c r="E710" s="20" t="s">
        <v>2934</v>
      </c>
      <c r="F710" s="20" t="s">
        <v>2935</v>
      </c>
      <c r="G710" s="21">
        <v>18.8</v>
      </c>
      <c r="H710" s="16">
        <v>26</v>
      </c>
      <c r="I710" s="16"/>
      <c r="J7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10" s="22"/>
      <c r="L710" s="23"/>
      <c r="M710" s="23">
        <f>SUM(Tabela174681012142230322681619252731333624210121416182426283038402481012141620222628303234362426810121424610122426244262628262681026286236[[#This Row],[Saldo no cartão]:[Recarga Pendente]])</f>
        <v>0</v>
      </c>
      <c r="N710" s="19">
        <f>Tabela174681012142230322681619252731333624210121416182426283038402481012141620222628303234362426810121424610122426244262628262681026286236[[#This Row],[Uso diário]]*2</f>
        <v>37.6</v>
      </c>
      <c r="O710" s="19">
        <f>Tabela174681012142230322681619252731333624210121416182426283038402481012141620222628303234362426810121424610122426244262628262681026286236[[#This Row],[Total Acumulado]]-P710</f>
        <v>-94</v>
      </c>
      <c r="P710" s="48">
        <f>Tabela174681012142230322681619252731333624210121416182426283038402481012141620222628303234362426810121424610122426244262628262681026286236[[#This Row],[Uso diário]]*5</f>
        <v>94</v>
      </c>
      <c r="Q7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0" s="25">
        <v>9</v>
      </c>
    </row>
    <row r="711" spans="1:20" s="26" customFormat="1" x14ac:dyDescent="0.25">
      <c r="A711" s="16">
        <v>234784</v>
      </c>
      <c r="B711" s="30" t="s">
        <v>1369</v>
      </c>
      <c r="C711" s="20" t="s">
        <v>636</v>
      </c>
      <c r="D711" s="20" t="s">
        <v>729</v>
      </c>
      <c r="E711" s="20" t="s">
        <v>2936</v>
      </c>
      <c r="F711" s="20" t="s">
        <v>2937</v>
      </c>
      <c r="G711" s="21">
        <v>18.8</v>
      </c>
      <c r="H711" s="16">
        <v>22</v>
      </c>
      <c r="I711" s="16"/>
      <c r="J7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11" s="22"/>
      <c r="L711" s="23">
        <v>357.2</v>
      </c>
      <c r="M711" s="23">
        <f>SUM(Tabela174681012142230322681619252731333624210121416182426283038402481012141620222628303234362426810121424610122426244262628262681026286236[[#This Row],[Saldo no cartão]:[Recarga Pendente]])</f>
        <v>357.2</v>
      </c>
      <c r="N711" s="19">
        <f>Tabela174681012142230322681619252731333624210121416182426283038402481012141620222628303234362426810121424610122426244262628262681026286236[[#This Row],[Uso diário]]*2</f>
        <v>37.6</v>
      </c>
      <c r="O711" s="19">
        <f>Tabela174681012142230322681619252731333624210121416182426283038402481012141620222628303234362426810121424610122426244262628262681026286236[[#This Row],[Total Acumulado]]-P711</f>
        <v>263.2</v>
      </c>
      <c r="P711" s="48">
        <f>Tabela174681012142230322681619252731333624210121416182426283038402481012141620222628303234362426810121424610122426244262628262681026286236[[#This Row],[Uso diário]]*5</f>
        <v>94</v>
      </c>
      <c r="Q7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263.2</v>
      </c>
      <c r="R7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150.40000000000003</v>
      </c>
      <c r="S711" s="18" t="s">
        <v>11</v>
      </c>
      <c r="T711" s="25">
        <v>9</v>
      </c>
    </row>
    <row r="712" spans="1:20" s="26" customFormat="1" x14ac:dyDescent="0.25">
      <c r="A712" s="16">
        <v>6547</v>
      </c>
      <c r="B712" s="30" t="s">
        <v>352</v>
      </c>
      <c r="C712" s="20" t="s">
        <v>653</v>
      </c>
      <c r="D712" s="20" t="s">
        <v>891</v>
      </c>
      <c r="E712" s="20" t="s">
        <v>2938</v>
      </c>
      <c r="F712" s="20" t="s">
        <v>2939</v>
      </c>
      <c r="G712" s="21">
        <v>18.8</v>
      </c>
      <c r="H712" s="16">
        <v>26</v>
      </c>
      <c r="I712" s="16"/>
      <c r="J7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12" s="22"/>
      <c r="L712" s="23">
        <v>141.80000000000001</v>
      </c>
      <c r="M712" s="23">
        <f>SUM(Tabela174681012142230322681619252731333624210121416182426283038402481012141620222628303234362426810121424610122426244262628262681026286236[[#This Row],[Saldo no cartão]:[Recarga Pendente]])</f>
        <v>141.80000000000001</v>
      </c>
      <c r="N712" s="19">
        <f>Tabela174681012142230322681619252731333624210121416182426283038402481012141620222628303234362426810121424610122426244262628262681026286236[[#This Row],[Uso diário]]*2</f>
        <v>37.6</v>
      </c>
      <c r="O712" s="19">
        <f>Tabela174681012142230322681619252731333624210121416182426283038402481012141620222628303234362426810121424610122426244262628262681026286236[[#This Row],[Total Acumulado]]-P712</f>
        <v>47.800000000000011</v>
      </c>
      <c r="P712" s="48">
        <f>Tabela174681012142230322681619252731333624210121416182426283038402481012141620222628303234362426810121424610122426244262628262681026286236[[#This Row],[Uso diário]]*5</f>
        <v>94</v>
      </c>
      <c r="Q7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47.800000000000011</v>
      </c>
      <c r="R7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441</v>
      </c>
      <c r="S712" s="18" t="s">
        <v>11</v>
      </c>
      <c r="T712" s="25">
        <v>9</v>
      </c>
    </row>
    <row r="713" spans="1:20" s="26" customFormat="1" x14ac:dyDescent="0.25">
      <c r="A713" s="16">
        <v>215967</v>
      </c>
      <c r="B713" s="30" t="s">
        <v>353</v>
      </c>
      <c r="C713" s="20" t="s">
        <v>653</v>
      </c>
      <c r="D713" s="20" t="s">
        <v>714</v>
      </c>
      <c r="E713" s="20" t="s">
        <v>2940</v>
      </c>
      <c r="F713" s="20" t="s">
        <v>2941</v>
      </c>
      <c r="G713" s="21">
        <v>18.8</v>
      </c>
      <c r="H713" s="16">
        <v>26</v>
      </c>
      <c r="I713" s="16"/>
      <c r="J7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13" s="22"/>
      <c r="L713" s="23"/>
      <c r="M713" s="23">
        <f>SUM(Tabela174681012142230322681619252731333624210121416182426283038402481012141620222628303234362426810121424610122426244262628262681026286236[[#This Row],[Saldo no cartão]:[Recarga Pendente]])</f>
        <v>0</v>
      </c>
      <c r="N713" s="19">
        <f>Tabela174681012142230322681619252731333624210121416182426283038402481012141620222628303234362426810121424610122426244262628262681026286236[[#This Row],[Uso diário]]*2</f>
        <v>37.6</v>
      </c>
      <c r="O713" s="19">
        <f>Tabela174681012142230322681619252731333624210121416182426283038402481012141620222628303234362426810121424610122426244262628262681026286236[[#This Row],[Total Acumulado]]-P713</f>
        <v>-94</v>
      </c>
      <c r="P713" s="48">
        <f>Tabela174681012142230322681619252731333624210121416182426283038402481012141620222628303234362426810121424610122426244262628262681026286236[[#This Row],[Uso diário]]*5</f>
        <v>94</v>
      </c>
      <c r="Q7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3" s="25">
        <v>9</v>
      </c>
    </row>
    <row r="714" spans="1:20" s="26" customFormat="1" x14ac:dyDescent="0.25">
      <c r="A714" s="16">
        <v>220115</v>
      </c>
      <c r="B714" s="30" t="s">
        <v>354</v>
      </c>
      <c r="C714" s="20" t="s">
        <v>653</v>
      </c>
      <c r="D714" s="20" t="s">
        <v>891</v>
      </c>
      <c r="E714" s="20" t="s">
        <v>2942</v>
      </c>
      <c r="F714" s="20" t="s">
        <v>2943</v>
      </c>
      <c r="G714" s="21">
        <v>18.8</v>
      </c>
      <c r="H714" s="16">
        <v>26</v>
      </c>
      <c r="I714" s="16"/>
      <c r="J7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14" s="22"/>
      <c r="L714" s="23"/>
      <c r="M714" s="23">
        <f>SUM(Tabela174681012142230322681619252731333624210121416182426283038402481012141620222628303234362426810121424610122426244262628262681026286236[[#This Row],[Saldo no cartão]:[Recarga Pendente]])</f>
        <v>0</v>
      </c>
      <c r="N714" s="19">
        <f>Tabela174681012142230322681619252731333624210121416182426283038402481012141620222628303234362426810121424610122426244262628262681026286236[[#This Row],[Uso diário]]*2</f>
        <v>37.6</v>
      </c>
      <c r="O714" s="19">
        <f>Tabela174681012142230322681619252731333624210121416182426283038402481012141620222628303234362426810121424610122426244262628262681026286236[[#This Row],[Total Acumulado]]-P714</f>
        <v>-94</v>
      </c>
      <c r="P714" s="48">
        <f>Tabela174681012142230322681619252731333624210121416182426283038402481012141620222628303234362426810121424610122426244262628262681026286236[[#This Row],[Uso diário]]*5</f>
        <v>94</v>
      </c>
      <c r="Q7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4" s="25">
        <v>9</v>
      </c>
    </row>
    <row r="715" spans="1:20" s="26" customFormat="1" x14ac:dyDescent="0.25">
      <c r="A715" s="16">
        <v>224204</v>
      </c>
      <c r="B715" s="30" t="s">
        <v>1290</v>
      </c>
      <c r="C715" s="20" t="s">
        <v>653</v>
      </c>
      <c r="D715" s="20" t="s">
        <v>714</v>
      </c>
      <c r="E715" s="20" t="s">
        <v>2944</v>
      </c>
      <c r="F715" s="20" t="s">
        <v>2945</v>
      </c>
      <c r="G715" s="21">
        <v>18.8</v>
      </c>
      <c r="H715" s="16">
        <v>26</v>
      </c>
      <c r="I715" s="16">
        <v>6</v>
      </c>
      <c r="J7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715" s="22"/>
      <c r="L715" s="23"/>
      <c r="M715" s="23">
        <f>SUM(Tabela174681012142230322681619252731333624210121416182426283038402481012141620222628303234362426810121424610122426244262628262681026286236[[#This Row],[Saldo no cartão]:[Recarga Pendente]])</f>
        <v>0</v>
      </c>
      <c r="N715" s="19">
        <f>Tabela174681012142230322681619252731333624210121416182426283038402481012141620222628303234362426810121424610122426244262628262681026286236[[#This Row],[Uso diário]]*2</f>
        <v>37.6</v>
      </c>
      <c r="O715" s="19">
        <f>Tabela174681012142230322681619252731333624210121416182426283038402481012141620222628303234362426810121424610122426244262628262681026286236[[#This Row],[Total Acumulado]]-P715</f>
        <v>-94</v>
      </c>
      <c r="P715" s="48">
        <f>Tabela174681012142230322681619252731333624210121416182426283038402481012141620222628303234362426810121424610122426244262628262681026286236[[#This Row],[Uso diário]]*5</f>
        <v>94</v>
      </c>
      <c r="Q7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7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5" s="25">
        <v>9</v>
      </c>
    </row>
    <row r="716" spans="1:20" s="26" customFormat="1" x14ac:dyDescent="0.25">
      <c r="A716" s="16">
        <v>226533</v>
      </c>
      <c r="B716" s="30" t="s">
        <v>1203</v>
      </c>
      <c r="C716" s="20" t="s">
        <v>653</v>
      </c>
      <c r="D716" s="20" t="s">
        <v>891</v>
      </c>
      <c r="E716" s="20" t="s">
        <v>2946</v>
      </c>
      <c r="F716" s="20" t="s">
        <v>2947</v>
      </c>
      <c r="G716" s="21">
        <v>18.8</v>
      </c>
      <c r="H716" s="16">
        <v>26</v>
      </c>
      <c r="I716" s="16"/>
      <c r="J7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16" s="22"/>
      <c r="L716" s="23"/>
      <c r="M716" s="23">
        <f>SUM(Tabela174681012142230322681619252731333624210121416182426283038402481012141620222628303234362426810121424610122426244262628262681026286236[[#This Row],[Saldo no cartão]:[Recarga Pendente]])</f>
        <v>0</v>
      </c>
      <c r="N716" s="19">
        <f>Tabela174681012142230322681619252731333624210121416182426283038402481012141620222628303234362426810121424610122426244262628262681026286236[[#This Row],[Uso diário]]*2</f>
        <v>37.6</v>
      </c>
      <c r="O716" s="19">
        <f>Tabela174681012142230322681619252731333624210121416182426283038402481012141620222628303234362426810121424610122426244262628262681026286236[[#This Row],[Total Acumulado]]-P716</f>
        <v>-94</v>
      </c>
      <c r="P716" s="48">
        <f>Tabela174681012142230322681619252731333624210121416182426283038402481012141620222628303234362426810121424610122426244262628262681026286236[[#This Row],[Uso diário]]*5</f>
        <v>94</v>
      </c>
      <c r="Q7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6" s="25">
        <v>9</v>
      </c>
    </row>
    <row r="717" spans="1:20" s="26" customFormat="1" x14ac:dyDescent="0.25">
      <c r="A717" s="16">
        <v>231661</v>
      </c>
      <c r="B717" s="30" t="s">
        <v>1321</v>
      </c>
      <c r="C717" s="20" t="s">
        <v>653</v>
      </c>
      <c r="D717" s="20" t="s">
        <v>714</v>
      </c>
      <c r="E717" s="20" t="s">
        <v>2948</v>
      </c>
      <c r="F717" s="20" t="s">
        <v>2949</v>
      </c>
      <c r="G717" s="21">
        <v>18.8</v>
      </c>
      <c r="H717" s="16">
        <v>26</v>
      </c>
      <c r="I717" s="16"/>
      <c r="J7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17" s="22"/>
      <c r="L717" s="23"/>
      <c r="M717" s="23">
        <f>SUM(Tabela174681012142230322681619252731333624210121416182426283038402481012141620222628303234362426810121424610122426244262628262681026286236[[#This Row],[Saldo no cartão]:[Recarga Pendente]])</f>
        <v>0</v>
      </c>
      <c r="N717" s="19">
        <f>Tabela174681012142230322681619252731333624210121416182426283038402481012141620222628303234362426810121424610122426244262628262681026286236[[#This Row],[Uso diário]]*2</f>
        <v>37.6</v>
      </c>
      <c r="O717" s="19">
        <f>Tabela174681012142230322681619252731333624210121416182426283038402481012141620222628303234362426810121424610122426244262628262681026286236[[#This Row],[Total Acumulado]]-P717</f>
        <v>-94</v>
      </c>
      <c r="P717" s="48">
        <f>Tabela174681012142230322681619252731333624210121416182426283038402481012141620222628303234362426810121424610122426244262628262681026286236[[#This Row],[Uso diário]]*5</f>
        <v>94</v>
      </c>
      <c r="Q7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7" s="25">
        <v>9</v>
      </c>
    </row>
    <row r="718" spans="1:20" s="26" customFormat="1" x14ac:dyDescent="0.25">
      <c r="A718" s="16">
        <v>232980</v>
      </c>
      <c r="B718" s="30" t="s">
        <v>993</v>
      </c>
      <c r="C718" s="20" t="s">
        <v>653</v>
      </c>
      <c r="D718" s="20" t="s">
        <v>714</v>
      </c>
      <c r="E718" s="20" t="s">
        <v>2950</v>
      </c>
      <c r="F718" s="20" t="s">
        <v>2951</v>
      </c>
      <c r="G718" s="21">
        <v>10</v>
      </c>
      <c r="H718" s="16">
        <v>26</v>
      </c>
      <c r="I718" s="16"/>
      <c r="J7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18" s="22"/>
      <c r="L718" s="23"/>
      <c r="M718" s="23">
        <f>SUM(Tabela174681012142230322681619252731333624210121416182426283038402481012141620222628303234362426810121424610122426244262628262681026286236[[#This Row],[Saldo no cartão]:[Recarga Pendente]])</f>
        <v>0</v>
      </c>
      <c r="N718" s="19">
        <f>Tabela174681012142230322681619252731333624210121416182426283038402481012141620222628303234362426810121424610122426244262628262681026286236[[#This Row],[Uso diário]]*2</f>
        <v>20</v>
      </c>
      <c r="O718" s="19">
        <f>Tabela174681012142230322681619252731333624210121416182426283038402481012141620222628303234362426810121424610122426244262628262681026286236[[#This Row],[Total Acumulado]]-P718</f>
        <v>-50</v>
      </c>
      <c r="P718" s="48">
        <f>Tabela174681012142230322681619252731333624210121416182426283038402481012141620222628303234362426810121424610122426244262628262681026286236[[#This Row],[Uso diário]]*5</f>
        <v>50</v>
      </c>
      <c r="Q7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8" s="25">
        <v>9</v>
      </c>
    </row>
    <row r="719" spans="1:20" s="26" customFormat="1" x14ac:dyDescent="0.25">
      <c r="A719" s="16">
        <v>234345</v>
      </c>
      <c r="B719" s="30" t="s">
        <v>1291</v>
      </c>
      <c r="C719" s="20" t="s">
        <v>653</v>
      </c>
      <c r="D719" s="20" t="s">
        <v>714</v>
      </c>
      <c r="E719" s="20" t="s">
        <v>2952</v>
      </c>
      <c r="F719" s="20" t="s">
        <v>2953</v>
      </c>
      <c r="G719" s="21">
        <v>10</v>
      </c>
      <c r="H719" s="16">
        <v>26</v>
      </c>
      <c r="I719" s="16"/>
      <c r="J7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19" s="22"/>
      <c r="L719" s="23"/>
      <c r="M719" s="23">
        <f>SUM(Tabela174681012142230322681619252731333624210121416182426283038402481012141620222628303234362426810121424610122426244262628262681026286236[[#This Row],[Saldo no cartão]:[Recarga Pendente]])</f>
        <v>0</v>
      </c>
      <c r="N719" s="19">
        <f>Tabela174681012142230322681619252731333624210121416182426283038402481012141620222628303234362426810121424610122426244262628262681026286236[[#This Row],[Uso diário]]*2</f>
        <v>20</v>
      </c>
      <c r="O719" s="19">
        <f>Tabela174681012142230322681619252731333624210121416182426283038402481012141620222628303234362426810121424610122426244262628262681026286236[[#This Row],[Total Acumulado]]-P719</f>
        <v>-50</v>
      </c>
      <c r="P719" s="48">
        <f>Tabela174681012142230322681619252731333624210121416182426283038402481012141620222628303234362426810121424610122426244262628262681026286236[[#This Row],[Uso diário]]*5</f>
        <v>50</v>
      </c>
      <c r="Q7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19" s="25">
        <v>9</v>
      </c>
    </row>
    <row r="720" spans="1:20" s="26" customFormat="1" x14ac:dyDescent="0.25">
      <c r="A720" s="16">
        <v>216299</v>
      </c>
      <c r="B720" s="30" t="s">
        <v>1079</v>
      </c>
      <c r="C720" s="20" t="s">
        <v>654</v>
      </c>
      <c r="D720" s="20" t="s">
        <v>715</v>
      </c>
      <c r="E720" s="20" t="s">
        <v>2954</v>
      </c>
      <c r="F720" s="20" t="s">
        <v>2955</v>
      </c>
      <c r="G720" s="21">
        <v>10</v>
      </c>
      <c r="H720" s="16">
        <v>26</v>
      </c>
      <c r="I720" s="16"/>
      <c r="J7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20" s="22"/>
      <c r="L720" s="23"/>
      <c r="M720" s="23">
        <f>SUM(Tabela174681012142230322681619252731333624210121416182426283038402481012141620222628303234362426810121424610122426244262628262681026286236[[#This Row],[Saldo no cartão]:[Recarga Pendente]])</f>
        <v>0</v>
      </c>
      <c r="N720" s="19">
        <f>Tabela174681012142230322681619252731333624210121416182426283038402481012141620222628303234362426810121424610122426244262628262681026286236[[#This Row],[Uso diário]]*2</f>
        <v>20</v>
      </c>
      <c r="O720" s="19">
        <f>Tabela174681012142230322681619252731333624210121416182426283038402481012141620222628303234362426810121424610122426244262628262681026286236[[#This Row],[Total Acumulado]]-P720</f>
        <v>-50</v>
      </c>
      <c r="P720" s="48">
        <f>Tabela174681012142230322681619252731333624210121416182426283038402481012141620222628303234362426810121424610122426244262628262681026286236[[#This Row],[Uso diário]]*5</f>
        <v>50</v>
      </c>
      <c r="Q7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0" s="25">
        <v>9</v>
      </c>
    </row>
    <row r="721" spans="1:20" s="26" customFormat="1" x14ac:dyDescent="0.25">
      <c r="A721" s="16">
        <v>222480</v>
      </c>
      <c r="B721" s="30" t="s">
        <v>1322</v>
      </c>
      <c r="C721" s="20" t="s">
        <v>654</v>
      </c>
      <c r="D721" s="20" t="s">
        <v>745</v>
      </c>
      <c r="E721" s="20" t="s">
        <v>2956</v>
      </c>
      <c r="F721" s="20" t="s">
        <v>2957</v>
      </c>
      <c r="G721" s="21">
        <v>18.8</v>
      </c>
      <c r="H721" s="16">
        <v>26</v>
      </c>
      <c r="I721" s="16">
        <v>1</v>
      </c>
      <c r="J7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721" s="22"/>
      <c r="L721" s="23"/>
      <c r="M721" s="23">
        <f>SUM(Tabela174681012142230322681619252731333624210121416182426283038402481012141620222628303234362426810121424610122426244262628262681026286236[[#This Row],[Saldo no cartão]:[Recarga Pendente]])</f>
        <v>0</v>
      </c>
      <c r="N721" s="19">
        <f>Tabela174681012142230322681619252731333624210121416182426283038402481012141620222628303234362426810121424610122426244262628262681026286236[[#This Row],[Uso diário]]*2</f>
        <v>37.6</v>
      </c>
      <c r="O721" s="19">
        <f>Tabela174681012142230322681619252731333624210121416182426283038402481012141620222628303234362426810121424610122426244262628262681026286236[[#This Row],[Total Acumulado]]-P721</f>
        <v>-94</v>
      </c>
      <c r="P721" s="48">
        <f>Tabela174681012142230322681619252731333624210121416182426283038402481012141620222628303234362426810121424610122426244262628262681026286236[[#This Row],[Uso diário]]*5</f>
        <v>94</v>
      </c>
      <c r="Q7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7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1" s="25">
        <v>9</v>
      </c>
    </row>
    <row r="722" spans="1:20" s="26" customFormat="1" x14ac:dyDescent="0.25">
      <c r="A722" s="16">
        <v>228668</v>
      </c>
      <c r="B722" s="30" t="s">
        <v>1080</v>
      </c>
      <c r="C722" s="20" t="s">
        <v>654</v>
      </c>
      <c r="D722" s="20" t="s">
        <v>715</v>
      </c>
      <c r="E722" s="20" t="s">
        <v>2958</v>
      </c>
      <c r="F722" s="20" t="s">
        <v>2959</v>
      </c>
      <c r="G722" s="21">
        <v>10</v>
      </c>
      <c r="H722" s="16">
        <v>26</v>
      </c>
      <c r="I722" s="16"/>
      <c r="J7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22" s="22"/>
      <c r="L722" s="23"/>
      <c r="M722" s="23">
        <f>SUM(Tabela174681012142230322681619252731333624210121416182426283038402481012141620222628303234362426810121424610122426244262628262681026286236[[#This Row],[Saldo no cartão]:[Recarga Pendente]])</f>
        <v>0</v>
      </c>
      <c r="N722" s="19">
        <f>Tabela174681012142230322681619252731333624210121416182426283038402481012141620222628303234362426810121424610122426244262628262681026286236[[#This Row],[Uso diário]]*2</f>
        <v>20</v>
      </c>
      <c r="O722" s="19">
        <f>Tabela174681012142230322681619252731333624210121416182426283038402481012141620222628303234362426810121424610122426244262628262681026286236[[#This Row],[Total Acumulado]]-P722</f>
        <v>-50</v>
      </c>
      <c r="P722" s="48">
        <f>Tabela174681012142230322681619252731333624210121416182426283038402481012141620222628303234362426810121424610122426244262628262681026286236[[#This Row],[Uso diário]]*5</f>
        <v>50</v>
      </c>
      <c r="Q7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2" s="25">
        <v>9</v>
      </c>
    </row>
    <row r="723" spans="1:20" s="26" customFormat="1" x14ac:dyDescent="0.25">
      <c r="A723" s="16">
        <v>215646</v>
      </c>
      <c r="B723" s="30" t="s">
        <v>1467</v>
      </c>
      <c r="C723" s="20" t="s">
        <v>640</v>
      </c>
      <c r="D723" s="20" t="s">
        <v>702</v>
      </c>
      <c r="E723" s="20" t="s">
        <v>2960</v>
      </c>
      <c r="F723" s="20" t="s">
        <v>2961</v>
      </c>
      <c r="G723" s="21">
        <v>18.8</v>
      </c>
      <c r="H723" s="16">
        <v>26</v>
      </c>
      <c r="I723" s="16"/>
      <c r="J7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23" s="22"/>
      <c r="L723" s="23"/>
      <c r="M723" s="23">
        <f>SUM(Tabela174681012142230322681619252731333624210121416182426283038402481012141620222628303234362426810121424610122426244262628262681026286236[[#This Row],[Saldo no cartão]:[Recarga Pendente]])</f>
        <v>0</v>
      </c>
      <c r="N723" s="19">
        <f>Tabela174681012142230322681619252731333624210121416182426283038402481012141620222628303234362426810121424610122426244262628262681026286236[[#This Row],[Uso diário]]*2</f>
        <v>37.6</v>
      </c>
      <c r="O723" s="19">
        <f>Tabela174681012142230322681619252731333624210121416182426283038402481012141620222628303234362426810121424610122426244262628262681026286236[[#This Row],[Total Acumulado]]-P723</f>
        <v>-94</v>
      </c>
      <c r="P723" s="48">
        <f>Tabela174681012142230322681619252731333624210121416182426283038402481012141620222628303234362426810121424610122426244262628262681026286236[[#This Row],[Uso diário]]*5</f>
        <v>94</v>
      </c>
      <c r="Q7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3" s="25">
        <v>9</v>
      </c>
    </row>
    <row r="724" spans="1:20" s="26" customFormat="1" x14ac:dyDescent="0.25">
      <c r="A724" s="16">
        <v>234476</v>
      </c>
      <c r="B724" s="30" t="s">
        <v>1292</v>
      </c>
      <c r="C724" s="20" t="s">
        <v>640</v>
      </c>
      <c r="D724" s="20" t="s">
        <v>701</v>
      </c>
      <c r="E724" s="20" t="s">
        <v>2962</v>
      </c>
      <c r="F724" s="20" t="s">
        <v>2963</v>
      </c>
      <c r="G724" s="21">
        <v>10</v>
      </c>
      <c r="H724" s="16">
        <v>26</v>
      </c>
      <c r="I724" s="16"/>
      <c r="J7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24" s="22"/>
      <c r="L724" s="23"/>
      <c r="M724" s="23">
        <f>SUM(Tabela174681012142230322681619252731333624210121416182426283038402481012141620222628303234362426810121424610122426244262628262681026286236[[#This Row],[Saldo no cartão]:[Recarga Pendente]])</f>
        <v>0</v>
      </c>
      <c r="N724" s="19">
        <f>Tabela174681012142230322681619252731333624210121416182426283038402481012141620222628303234362426810121424610122426244262628262681026286236[[#This Row],[Uso diário]]*2</f>
        <v>20</v>
      </c>
      <c r="O724" s="19">
        <f>Tabela174681012142230322681619252731333624210121416182426283038402481012141620222628303234362426810121424610122426244262628262681026286236[[#This Row],[Total Acumulado]]-P724</f>
        <v>-50</v>
      </c>
      <c r="P724" s="48">
        <f>Tabela174681012142230322681619252731333624210121416182426283038402481012141620222628303234362426810121424610122426244262628262681026286236[[#This Row],[Uso diário]]*5</f>
        <v>50</v>
      </c>
      <c r="Q7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4" s="25">
        <v>9</v>
      </c>
    </row>
    <row r="725" spans="1:20" s="26" customFormat="1" x14ac:dyDescent="0.25">
      <c r="A725" s="16">
        <v>203709</v>
      </c>
      <c r="B725" s="30" t="s">
        <v>355</v>
      </c>
      <c r="C725" s="20" t="s">
        <v>655</v>
      </c>
      <c r="D725" s="20" t="s">
        <v>749</v>
      </c>
      <c r="E725" s="20" t="s">
        <v>2964</v>
      </c>
      <c r="F725" s="20" t="s">
        <v>2965</v>
      </c>
      <c r="G725" s="21">
        <v>18.8</v>
      </c>
      <c r="H725" s="16">
        <v>26</v>
      </c>
      <c r="I725" s="16">
        <v>1</v>
      </c>
      <c r="J7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725" s="22"/>
      <c r="L725" s="23"/>
      <c r="M725" s="23">
        <f>SUM(Tabela174681012142230322681619252731333624210121416182426283038402481012141620222628303234362426810121424610122426244262628262681026286236[[#This Row],[Saldo no cartão]:[Recarga Pendente]])</f>
        <v>0</v>
      </c>
      <c r="N725" s="19">
        <f>Tabela174681012142230322681619252731333624210121416182426283038402481012141620222628303234362426810121424610122426244262628262681026286236[[#This Row],[Uso diário]]*2</f>
        <v>37.6</v>
      </c>
      <c r="O725" s="19">
        <f>Tabela174681012142230322681619252731333624210121416182426283038402481012141620222628303234362426810121424610122426244262628262681026286236[[#This Row],[Total Acumulado]]-P725</f>
        <v>-94</v>
      </c>
      <c r="P725" s="48">
        <f>Tabela174681012142230322681619252731333624210121416182426283038402481012141620222628303234362426810121424610122426244262628262681026286236[[#This Row],[Uso diário]]*5</f>
        <v>94</v>
      </c>
      <c r="Q7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7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5" s="25">
        <v>9</v>
      </c>
    </row>
    <row r="726" spans="1:20" s="26" customFormat="1" x14ac:dyDescent="0.25">
      <c r="A726" s="16">
        <v>232385</v>
      </c>
      <c r="B726" s="30" t="s">
        <v>910</v>
      </c>
      <c r="C726" s="20" t="s">
        <v>655</v>
      </c>
      <c r="D726" s="20" t="s">
        <v>713</v>
      </c>
      <c r="E726" s="20" t="s">
        <v>2966</v>
      </c>
      <c r="F726" s="20" t="s">
        <v>2967</v>
      </c>
      <c r="G726" s="21">
        <v>10</v>
      </c>
      <c r="H726" s="16">
        <v>26</v>
      </c>
      <c r="I726" s="16">
        <v>1</v>
      </c>
      <c r="J7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726" s="22"/>
      <c r="L726" s="23"/>
      <c r="M726" s="23">
        <f>SUM(Tabela174681012142230322681619252731333624210121416182426283038402481012141620222628303234362426810121424610122426244262628262681026286236[[#This Row],[Saldo no cartão]:[Recarga Pendente]])</f>
        <v>0</v>
      </c>
      <c r="N726" s="19">
        <f>Tabela174681012142230322681619252731333624210121416182426283038402481012141620222628303234362426810121424610122426244262628262681026286236[[#This Row],[Uso diário]]*2</f>
        <v>20</v>
      </c>
      <c r="O726" s="19">
        <f>Tabela174681012142230322681619252731333624210121416182426283038402481012141620222628303234362426810121424610122426244262628262681026286236[[#This Row],[Total Acumulado]]-P726</f>
        <v>-50</v>
      </c>
      <c r="P726" s="48">
        <f>Tabela174681012142230322681619252731333624210121416182426283038402481012141620222628303234362426810121424610122426244262628262681026286236[[#This Row],[Uso diário]]*5</f>
        <v>50</v>
      </c>
      <c r="Q7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7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6" s="25">
        <v>9</v>
      </c>
    </row>
    <row r="727" spans="1:20" s="26" customFormat="1" x14ac:dyDescent="0.25">
      <c r="A727" s="16">
        <v>224262</v>
      </c>
      <c r="B727" s="30" t="s">
        <v>356</v>
      </c>
      <c r="C727" s="20" t="s">
        <v>641</v>
      </c>
      <c r="D727" s="20" t="s">
        <v>704</v>
      </c>
      <c r="E727" s="20" t="s">
        <v>2968</v>
      </c>
      <c r="F727" s="20" t="s">
        <v>2969</v>
      </c>
      <c r="G727" s="21">
        <v>10</v>
      </c>
      <c r="H727" s="16">
        <v>26</v>
      </c>
      <c r="I727" s="16"/>
      <c r="J7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27" s="22"/>
      <c r="L727" s="23"/>
      <c r="M727" s="23">
        <f>SUM(Tabela174681012142230322681619252731333624210121416182426283038402481012141620222628303234362426810121424610122426244262628262681026286236[[#This Row],[Saldo no cartão]:[Recarga Pendente]])</f>
        <v>0</v>
      </c>
      <c r="N727" s="19">
        <f>Tabela174681012142230322681619252731333624210121416182426283038402481012141620222628303234362426810121424610122426244262628262681026286236[[#This Row],[Uso diário]]*2</f>
        <v>20</v>
      </c>
      <c r="O727" s="19">
        <f>Tabela174681012142230322681619252731333624210121416182426283038402481012141620222628303234362426810121424610122426244262628262681026286236[[#This Row],[Total Acumulado]]-P727</f>
        <v>-50</v>
      </c>
      <c r="P727" s="48">
        <f>Tabela174681012142230322681619252731333624210121416182426283038402481012141620222628303234362426810121424610122426244262628262681026286236[[#This Row],[Uso diário]]*5</f>
        <v>50</v>
      </c>
      <c r="Q7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7" s="25">
        <v>9</v>
      </c>
    </row>
    <row r="728" spans="1:20" s="26" customFormat="1" x14ac:dyDescent="0.25">
      <c r="A728" s="16">
        <v>230434</v>
      </c>
      <c r="B728" s="30" t="s">
        <v>357</v>
      </c>
      <c r="C728" s="20" t="s">
        <v>641</v>
      </c>
      <c r="D728" s="20" t="s">
        <v>704</v>
      </c>
      <c r="E728" s="20" t="s">
        <v>2970</v>
      </c>
      <c r="F728" s="20" t="s">
        <v>2971</v>
      </c>
      <c r="G728" s="21">
        <v>10</v>
      </c>
      <c r="H728" s="16">
        <v>26</v>
      </c>
      <c r="I728" s="16"/>
      <c r="J7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28" s="22"/>
      <c r="L728" s="23"/>
      <c r="M728" s="23">
        <f>SUM(Tabela174681012142230322681619252731333624210121416182426283038402481012141620222628303234362426810121424610122426244262628262681026286236[[#This Row],[Saldo no cartão]:[Recarga Pendente]])</f>
        <v>0</v>
      </c>
      <c r="N728" s="19">
        <f>Tabela174681012142230322681619252731333624210121416182426283038402481012141620222628303234362426810121424610122426244262628262681026286236[[#This Row],[Uso diário]]*2</f>
        <v>20</v>
      </c>
      <c r="O728" s="19">
        <f>Tabela174681012142230322681619252731333624210121416182426283038402481012141620222628303234362426810121424610122426244262628262681026286236[[#This Row],[Total Acumulado]]-P728</f>
        <v>-50</v>
      </c>
      <c r="P728" s="48">
        <f>Tabela174681012142230322681619252731333624210121416182426283038402481012141620222628303234362426810121424610122426244262628262681026286236[[#This Row],[Uso diário]]*5</f>
        <v>50</v>
      </c>
      <c r="Q7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8" s="25">
        <v>9</v>
      </c>
    </row>
    <row r="729" spans="1:20" s="26" customFormat="1" x14ac:dyDescent="0.25">
      <c r="A729" s="16">
        <v>232594</v>
      </c>
      <c r="B729" s="30" t="s">
        <v>942</v>
      </c>
      <c r="C729" s="20" t="s">
        <v>641</v>
      </c>
      <c r="D729" s="20" t="s">
        <v>704</v>
      </c>
      <c r="E729" s="20" t="s">
        <v>2972</v>
      </c>
      <c r="F729" s="20" t="s">
        <v>2973</v>
      </c>
      <c r="G729" s="21">
        <v>10</v>
      </c>
      <c r="H729" s="16">
        <v>26</v>
      </c>
      <c r="I729" s="16"/>
      <c r="J7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29" s="22"/>
      <c r="L729" s="23"/>
      <c r="M729" s="23">
        <f>SUM(Tabela174681012142230322681619252731333624210121416182426283038402481012141620222628303234362426810121424610122426244262628262681026286236[[#This Row],[Saldo no cartão]:[Recarga Pendente]])</f>
        <v>0</v>
      </c>
      <c r="N729" s="19">
        <f>Tabela174681012142230322681619252731333624210121416182426283038402481012141620222628303234362426810121424610122426244262628262681026286236[[#This Row],[Uso diário]]*2</f>
        <v>20</v>
      </c>
      <c r="O729" s="19">
        <f>Tabela174681012142230322681619252731333624210121416182426283038402481012141620222628303234362426810121424610122426244262628262681026286236[[#This Row],[Total Acumulado]]-P729</f>
        <v>-50</v>
      </c>
      <c r="P729" s="48">
        <f>Tabela174681012142230322681619252731333624210121416182426283038402481012141620222628303234362426810121424610122426244262628262681026286236[[#This Row],[Uso diário]]*5</f>
        <v>50</v>
      </c>
      <c r="Q7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29" s="25">
        <v>9</v>
      </c>
    </row>
    <row r="730" spans="1:20" s="26" customFormat="1" x14ac:dyDescent="0.25">
      <c r="A730" s="16">
        <v>234599</v>
      </c>
      <c r="B730" s="30" t="s">
        <v>1370</v>
      </c>
      <c r="C730" s="20" t="s">
        <v>641</v>
      </c>
      <c r="D730" s="20" t="s">
        <v>704</v>
      </c>
      <c r="E730" s="20" t="s">
        <v>2974</v>
      </c>
      <c r="F730" s="20" t="s">
        <v>2975</v>
      </c>
      <c r="G730" s="21">
        <v>10</v>
      </c>
      <c r="H730" s="16">
        <v>26</v>
      </c>
      <c r="I730" s="16"/>
      <c r="J7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30" s="22"/>
      <c r="L730" s="23"/>
      <c r="M730" s="23">
        <f>SUM(Tabela174681012142230322681619252731333624210121416182426283038402481012141620222628303234362426810121424610122426244262628262681026286236[[#This Row],[Saldo no cartão]:[Recarga Pendente]])</f>
        <v>0</v>
      </c>
      <c r="N730" s="19">
        <f>Tabela174681012142230322681619252731333624210121416182426283038402481012141620222628303234362426810121424610122426244262628262681026286236[[#This Row],[Uso diário]]*2</f>
        <v>20</v>
      </c>
      <c r="O730" s="19">
        <f>Tabela174681012142230322681619252731333624210121416182426283038402481012141620222628303234362426810121424610122426244262628262681026286236[[#This Row],[Total Acumulado]]-P730</f>
        <v>-50</v>
      </c>
      <c r="P730" s="48">
        <f>Tabela174681012142230322681619252731333624210121416182426283038402481012141620222628303234362426810121424610122426244262628262681026286236[[#This Row],[Uso diário]]*5</f>
        <v>50</v>
      </c>
      <c r="Q7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0" s="25">
        <v>9</v>
      </c>
    </row>
    <row r="731" spans="1:20" s="26" customFormat="1" x14ac:dyDescent="0.25">
      <c r="A731" s="16">
        <v>231112</v>
      </c>
      <c r="B731" s="30" t="s">
        <v>1468</v>
      </c>
      <c r="C731" s="20" t="s">
        <v>645</v>
      </c>
      <c r="D731" s="20" t="s">
        <v>711</v>
      </c>
      <c r="E731" s="20" t="s">
        <v>2976</v>
      </c>
      <c r="F731" s="20" t="s">
        <v>2977</v>
      </c>
      <c r="G731" s="21">
        <v>10</v>
      </c>
      <c r="H731" s="16">
        <v>26</v>
      </c>
      <c r="I731" s="16"/>
      <c r="J7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31" s="22"/>
      <c r="L731" s="23"/>
      <c r="M731" s="23">
        <f>SUM(Tabela174681012142230322681619252731333624210121416182426283038402481012141620222628303234362426810121424610122426244262628262681026286236[[#This Row],[Saldo no cartão]:[Recarga Pendente]])</f>
        <v>0</v>
      </c>
      <c r="N731" s="19">
        <f>Tabela174681012142230322681619252731333624210121416182426283038402481012141620222628303234362426810121424610122426244262628262681026286236[[#This Row],[Uso diário]]*2</f>
        <v>20</v>
      </c>
      <c r="O731" s="19">
        <f>Tabela174681012142230322681619252731333624210121416182426283038402481012141620222628303234362426810121424610122426244262628262681026286236[[#This Row],[Total Acumulado]]-P731</f>
        <v>-50</v>
      </c>
      <c r="P731" s="48">
        <f>Tabela174681012142230322681619252731333624210121416182426283038402481012141620222628303234362426810121424610122426244262628262681026286236[[#This Row],[Uso diário]]*5</f>
        <v>50</v>
      </c>
      <c r="Q7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1" s="25">
        <v>9</v>
      </c>
    </row>
    <row r="732" spans="1:20" s="26" customFormat="1" x14ac:dyDescent="0.25">
      <c r="A732" s="16">
        <v>226297</v>
      </c>
      <c r="B732" s="30" t="s">
        <v>406</v>
      </c>
      <c r="C732" s="20" t="s">
        <v>649</v>
      </c>
      <c r="D732" s="20" t="s">
        <v>750</v>
      </c>
      <c r="E732" s="20" t="s">
        <v>2978</v>
      </c>
      <c r="F732" s="20" t="s">
        <v>2979</v>
      </c>
      <c r="G732" s="21">
        <v>18.8</v>
      </c>
      <c r="H732" s="16">
        <v>26</v>
      </c>
      <c r="I732" s="16"/>
      <c r="J7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32" s="22"/>
      <c r="L732" s="23"/>
      <c r="M732" s="23">
        <f>SUM(Tabela174681012142230322681619252731333624210121416182426283038402481012141620222628303234362426810121424610122426244262628262681026286236[[#This Row],[Saldo no cartão]:[Recarga Pendente]])</f>
        <v>0</v>
      </c>
      <c r="N732" s="19">
        <f>Tabela174681012142230322681619252731333624210121416182426283038402481012141620222628303234362426810121424610122426244262628262681026286236[[#This Row],[Uso diário]]*2</f>
        <v>37.6</v>
      </c>
      <c r="O732" s="19">
        <f>Tabela174681012142230322681619252731333624210121416182426283038402481012141620222628303234362426810121424610122426244262628262681026286236[[#This Row],[Total Acumulado]]-P732</f>
        <v>-94</v>
      </c>
      <c r="P732" s="48">
        <f>Tabela174681012142230322681619252731333624210121416182426283038402481012141620222628303234362426810121424610122426244262628262681026286236[[#This Row],[Uso diário]]*5</f>
        <v>94</v>
      </c>
      <c r="Q7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2" s="25">
        <v>10</v>
      </c>
    </row>
    <row r="733" spans="1:20" s="26" customFormat="1" x14ac:dyDescent="0.25">
      <c r="A733" s="16">
        <v>220582</v>
      </c>
      <c r="B733" s="30" t="s">
        <v>1469</v>
      </c>
      <c r="C733" s="20" t="s">
        <v>651</v>
      </c>
      <c r="D733" s="20" t="s">
        <v>719</v>
      </c>
      <c r="E733" s="20" t="s">
        <v>2980</v>
      </c>
      <c r="F733" s="20" t="s">
        <v>2981</v>
      </c>
      <c r="G733" s="21">
        <v>13.4</v>
      </c>
      <c r="H733" s="16">
        <v>16</v>
      </c>
      <c r="I733" s="16"/>
      <c r="J7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733" s="22"/>
      <c r="L733" s="23"/>
      <c r="M733" s="23">
        <f>SUM(Tabela174681012142230322681619252731333624210121416182426283038402481012141620222628303234362426810121424610122426244262628262681026286236[[#This Row],[Saldo no cartão]:[Recarga Pendente]])</f>
        <v>0</v>
      </c>
      <c r="N733" s="19">
        <f>Tabela174681012142230322681619252731333624210121416182426283038402481012141620222628303234362426810121424610122426244262628262681026286236[[#This Row],[Uso diário]]*2</f>
        <v>26.8</v>
      </c>
      <c r="O733" s="19">
        <f>Tabela174681012142230322681619252731333624210121416182426283038402481012141620222628303234362426810121424610122426244262628262681026286236[[#This Row],[Total Acumulado]]-P733</f>
        <v>-67</v>
      </c>
      <c r="P733" s="48">
        <f>Tabela174681012142230322681619252731333624210121416182426283038402481012141620222628303234362426810121424610122426244262628262681026286236[[#This Row],[Uso diário]]*5</f>
        <v>67</v>
      </c>
      <c r="Q7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7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3" s="25">
        <v>10</v>
      </c>
    </row>
    <row r="734" spans="1:20" s="26" customFormat="1" x14ac:dyDescent="0.25">
      <c r="A734" s="16">
        <v>232597</v>
      </c>
      <c r="B734" s="30" t="s">
        <v>943</v>
      </c>
      <c r="C734" s="20" t="s">
        <v>651</v>
      </c>
      <c r="D734" s="20" t="s">
        <v>719</v>
      </c>
      <c r="E734" s="20" t="s">
        <v>2982</v>
      </c>
      <c r="F734" s="20" t="s">
        <v>2983</v>
      </c>
      <c r="G734" s="21">
        <v>13.4</v>
      </c>
      <c r="H734" s="16">
        <v>16</v>
      </c>
      <c r="I734" s="16">
        <v>1</v>
      </c>
      <c r="J7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734" s="22"/>
      <c r="L734" s="23"/>
      <c r="M734" s="23">
        <f>SUM(Tabela174681012142230322681619252731333624210121416182426283038402481012141620222628303234362426810121424610122426244262628262681026286236[[#This Row],[Saldo no cartão]:[Recarga Pendente]])</f>
        <v>0</v>
      </c>
      <c r="N734" s="19">
        <f>Tabela174681012142230322681619252731333624210121416182426283038402481012141620222628303234362426810121424610122426244262628262681026286236[[#This Row],[Uso diário]]*2</f>
        <v>26.8</v>
      </c>
      <c r="O734" s="19">
        <f>Tabela174681012142230322681619252731333624210121416182426283038402481012141620222628303234362426810121424610122426244262628262681026286236[[#This Row],[Total Acumulado]]-P734</f>
        <v>-67</v>
      </c>
      <c r="P734" s="48">
        <f>Tabela174681012142230322681619252731333624210121416182426283038402481012141620222628303234362426810121424610122426244262628262681026286236[[#This Row],[Uso diário]]*5</f>
        <v>67</v>
      </c>
      <c r="Q7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7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4" s="25">
        <v>10</v>
      </c>
    </row>
    <row r="735" spans="1:20" s="26" customFormat="1" x14ac:dyDescent="0.25">
      <c r="A735" s="16">
        <v>231903</v>
      </c>
      <c r="B735" s="30" t="s">
        <v>832</v>
      </c>
      <c r="C735" s="20" t="s">
        <v>636</v>
      </c>
      <c r="D735" s="20" t="s">
        <v>729</v>
      </c>
      <c r="E735" s="20" t="s">
        <v>2984</v>
      </c>
      <c r="F735" s="20" t="s">
        <v>2985</v>
      </c>
      <c r="G735" s="21">
        <v>9.4</v>
      </c>
      <c r="H735" s="16">
        <v>22</v>
      </c>
      <c r="I735" s="16">
        <v>4</v>
      </c>
      <c r="J7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169.20000000000002</v>
      </c>
      <c r="K735" s="22"/>
      <c r="L735" s="23"/>
      <c r="M735" s="23">
        <f>SUM(Tabela174681012142230322681619252731333624210121416182426283038402481012141620222628303234362426810121424610122426244262628262681026286236[[#This Row],[Saldo no cartão]:[Recarga Pendente]])</f>
        <v>0</v>
      </c>
      <c r="N735" s="19">
        <f>Tabela174681012142230322681619252731333624210121416182426283038402481012141620222628303234362426810121424610122426244262628262681026286236[[#This Row],[Uso diário]]*2</f>
        <v>18.8</v>
      </c>
      <c r="O735" s="19">
        <f>Tabela174681012142230322681619252731333624210121416182426283038402481012141620222628303234362426810121424610122426244262628262681026286236[[#This Row],[Total Acumulado]]-P735</f>
        <v>-47</v>
      </c>
      <c r="P735" s="48">
        <f>Tabela174681012142230322681619252731333624210121416182426283038402481012141620222628303234362426810121424610122426244262628262681026286236[[#This Row],[Uso diário]]*5</f>
        <v>47</v>
      </c>
      <c r="Q7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169.20000000000002</v>
      </c>
      <c r="S7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5" s="25">
        <v>10</v>
      </c>
    </row>
    <row r="736" spans="1:20" s="26" customFormat="1" x14ac:dyDescent="0.25">
      <c r="A736" s="16">
        <v>232412</v>
      </c>
      <c r="B736" s="30" t="s">
        <v>911</v>
      </c>
      <c r="C736" s="20" t="s">
        <v>636</v>
      </c>
      <c r="D736" s="20" t="s">
        <v>729</v>
      </c>
      <c r="E736" s="20" t="s">
        <v>2986</v>
      </c>
      <c r="F736" s="20" t="s">
        <v>2987</v>
      </c>
      <c r="G736" s="21">
        <v>18.8</v>
      </c>
      <c r="H736" s="16">
        <v>22</v>
      </c>
      <c r="I736" s="16"/>
      <c r="J7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36" s="22"/>
      <c r="L736" s="23"/>
      <c r="M736" s="23">
        <f>SUM(Tabela174681012142230322681619252731333624210121416182426283038402481012141620222628303234362426810121424610122426244262628262681026286236[[#This Row],[Saldo no cartão]:[Recarga Pendente]])</f>
        <v>0</v>
      </c>
      <c r="N736" s="19">
        <f>Tabela174681012142230322681619252731333624210121416182426283038402481012141620222628303234362426810121424610122426244262628262681026286236[[#This Row],[Uso diário]]*2</f>
        <v>37.6</v>
      </c>
      <c r="O736" s="19">
        <f>Tabela174681012142230322681619252731333624210121416182426283038402481012141620222628303234362426810121424610122426244262628262681026286236[[#This Row],[Total Acumulado]]-P736</f>
        <v>-94</v>
      </c>
      <c r="P736" s="48">
        <f>Tabela174681012142230322681619252731333624210121416182426283038402481012141620222628303234362426810121424610122426244262628262681026286236[[#This Row],[Uso diário]]*5</f>
        <v>94</v>
      </c>
      <c r="Q7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6" s="25">
        <v>10</v>
      </c>
    </row>
    <row r="737" spans="1:20" s="26" customFormat="1" x14ac:dyDescent="0.25">
      <c r="A737" s="16">
        <v>232413</v>
      </c>
      <c r="B737" s="30" t="s">
        <v>912</v>
      </c>
      <c r="C737" s="20" t="s">
        <v>636</v>
      </c>
      <c r="D737" s="20" t="s">
        <v>729</v>
      </c>
      <c r="E737" s="20" t="s">
        <v>2988</v>
      </c>
      <c r="F737" s="20" t="s">
        <v>2989</v>
      </c>
      <c r="G737" s="21">
        <v>9.4</v>
      </c>
      <c r="H737" s="16">
        <v>22</v>
      </c>
      <c r="I737" s="16">
        <v>1</v>
      </c>
      <c r="J7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197.4</v>
      </c>
      <c r="K737" s="22"/>
      <c r="L737" s="23"/>
      <c r="M737" s="23">
        <f>SUM(Tabela174681012142230322681619252731333624210121416182426283038402481012141620222628303234362426810121424610122426244262628262681026286236[[#This Row],[Saldo no cartão]:[Recarga Pendente]])</f>
        <v>0</v>
      </c>
      <c r="N737" s="19">
        <f>Tabela174681012142230322681619252731333624210121416182426283038402481012141620222628303234362426810121424610122426244262628262681026286236[[#This Row],[Uso diário]]*2</f>
        <v>18.8</v>
      </c>
      <c r="O737" s="19">
        <f>Tabela174681012142230322681619252731333624210121416182426283038402481012141620222628303234362426810121424610122426244262628262681026286236[[#This Row],[Total Acumulado]]-P737</f>
        <v>-47</v>
      </c>
      <c r="P737" s="48">
        <f>Tabela174681012142230322681619252731333624210121416182426283038402481012141620222628303234362426810121424610122426244262628262681026286236[[#This Row],[Uso diário]]*5</f>
        <v>47</v>
      </c>
      <c r="Q7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197.4</v>
      </c>
      <c r="S7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7" s="25">
        <v>10</v>
      </c>
    </row>
    <row r="738" spans="1:20" s="26" customFormat="1" x14ac:dyDescent="0.25">
      <c r="A738" s="16">
        <v>233021</v>
      </c>
      <c r="B738" s="30" t="s">
        <v>994</v>
      </c>
      <c r="C738" s="20" t="s">
        <v>636</v>
      </c>
      <c r="D738" s="20" t="s">
        <v>729</v>
      </c>
      <c r="E738" s="20" t="s">
        <v>2990</v>
      </c>
      <c r="F738" s="20" t="s">
        <v>2991</v>
      </c>
      <c r="G738" s="21">
        <v>9.4</v>
      </c>
      <c r="H738" s="16">
        <v>22</v>
      </c>
      <c r="I738" s="16">
        <v>1</v>
      </c>
      <c r="J7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197.4</v>
      </c>
      <c r="K738" s="22"/>
      <c r="L738" s="23"/>
      <c r="M738" s="23">
        <f>SUM(Tabela174681012142230322681619252731333624210121416182426283038402481012141620222628303234362426810121424610122426244262628262681026286236[[#This Row],[Saldo no cartão]:[Recarga Pendente]])</f>
        <v>0</v>
      </c>
      <c r="N738" s="19">
        <f>Tabela174681012142230322681619252731333624210121416182426283038402481012141620222628303234362426810121424610122426244262628262681026286236[[#This Row],[Uso diário]]*2</f>
        <v>18.8</v>
      </c>
      <c r="O738" s="19">
        <f>Tabela174681012142230322681619252731333624210121416182426283038402481012141620222628303234362426810121424610122426244262628262681026286236[[#This Row],[Total Acumulado]]-P738</f>
        <v>-47</v>
      </c>
      <c r="P738" s="48">
        <f>Tabela174681012142230322681619252731333624210121416182426283038402481012141620222628303234362426810121424610122426244262628262681026286236[[#This Row],[Uso diário]]*5</f>
        <v>47</v>
      </c>
      <c r="Q7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197.4</v>
      </c>
      <c r="S7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8" s="25">
        <v>10</v>
      </c>
    </row>
    <row r="739" spans="1:20" s="26" customFormat="1" x14ac:dyDescent="0.25">
      <c r="A739" s="16">
        <v>233022</v>
      </c>
      <c r="B739" s="30" t="s">
        <v>995</v>
      </c>
      <c r="C739" s="20" t="s">
        <v>636</v>
      </c>
      <c r="D739" s="20" t="s">
        <v>729</v>
      </c>
      <c r="E739" s="20" t="s">
        <v>2992</v>
      </c>
      <c r="F739" s="20" t="s">
        <v>2993</v>
      </c>
      <c r="G739" s="21">
        <v>9.4</v>
      </c>
      <c r="H739" s="16">
        <v>22</v>
      </c>
      <c r="I739" s="16"/>
      <c r="J7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739" s="22"/>
      <c r="L739" s="23"/>
      <c r="M739" s="23">
        <f>SUM(Tabela174681012142230322681619252731333624210121416182426283038402481012141620222628303234362426810121424610122426244262628262681026286236[[#This Row],[Saldo no cartão]:[Recarga Pendente]])</f>
        <v>0</v>
      </c>
      <c r="N739" s="19">
        <f>Tabela174681012142230322681619252731333624210121416182426283038402481012141620222628303234362426810121424610122426244262628262681026286236[[#This Row],[Uso diário]]*2</f>
        <v>18.8</v>
      </c>
      <c r="O739" s="19">
        <f>Tabela174681012142230322681619252731333624210121416182426283038402481012141620222628303234362426810121424610122426244262628262681026286236[[#This Row],[Total Acumulado]]-P739</f>
        <v>-47</v>
      </c>
      <c r="P739" s="48">
        <f>Tabela174681012142230322681619252731333624210121416182426283038402481012141620222628303234362426810121424610122426244262628262681026286236[[#This Row],[Uso diário]]*5</f>
        <v>47</v>
      </c>
      <c r="Q7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7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39" s="25">
        <v>10</v>
      </c>
    </row>
    <row r="740" spans="1:20" s="26" customFormat="1" x14ac:dyDescent="0.25">
      <c r="A740" s="16">
        <v>233403</v>
      </c>
      <c r="B740" s="30" t="s">
        <v>1082</v>
      </c>
      <c r="C740" s="20" t="s">
        <v>654</v>
      </c>
      <c r="D740" s="20" t="s">
        <v>715</v>
      </c>
      <c r="E740" s="20" t="s">
        <v>2994</v>
      </c>
      <c r="F740" s="20" t="s">
        <v>2995</v>
      </c>
      <c r="G740" s="21">
        <v>13.4</v>
      </c>
      <c r="H740" s="16">
        <v>26</v>
      </c>
      <c r="I740" s="16"/>
      <c r="J7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740" s="22"/>
      <c r="L740" s="23"/>
      <c r="M740" s="23">
        <f>SUM(Tabela174681012142230322681619252731333624210121416182426283038402481012141620222628303234362426810121424610122426244262628262681026286236[[#This Row],[Saldo no cartão]:[Recarga Pendente]])</f>
        <v>0</v>
      </c>
      <c r="N740" s="19">
        <f>Tabela174681012142230322681619252731333624210121416182426283038402481012141620222628303234362426810121424610122426244262628262681026286236[[#This Row],[Uso diário]]*2</f>
        <v>26.8</v>
      </c>
      <c r="O740" s="19">
        <f>Tabela174681012142230322681619252731333624210121416182426283038402481012141620222628303234362426810121424610122426244262628262681026286236[[#This Row],[Total Acumulado]]-P740</f>
        <v>-67</v>
      </c>
      <c r="P740" s="48">
        <f>Tabela174681012142230322681619252731333624210121416182426283038402481012141620222628303234362426810121424610122426244262628262681026286236[[#This Row],[Uso diário]]*5</f>
        <v>67</v>
      </c>
      <c r="Q7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7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0" s="25">
        <v>10</v>
      </c>
    </row>
    <row r="741" spans="1:20" s="26" customFormat="1" x14ac:dyDescent="0.25">
      <c r="A741" s="16">
        <v>213280</v>
      </c>
      <c r="B741" s="30" t="s">
        <v>360</v>
      </c>
      <c r="C741" s="20" t="s">
        <v>641</v>
      </c>
      <c r="D741" s="20" t="s">
        <v>744</v>
      </c>
      <c r="E741" s="20" t="s">
        <v>2996</v>
      </c>
      <c r="F741" s="20" t="s">
        <v>2997</v>
      </c>
      <c r="G741" s="21">
        <v>18.8</v>
      </c>
      <c r="H741" s="16">
        <v>26</v>
      </c>
      <c r="I741" s="16"/>
      <c r="J7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41" s="22"/>
      <c r="L741" s="23"/>
      <c r="M741" s="23">
        <f>SUM(Tabela174681012142230322681619252731333624210121416182426283038402481012141620222628303234362426810121424610122426244262628262681026286236[[#This Row],[Saldo no cartão]:[Recarga Pendente]])</f>
        <v>0</v>
      </c>
      <c r="N741" s="19">
        <f>Tabela174681012142230322681619252731333624210121416182426283038402481012141620222628303234362426810121424610122426244262628262681026286236[[#This Row],[Uso diário]]*2</f>
        <v>37.6</v>
      </c>
      <c r="O741" s="19">
        <f>Tabela174681012142230322681619252731333624210121416182426283038402481012141620222628303234362426810121424610122426244262628262681026286236[[#This Row],[Total Acumulado]]-P741</f>
        <v>-94</v>
      </c>
      <c r="P741" s="48">
        <f>Tabela174681012142230322681619252731333624210121416182426283038402481012141620222628303234362426810121424610122426244262628262681026286236[[#This Row],[Uso diário]]*5</f>
        <v>94</v>
      </c>
      <c r="Q7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1" s="25">
        <v>10</v>
      </c>
    </row>
    <row r="742" spans="1:20" s="26" customFormat="1" x14ac:dyDescent="0.25">
      <c r="A742" s="16">
        <v>223671</v>
      </c>
      <c r="B742" s="30" t="s">
        <v>361</v>
      </c>
      <c r="C742" s="20" t="s">
        <v>641</v>
      </c>
      <c r="D742" s="20" t="s">
        <v>705</v>
      </c>
      <c r="E742" s="20" t="s">
        <v>2998</v>
      </c>
      <c r="F742" s="20" t="s">
        <v>2999</v>
      </c>
      <c r="G742" s="21">
        <v>13.4</v>
      </c>
      <c r="H742" s="16">
        <v>26</v>
      </c>
      <c r="I742" s="16"/>
      <c r="J7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742" s="22"/>
      <c r="L742" s="23">
        <v>11.9</v>
      </c>
      <c r="M742" s="23">
        <f>SUM(Tabela174681012142230322681619252731333624210121416182426283038402481012141620222628303234362426810121424610122426244262628262681026286236[[#This Row],[Saldo no cartão]:[Recarga Pendente]])</f>
        <v>11.9</v>
      </c>
      <c r="N742" s="19">
        <f>Tabela174681012142230322681619252731333624210121416182426283038402481012141620222628303234362426810121424610122426244262628262681026286236[[#This Row],[Uso diário]]*2</f>
        <v>26.8</v>
      </c>
      <c r="O742" s="19">
        <f>Tabela174681012142230322681619252731333624210121416182426283038402481012141620222628303234362426810121424610122426244262628262681026286236[[#This Row],[Total Acumulado]]-P742</f>
        <v>-55.1</v>
      </c>
      <c r="P742" s="48">
        <f>Tabela174681012142230322681619252731333624210121416182426283038402481012141620222628303234362426810121424610122426244262628262681026286236[[#This Row],[Uso diário]]*5</f>
        <v>67</v>
      </c>
      <c r="Q7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7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2" s="25">
        <v>10</v>
      </c>
    </row>
    <row r="743" spans="1:20" s="26" customFormat="1" x14ac:dyDescent="0.25">
      <c r="A743" s="16">
        <v>80036</v>
      </c>
      <c r="B743" s="30" t="s">
        <v>1204</v>
      </c>
      <c r="C743" s="20" t="s">
        <v>647</v>
      </c>
      <c r="D743" s="20" t="s">
        <v>722</v>
      </c>
      <c r="E743" s="20" t="s">
        <v>3000</v>
      </c>
      <c r="F743" s="20" t="s">
        <v>3001</v>
      </c>
      <c r="G743" s="21">
        <v>18.8</v>
      </c>
      <c r="H743" s="16">
        <v>26</v>
      </c>
      <c r="I743" s="16"/>
      <c r="J7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43" s="22"/>
      <c r="L743" s="23"/>
      <c r="M743" s="23">
        <f>SUM(Tabela174681012142230322681619252731333624210121416182426283038402481012141620222628303234362426810121424610122426244262628262681026286236[[#This Row],[Saldo no cartão]:[Recarga Pendente]])</f>
        <v>0</v>
      </c>
      <c r="N743" s="19">
        <f>Tabela174681012142230322681619252731333624210121416182426283038402481012141620222628303234362426810121424610122426244262628262681026286236[[#This Row],[Uso diário]]*2</f>
        <v>37.6</v>
      </c>
      <c r="O743" s="19">
        <f>Tabela174681012142230322681619252731333624210121416182426283038402481012141620222628303234362426810121424610122426244262628262681026286236[[#This Row],[Total Acumulado]]-P743</f>
        <v>-94</v>
      </c>
      <c r="P743" s="48">
        <f>Tabela174681012142230322681619252731333624210121416182426283038402481012141620222628303234362426810121424610122426244262628262681026286236[[#This Row],[Uso diário]]*5</f>
        <v>94</v>
      </c>
      <c r="Q7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3" s="25">
        <v>11</v>
      </c>
    </row>
    <row r="744" spans="1:20" s="26" customFormat="1" x14ac:dyDescent="0.25">
      <c r="A744" s="16">
        <v>223368</v>
      </c>
      <c r="B744" s="30" t="s">
        <v>1470</v>
      </c>
      <c r="C744" s="20" t="s">
        <v>630</v>
      </c>
      <c r="D744" s="20" t="s">
        <v>736</v>
      </c>
      <c r="E744" s="20" t="s">
        <v>3002</v>
      </c>
      <c r="F744" s="20" t="s">
        <v>3003</v>
      </c>
      <c r="G744" s="21">
        <v>25.5</v>
      </c>
      <c r="H744" s="16">
        <v>22</v>
      </c>
      <c r="I744" s="16"/>
      <c r="J7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561</v>
      </c>
      <c r="K744" s="22"/>
      <c r="L744" s="23"/>
      <c r="M744" s="23">
        <f>SUM(Tabela174681012142230322681619252731333624210121416182426283038402481012141620222628303234362426810121424610122426244262628262681026286236[[#This Row],[Saldo no cartão]:[Recarga Pendente]])</f>
        <v>0</v>
      </c>
      <c r="N744" s="19">
        <f>Tabela174681012142230322681619252731333624210121416182426283038402481012141620222628303234362426810121424610122426244262628262681026286236[[#This Row],[Uso diário]]*2</f>
        <v>51</v>
      </c>
      <c r="O744" s="19">
        <f>Tabela174681012142230322681619252731333624210121416182426283038402481012141620222628303234362426810121424610122426244262628262681026286236[[#This Row],[Total Acumulado]]-P744</f>
        <v>-127.5</v>
      </c>
      <c r="P744" s="48">
        <f>Tabela174681012142230322681619252731333624210121416182426283038402481012141620222628303234362426810121424610122426244262628262681026286236[[#This Row],[Uso diário]]*5</f>
        <v>127.5</v>
      </c>
      <c r="Q7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561</v>
      </c>
      <c r="S7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4" s="25">
        <v>11</v>
      </c>
    </row>
    <row r="745" spans="1:20" s="26" customFormat="1" x14ac:dyDescent="0.25">
      <c r="A745" s="16">
        <v>235096</v>
      </c>
      <c r="B745" s="30" t="s">
        <v>1471</v>
      </c>
      <c r="C745" s="20" t="s">
        <v>650</v>
      </c>
      <c r="D745" s="20" t="s">
        <v>726</v>
      </c>
      <c r="E745" s="20" t="e">
        <v>#N/A</v>
      </c>
      <c r="F745" s="20" t="e">
        <v>#N/A</v>
      </c>
      <c r="G745" s="21">
        <v>10</v>
      </c>
      <c r="H745" s="16">
        <v>26</v>
      </c>
      <c r="I745" s="16"/>
      <c r="J7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45" s="22"/>
      <c r="L745" s="23"/>
      <c r="M745" s="23">
        <f>SUM(Tabela174681012142230322681619252731333624210121416182426283038402481012141620222628303234362426810121424610122426244262628262681026286236[[#This Row],[Saldo no cartão]:[Recarga Pendente]])</f>
        <v>0</v>
      </c>
      <c r="N745" s="19">
        <f>Tabela174681012142230322681619252731333624210121416182426283038402481012141620222628303234362426810121424610122426244262628262681026286236[[#This Row],[Uso diário]]*2</f>
        <v>20</v>
      </c>
      <c r="O745" s="19">
        <f>Tabela174681012142230322681619252731333624210121416182426283038402481012141620222628303234362426810121424610122426244262628262681026286236[[#This Row],[Total Acumulado]]-P745</f>
        <v>-50</v>
      </c>
      <c r="P745" s="48">
        <f>Tabela174681012142230322681619252731333624210121416182426283038402481012141620222628303234362426810121424610122426244262628262681026286236[[#This Row],[Uso diário]]*5</f>
        <v>50</v>
      </c>
      <c r="Q7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5" s="25">
        <v>11</v>
      </c>
    </row>
    <row r="746" spans="1:20" s="26" customFormat="1" x14ac:dyDescent="0.25">
      <c r="A746" s="16">
        <v>223943</v>
      </c>
      <c r="B746" s="30" t="s">
        <v>363</v>
      </c>
      <c r="C746" s="20" t="s">
        <v>651</v>
      </c>
      <c r="D746" s="20" t="s">
        <v>719</v>
      </c>
      <c r="E746" s="20" t="s">
        <v>3004</v>
      </c>
      <c r="F746" s="20" t="s">
        <v>3005</v>
      </c>
      <c r="G746" s="21">
        <v>10</v>
      </c>
      <c r="H746" s="16">
        <v>16</v>
      </c>
      <c r="I746" s="16"/>
      <c r="J7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46" s="22"/>
      <c r="L746" s="23"/>
      <c r="M746" s="23">
        <f>SUM(Tabela174681012142230322681619252731333624210121416182426283038402481012141620222628303234362426810121424610122426244262628262681026286236[[#This Row],[Saldo no cartão]:[Recarga Pendente]])</f>
        <v>0</v>
      </c>
      <c r="N746" s="19">
        <f>Tabela174681012142230322681619252731333624210121416182426283038402481012141620222628303234362426810121424610122426244262628262681026286236[[#This Row],[Uso diário]]*2</f>
        <v>20</v>
      </c>
      <c r="O746" s="19">
        <f>Tabela174681012142230322681619252731333624210121416182426283038402481012141620222628303234362426810121424610122426244262628262681026286236[[#This Row],[Total Acumulado]]-P746</f>
        <v>-50</v>
      </c>
      <c r="P746" s="48">
        <f>Tabela174681012142230322681619252731333624210121416182426283038402481012141620222628303234362426810121424610122426244262628262681026286236[[#This Row],[Uso diário]]*5</f>
        <v>50</v>
      </c>
      <c r="Q7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6" s="25">
        <v>11</v>
      </c>
    </row>
    <row r="747" spans="1:20" s="26" customFormat="1" x14ac:dyDescent="0.25">
      <c r="A747" s="16">
        <v>232086</v>
      </c>
      <c r="B747" s="30" t="s">
        <v>833</v>
      </c>
      <c r="C747" s="20" t="s">
        <v>651</v>
      </c>
      <c r="D747" s="20" t="s">
        <v>716</v>
      </c>
      <c r="E747" s="20" t="s">
        <v>3006</v>
      </c>
      <c r="F747" s="20" t="s">
        <v>3007</v>
      </c>
      <c r="G747" s="21">
        <v>10</v>
      </c>
      <c r="H747" s="16">
        <v>16</v>
      </c>
      <c r="I747" s="16">
        <v>1</v>
      </c>
      <c r="J7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</v>
      </c>
      <c r="K747" s="22"/>
      <c r="L747" s="23"/>
      <c r="M747" s="23">
        <f>SUM(Tabela174681012142230322681619252731333624210121416182426283038402481012141620222628303234362426810121424610122426244262628262681026286236[[#This Row],[Saldo no cartão]:[Recarga Pendente]])</f>
        <v>0</v>
      </c>
      <c r="N747" s="19">
        <f>Tabela174681012142230322681619252731333624210121416182426283038402481012141620222628303234362426810121424610122426244262628262681026286236[[#This Row],[Uso diário]]*2</f>
        <v>20</v>
      </c>
      <c r="O747" s="19">
        <f>Tabela174681012142230322681619252731333624210121416182426283038402481012141620222628303234362426810121424610122426244262628262681026286236[[#This Row],[Total Acumulado]]-P747</f>
        <v>-50</v>
      </c>
      <c r="P747" s="48">
        <f>Tabela174681012142230322681619252731333624210121416182426283038402481012141620222628303234362426810121424610122426244262628262681026286236[[#This Row],[Uso diário]]*5</f>
        <v>50</v>
      </c>
      <c r="Q7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</v>
      </c>
      <c r="S7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7" s="25">
        <v>11</v>
      </c>
    </row>
    <row r="748" spans="1:20" s="26" customFormat="1" x14ac:dyDescent="0.25">
      <c r="A748" s="16">
        <v>214801</v>
      </c>
      <c r="B748" s="30" t="s">
        <v>792</v>
      </c>
      <c r="C748" s="20" t="s">
        <v>652</v>
      </c>
      <c r="D748" s="20" t="s">
        <v>728</v>
      </c>
      <c r="E748" s="20" t="s">
        <v>3008</v>
      </c>
      <c r="F748" s="20" t="s">
        <v>3009</v>
      </c>
      <c r="G748" s="21">
        <v>44.1</v>
      </c>
      <c r="H748" s="16">
        <v>26</v>
      </c>
      <c r="I748" s="16"/>
      <c r="J7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1146.6000000000001</v>
      </c>
      <c r="K748" s="22"/>
      <c r="L748" s="23"/>
      <c r="M748" s="23">
        <f>SUM(Tabela174681012142230322681619252731333624210121416182426283038402481012141620222628303234362426810121424610122426244262628262681026286236[[#This Row],[Saldo no cartão]:[Recarga Pendente]])</f>
        <v>0</v>
      </c>
      <c r="N748" s="19">
        <f>Tabela174681012142230322681619252731333624210121416182426283038402481012141620222628303234362426810121424610122426244262628262681026286236[[#This Row],[Uso diário]]*2</f>
        <v>88.2</v>
      </c>
      <c r="O748" s="19">
        <f>Tabela174681012142230322681619252731333624210121416182426283038402481012141620222628303234362426810121424610122426244262628262681026286236[[#This Row],[Total Acumulado]]-P748</f>
        <v>-220.5</v>
      </c>
      <c r="P748" s="48">
        <f>Tabela174681012142230322681619252731333624210121416182426283038402481012141620222628303234362426810121424610122426244262628262681026286236[[#This Row],[Uso diário]]*5</f>
        <v>220.5</v>
      </c>
      <c r="Q7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1146.6000000000001</v>
      </c>
      <c r="S7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8" s="25">
        <v>11</v>
      </c>
    </row>
    <row r="749" spans="1:20" s="26" customFormat="1" x14ac:dyDescent="0.25">
      <c r="A749" s="16">
        <v>218636</v>
      </c>
      <c r="B749" s="30" t="s">
        <v>1323</v>
      </c>
      <c r="C749" s="20" t="s">
        <v>635</v>
      </c>
      <c r="D749" s="20" t="s">
        <v>689</v>
      </c>
      <c r="E749" s="20" t="s">
        <v>3010</v>
      </c>
      <c r="F749" s="20" t="s">
        <v>3011</v>
      </c>
      <c r="G749" s="21">
        <v>18.8</v>
      </c>
      <c r="H749" s="16">
        <v>22</v>
      </c>
      <c r="I749" s="16"/>
      <c r="J7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49" s="22"/>
      <c r="L749" s="23"/>
      <c r="M749" s="23">
        <f>SUM(Tabela174681012142230322681619252731333624210121416182426283038402481012141620222628303234362426810121424610122426244262628262681026286236[[#This Row],[Saldo no cartão]:[Recarga Pendente]])</f>
        <v>0</v>
      </c>
      <c r="N749" s="19">
        <f>Tabela174681012142230322681619252731333624210121416182426283038402481012141620222628303234362426810121424610122426244262628262681026286236[[#This Row],[Uso diário]]*2</f>
        <v>37.6</v>
      </c>
      <c r="O749" s="19">
        <f>Tabela174681012142230322681619252731333624210121416182426283038402481012141620222628303234362426810121424610122426244262628262681026286236[[#This Row],[Total Acumulado]]-P749</f>
        <v>-94</v>
      </c>
      <c r="P749" s="48">
        <f>Tabela174681012142230322681619252731333624210121416182426283038402481012141620222628303234362426810121424610122426244262628262681026286236[[#This Row],[Uso diário]]*5</f>
        <v>94</v>
      </c>
      <c r="Q7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49" s="25">
        <v>11</v>
      </c>
    </row>
    <row r="750" spans="1:20" s="26" customFormat="1" x14ac:dyDescent="0.25">
      <c r="A750" s="16">
        <v>221555</v>
      </c>
      <c r="B750" s="30" t="s">
        <v>1088</v>
      </c>
      <c r="C750" s="20" t="s">
        <v>654</v>
      </c>
      <c r="D750" s="20" t="s">
        <v>745</v>
      </c>
      <c r="E750" s="20" t="s">
        <v>3012</v>
      </c>
      <c r="F750" s="20" t="s">
        <v>3013</v>
      </c>
      <c r="G750" s="21">
        <v>10</v>
      </c>
      <c r="H750" s="16">
        <v>29</v>
      </c>
      <c r="I750" s="16"/>
      <c r="J7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290</v>
      </c>
      <c r="K750" s="22"/>
      <c r="L750" s="23"/>
      <c r="M750" s="23">
        <f>SUM(Tabela174681012142230322681619252731333624210121416182426283038402481012141620222628303234362426810121424610122426244262628262681026286236[[#This Row],[Saldo no cartão]:[Recarga Pendente]])</f>
        <v>0</v>
      </c>
      <c r="N750" s="19">
        <f>Tabela174681012142230322681619252731333624210121416182426283038402481012141620222628303234362426810121424610122426244262628262681026286236[[#This Row],[Uso diário]]*2</f>
        <v>20</v>
      </c>
      <c r="O750" s="19">
        <f>Tabela174681012142230322681619252731333624210121416182426283038402481012141620222628303234362426810121424610122426244262628262681026286236[[#This Row],[Total Acumulado]]-P750</f>
        <v>-50</v>
      </c>
      <c r="P750" s="48">
        <f>Tabela174681012142230322681619252731333624210121416182426283038402481012141620222628303234362426810121424610122426244262628262681026286236[[#This Row],[Uso diário]]*5</f>
        <v>50</v>
      </c>
      <c r="Q7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290</v>
      </c>
      <c r="S7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0" s="25">
        <v>11</v>
      </c>
    </row>
    <row r="751" spans="1:20" s="26" customFormat="1" x14ac:dyDescent="0.25">
      <c r="A751" s="16">
        <v>234854</v>
      </c>
      <c r="B751" s="30" t="s">
        <v>1472</v>
      </c>
      <c r="C751" s="20" t="s">
        <v>641</v>
      </c>
      <c r="D751" s="20" t="s">
        <v>704</v>
      </c>
      <c r="E751" s="20" t="s">
        <v>3014</v>
      </c>
      <c r="F751" s="20" t="s">
        <v>3015</v>
      </c>
      <c r="G751" s="21">
        <v>10</v>
      </c>
      <c r="H751" s="16">
        <v>26</v>
      </c>
      <c r="I751" s="16">
        <v>2</v>
      </c>
      <c r="J7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240</v>
      </c>
      <c r="K751" s="22"/>
      <c r="L751" s="23">
        <v>50</v>
      </c>
      <c r="M751" s="23">
        <f>SUM(Tabela174681012142230322681619252731333624210121416182426283038402481012141620222628303234362426810121424610122426244262628262681026286236[[#This Row],[Saldo no cartão]:[Recarga Pendente]])</f>
        <v>50</v>
      </c>
      <c r="N751" s="19">
        <f>Tabela174681012142230322681619252731333624210121416182426283038402481012141620222628303234362426810121424610122426244262628262681026286236[[#This Row],[Uso diário]]*2</f>
        <v>20</v>
      </c>
      <c r="O751" s="19">
        <f>Tabela174681012142230322681619252731333624210121416182426283038402481012141620222628303234362426810121424610122426244262628262681026286236[[#This Row],[Total Acumulado]]-P751</f>
        <v>0</v>
      </c>
      <c r="P751" s="48">
        <f>Tabela174681012142230322681619252731333624210121416182426283038402481012141620222628303234362426810121424610122426244262628262681026286236[[#This Row],[Uso diário]]*5</f>
        <v>50</v>
      </c>
      <c r="Q7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240</v>
      </c>
      <c r="S7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1" s="25">
        <v>11</v>
      </c>
    </row>
    <row r="752" spans="1:20" s="26" customFormat="1" x14ac:dyDescent="0.25">
      <c r="A752" s="16">
        <v>234855</v>
      </c>
      <c r="B752" s="30" t="s">
        <v>1473</v>
      </c>
      <c r="C752" s="20" t="s">
        <v>641</v>
      </c>
      <c r="D752" s="20" t="s">
        <v>704</v>
      </c>
      <c r="E752" s="20" t="s">
        <v>3016</v>
      </c>
      <c r="F752" s="20" t="s">
        <v>3017</v>
      </c>
      <c r="G752" s="21">
        <v>10</v>
      </c>
      <c r="H752" s="16">
        <v>26</v>
      </c>
      <c r="I752" s="16">
        <v>1</v>
      </c>
      <c r="J7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752" s="22"/>
      <c r="L752" s="23"/>
      <c r="M752" s="23">
        <f>SUM(Tabela174681012142230322681619252731333624210121416182426283038402481012141620222628303234362426810121424610122426244262628262681026286236[[#This Row],[Saldo no cartão]:[Recarga Pendente]])</f>
        <v>0</v>
      </c>
      <c r="N752" s="19">
        <f>Tabela174681012142230322681619252731333624210121416182426283038402481012141620222628303234362426810121424610122426244262628262681026286236[[#This Row],[Uso diário]]*2</f>
        <v>20</v>
      </c>
      <c r="O752" s="19">
        <f>Tabela174681012142230322681619252731333624210121416182426283038402481012141620222628303234362426810121424610122426244262628262681026286236[[#This Row],[Total Acumulado]]-P752</f>
        <v>-50</v>
      </c>
      <c r="P752" s="48">
        <f>Tabela174681012142230322681619252731333624210121416182426283038402481012141620222628303234362426810121424610122426244262628262681026286236[[#This Row],[Uso diário]]*5</f>
        <v>50</v>
      </c>
      <c r="Q7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7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2" s="25">
        <v>11</v>
      </c>
    </row>
    <row r="753" spans="1:20" s="26" customFormat="1" x14ac:dyDescent="0.25">
      <c r="A753" s="16">
        <v>211129</v>
      </c>
      <c r="B753" s="30" t="s">
        <v>364</v>
      </c>
      <c r="C753" s="20" t="s">
        <v>629</v>
      </c>
      <c r="D753" s="20" t="s">
        <v>682</v>
      </c>
      <c r="E753" s="20" t="s">
        <v>3018</v>
      </c>
      <c r="F753" s="20" t="s">
        <v>3019</v>
      </c>
      <c r="G753" s="21">
        <v>18.8</v>
      </c>
      <c r="H753" s="16">
        <v>26</v>
      </c>
      <c r="I753" s="16"/>
      <c r="J7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53" s="22"/>
      <c r="L753" s="23"/>
      <c r="M753" s="23">
        <f>SUM(Tabela174681012142230322681619252731333624210121416182426283038402481012141620222628303234362426810121424610122426244262628262681026286236[[#This Row],[Saldo no cartão]:[Recarga Pendente]])</f>
        <v>0</v>
      </c>
      <c r="N753" s="19">
        <f>Tabela174681012142230322681619252731333624210121416182426283038402481012141620222628303234362426810121424610122426244262628262681026286236[[#This Row],[Uso diário]]*2</f>
        <v>37.6</v>
      </c>
      <c r="O753" s="19">
        <f>Tabela174681012142230322681619252731333624210121416182426283038402481012141620222628303234362426810121424610122426244262628262681026286236[[#This Row],[Total Acumulado]]-P753</f>
        <v>-94</v>
      </c>
      <c r="P753" s="48">
        <f>Tabela174681012142230322681619252731333624210121416182426283038402481012141620222628303234362426810121424610122426244262628262681026286236[[#This Row],[Uso diário]]*5</f>
        <v>94</v>
      </c>
      <c r="Q7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3" s="25">
        <v>12</v>
      </c>
    </row>
    <row r="754" spans="1:20" s="26" customFormat="1" x14ac:dyDescent="0.25">
      <c r="A754" s="16">
        <v>211835</v>
      </c>
      <c r="B754" s="30" t="s">
        <v>366</v>
      </c>
      <c r="C754" s="20" t="s">
        <v>648</v>
      </c>
      <c r="D754" s="20" t="s">
        <v>718</v>
      </c>
      <c r="E754" s="20" t="s">
        <v>3020</v>
      </c>
      <c r="F754" s="20" t="s">
        <v>3021</v>
      </c>
      <c r="G754" s="21">
        <v>18.8</v>
      </c>
      <c r="H754" s="16">
        <v>26</v>
      </c>
      <c r="I754" s="16"/>
      <c r="J7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54" s="22"/>
      <c r="L754" s="23"/>
      <c r="M754" s="23">
        <f>SUM(Tabela174681012142230322681619252731333624210121416182426283038402481012141620222628303234362426810121424610122426244262628262681026286236[[#This Row],[Saldo no cartão]:[Recarga Pendente]])</f>
        <v>0</v>
      </c>
      <c r="N754" s="19">
        <f>Tabela174681012142230322681619252731333624210121416182426283038402481012141620222628303234362426810121424610122426244262628262681026286236[[#This Row],[Uso diário]]*2</f>
        <v>37.6</v>
      </c>
      <c r="O754" s="19">
        <f>Tabela174681012142230322681619252731333624210121416182426283038402481012141620222628303234362426810121424610122426244262628262681026286236[[#This Row],[Total Acumulado]]-P754</f>
        <v>-94</v>
      </c>
      <c r="P754" s="48">
        <f>Tabela174681012142230322681619252731333624210121416182426283038402481012141620222628303234362426810121424610122426244262628262681026286236[[#This Row],[Uso diário]]*5</f>
        <v>94</v>
      </c>
      <c r="Q7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4" s="25">
        <v>12</v>
      </c>
    </row>
    <row r="755" spans="1:20" s="26" customFormat="1" x14ac:dyDescent="0.25">
      <c r="A755" s="16">
        <v>223410</v>
      </c>
      <c r="B755" s="30" t="s">
        <v>1474</v>
      </c>
      <c r="C755" s="20" t="s">
        <v>650</v>
      </c>
      <c r="D755" s="20" t="s">
        <v>738</v>
      </c>
      <c r="E755" s="20" t="s">
        <v>3022</v>
      </c>
      <c r="F755" s="20" t="s">
        <v>3023</v>
      </c>
      <c r="G755" s="21">
        <v>18.8</v>
      </c>
      <c r="H755" s="16">
        <v>26</v>
      </c>
      <c r="I755" s="16"/>
      <c r="J7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55" s="22"/>
      <c r="L755" s="23"/>
      <c r="M755" s="23">
        <f>SUM(Tabela174681012142230322681619252731333624210121416182426283038402481012141620222628303234362426810121424610122426244262628262681026286236[[#This Row],[Saldo no cartão]:[Recarga Pendente]])</f>
        <v>0</v>
      </c>
      <c r="N755" s="19">
        <f>Tabela174681012142230322681619252731333624210121416182426283038402481012141620222628303234362426810121424610122426244262628262681026286236[[#This Row],[Uso diário]]*2</f>
        <v>37.6</v>
      </c>
      <c r="O755" s="19">
        <f>Tabela174681012142230322681619252731333624210121416182426283038402481012141620222628303234362426810121424610122426244262628262681026286236[[#This Row],[Total Acumulado]]-P755</f>
        <v>-94</v>
      </c>
      <c r="P755" s="48">
        <f>Tabela174681012142230322681619252731333624210121416182426283038402481012141620222628303234362426810121424610122426244262628262681026286236[[#This Row],[Uso diário]]*5</f>
        <v>94</v>
      </c>
      <c r="Q7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5" s="25">
        <v>12</v>
      </c>
    </row>
    <row r="756" spans="1:20" s="26" customFormat="1" x14ac:dyDescent="0.25">
      <c r="A756" s="16">
        <v>213382</v>
      </c>
      <c r="B756" s="30" t="s">
        <v>77</v>
      </c>
      <c r="C756" s="20" t="s">
        <v>635</v>
      </c>
      <c r="D756" s="20" t="s">
        <v>689</v>
      </c>
      <c r="E756" s="20" t="s">
        <v>3024</v>
      </c>
      <c r="F756" s="20" t="s">
        <v>3025</v>
      </c>
      <c r="G756" s="21">
        <v>18.8</v>
      </c>
      <c r="H756" s="16">
        <v>22</v>
      </c>
      <c r="I756" s="16"/>
      <c r="J7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756" s="22"/>
      <c r="L756" s="23"/>
      <c r="M756" s="23">
        <f>SUM(Tabela174681012142230322681619252731333624210121416182426283038402481012141620222628303234362426810121424610122426244262628262681026286236[[#This Row],[Saldo no cartão]:[Recarga Pendente]])</f>
        <v>0</v>
      </c>
      <c r="N756" s="19">
        <f>Tabela174681012142230322681619252731333624210121416182426283038402481012141620222628303234362426810121424610122426244262628262681026286236[[#This Row],[Uso diário]]*2</f>
        <v>37.6</v>
      </c>
      <c r="O756" s="19">
        <f>Tabela174681012142230322681619252731333624210121416182426283038402481012141620222628303234362426810121424610122426244262628262681026286236[[#This Row],[Total Acumulado]]-P756</f>
        <v>-94</v>
      </c>
      <c r="P756" s="48">
        <f>Tabela174681012142230322681619252731333624210121416182426283038402481012141620222628303234362426810121424610122426244262628262681026286236[[#This Row],[Uso diário]]*5</f>
        <v>94</v>
      </c>
      <c r="Q7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7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6" s="25">
        <v>12</v>
      </c>
    </row>
    <row r="757" spans="1:20" s="26" customFormat="1" x14ac:dyDescent="0.25">
      <c r="A757" s="16">
        <v>218600</v>
      </c>
      <c r="B757" s="30" t="s">
        <v>367</v>
      </c>
      <c r="C757" s="20" t="s">
        <v>635</v>
      </c>
      <c r="D757" s="20" t="s">
        <v>689</v>
      </c>
      <c r="E757" s="20" t="s">
        <v>3026</v>
      </c>
      <c r="F757" s="20" t="s">
        <v>3027</v>
      </c>
      <c r="G757" s="21">
        <v>18.8</v>
      </c>
      <c r="H757" s="16">
        <v>26</v>
      </c>
      <c r="I757" s="16"/>
      <c r="J7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57" s="22"/>
      <c r="L757" s="23"/>
      <c r="M757" s="23">
        <f>SUM(Tabela174681012142230322681619252731333624210121416182426283038402481012141620222628303234362426810121424610122426244262628262681026286236[[#This Row],[Saldo no cartão]:[Recarga Pendente]])</f>
        <v>0</v>
      </c>
      <c r="N757" s="19">
        <f>Tabela174681012142230322681619252731333624210121416182426283038402481012141620222628303234362426810121424610122426244262628262681026286236[[#This Row],[Uso diário]]*2</f>
        <v>37.6</v>
      </c>
      <c r="O757" s="19">
        <f>Tabela174681012142230322681619252731333624210121416182426283038402481012141620222628303234362426810121424610122426244262628262681026286236[[#This Row],[Total Acumulado]]-P757</f>
        <v>-94</v>
      </c>
      <c r="P757" s="48">
        <f>Tabela174681012142230322681619252731333624210121416182426283038402481012141620222628303234362426810121424610122426244262628262681026286236[[#This Row],[Uso diário]]*5</f>
        <v>94</v>
      </c>
      <c r="Q7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7" s="25">
        <v>12</v>
      </c>
    </row>
    <row r="758" spans="1:20" s="26" customFormat="1" x14ac:dyDescent="0.25">
      <c r="A758" s="16">
        <v>206100</v>
      </c>
      <c r="B758" s="30" t="s">
        <v>368</v>
      </c>
      <c r="C758" s="20" t="s">
        <v>654</v>
      </c>
      <c r="D758" s="20" t="s">
        <v>731</v>
      </c>
      <c r="E758" s="20" t="s">
        <v>3028</v>
      </c>
      <c r="F758" s="20" t="s">
        <v>3029</v>
      </c>
      <c r="G758" s="21">
        <v>18.8</v>
      </c>
      <c r="H758" s="16">
        <v>26</v>
      </c>
      <c r="I758" s="16"/>
      <c r="J7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58" s="22"/>
      <c r="L758" s="23"/>
      <c r="M758" s="23">
        <f>SUM(Tabela174681012142230322681619252731333624210121416182426283038402481012141620222628303234362426810121424610122426244262628262681026286236[[#This Row],[Saldo no cartão]:[Recarga Pendente]])</f>
        <v>0</v>
      </c>
      <c r="N758" s="19">
        <f>Tabela174681012142230322681619252731333624210121416182426283038402481012141620222628303234362426810121424610122426244262628262681026286236[[#This Row],[Uso diário]]*2</f>
        <v>37.6</v>
      </c>
      <c r="O758" s="19">
        <f>Tabela174681012142230322681619252731333624210121416182426283038402481012141620222628303234362426810121424610122426244262628262681026286236[[#This Row],[Total Acumulado]]-P758</f>
        <v>-94</v>
      </c>
      <c r="P758" s="48">
        <f>Tabela174681012142230322681619252731333624210121416182426283038402481012141620222628303234362426810121424610122426244262628262681026286236[[#This Row],[Uso diário]]*5</f>
        <v>94</v>
      </c>
      <c r="Q7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8" s="25">
        <v>12</v>
      </c>
    </row>
    <row r="759" spans="1:20" s="26" customFormat="1" x14ac:dyDescent="0.25">
      <c r="A759" s="16">
        <v>210564</v>
      </c>
      <c r="B759" s="30" t="s">
        <v>369</v>
      </c>
      <c r="C759" s="20" t="s">
        <v>654</v>
      </c>
      <c r="D759" s="20" t="s">
        <v>731</v>
      </c>
      <c r="E759" s="20" t="s">
        <v>3030</v>
      </c>
      <c r="F759" s="20" t="s">
        <v>3031</v>
      </c>
      <c r="G759" s="21">
        <v>18.8</v>
      </c>
      <c r="H759" s="16">
        <v>26</v>
      </c>
      <c r="I759" s="16">
        <v>1</v>
      </c>
      <c r="J7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759" s="22"/>
      <c r="L759" s="23"/>
      <c r="M759" s="23">
        <f>SUM(Tabela174681012142230322681619252731333624210121416182426283038402481012141620222628303234362426810121424610122426244262628262681026286236[[#This Row],[Saldo no cartão]:[Recarga Pendente]])</f>
        <v>0</v>
      </c>
      <c r="N759" s="19">
        <f>Tabela174681012142230322681619252731333624210121416182426283038402481012141620222628303234362426810121424610122426244262628262681026286236[[#This Row],[Uso diário]]*2</f>
        <v>37.6</v>
      </c>
      <c r="O759" s="19">
        <f>Tabela174681012142230322681619252731333624210121416182426283038402481012141620222628303234362426810121424610122426244262628262681026286236[[#This Row],[Total Acumulado]]-P759</f>
        <v>-94</v>
      </c>
      <c r="P759" s="48">
        <f>Tabela174681012142230322681619252731333624210121416182426283038402481012141620222628303234362426810121424610122426244262628262681026286236[[#This Row],[Uso diário]]*5</f>
        <v>94</v>
      </c>
      <c r="Q7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7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59" s="25">
        <v>12</v>
      </c>
    </row>
    <row r="760" spans="1:20" s="26" customFormat="1" x14ac:dyDescent="0.25">
      <c r="A760" s="16">
        <v>206444</v>
      </c>
      <c r="B760" s="30" t="s">
        <v>370</v>
      </c>
      <c r="C760" s="20" t="s">
        <v>641</v>
      </c>
      <c r="D760" s="20" t="s">
        <v>705</v>
      </c>
      <c r="E760" s="20" t="s">
        <v>3032</v>
      </c>
      <c r="F760" s="20" t="s">
        <v>3033</v>
      </c>
      <c r="G760" s="21">
        <v>18.8</v>
      </c>
      <c r="H760" s="16">
        <v>26</v>
      </c>
      <c r="I760" s="16"/>
      <c r="J7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60" s="22"/>
      <c r="L760" s="23"/>
      <c r="M760" s="23">
        <f>SUM(Tabela174681012142230322681619252731333624210121416182426283038402481012141620222628303234362426810121424610122426244262628262681026286236[[#This Row],[Saldo no cartão]:[Recarga Pendente]])</f>
        <v>0</v>
      </c>
      <c r="N760" s="19">
        <f>Tabela174681012142230322681619252731333624210121416182426283038402481012141620222628303234362426810121424610122426244262628262681026286236[[#This Row],[Uso diário]]*2</f>
        <v>37.6</v>
      </c>
      <c r="O760" s="19">
        <f>Tabela174681012142230322681619252731333624210121416182426283038402481012141620222628303234362426810121424610122426244262628262681026286236[[#This Row],[Total Acumulado]]-P760</f>
        <v>-94</v>
      </c>
      <c r="P760" s="48">
        <f>Tabela174681012142230322681619252731333624210121416182426283038402481012141620222628303234362426810121424610122426244262628262681026286236[[#This Row],[Uso diário]]*5</f>
        <v>94</v>
      </c>
      <c r="Q7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0" s="25">
        <v>12</v>
      </c>
    </row>
    <row r="761" spans="1:20" s="26" customFormat="1" x14ac:dyDescent="0.25">
      <c r="A761" s="16">
        <v>212568</v>
      </c>
      <c r="B761" s="30" t="s">
        <v>372</v>
      </c>
      <c r="C761" s="20" t="s">
        <v>647</v>
      </c>
      <c r="D761" s="20" t="s">
        <v>722</v>
      </c>
      <c r="E761" s="20" t="s">
        <v>3034</v>
      </c>
      <c r="F761" s="20" t="s">
        <v>3035</v>
      </c>
      <c r="G761" s="21">
        <v>18.8</v>
      </c>
      <c r="H761" s="16">
        <v>26</v>
      </c>
      <c r="I761" s="16">
        <v>3</v>
      </c>
      <c r="J7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761" s="22"/>
      <c r="L761" s="23">
        <v>18.8</v>
      </c>
      <c r="M761" s="23">
        <f>SUM(Tabela174681012142230322681619252731333624210121416182426283038402481012141620222628303234362426810121424610122426244262628262681026286236[[#This Row],[Saldo no cartão]:[Recarga Pendente]])</f>
        <v>18.8</v>
      </c>
      <c r="N761" s="19">
        <f>Tabela174681012142230322681619252731333624210121416182426283038402481012141620222628303234362426810121424610122426244262628262681026286236[[#This Row],[Uso diário]]*2</f>
        <v>37.6</v>
      </c>
      <c r="O761" s="19">
        <f>Tabela174681012142230322681619252731333624210121416182426283038402481012141620222628303234362426810121424610122426244262628262681026286236[[#This Row],[Total Acumulado]]-P761</f>
        <v>-75.2</v>
      </c>
      <c r="P761" s="48">
        <f>Tabela174681012142230322681619252731333624210121416182426283038402481012141620222628303234362426810121424610122426244262628262681026286236[[#This Row],[Uso diário]]*5</f>
        <v>94</v>
      </c>
      <c r="Q7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7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1" s="25">
        <v>13</v>
      </c>
    </row>
    <row r="762" spans="1:20" s="26" customFormat="1" x14ac:dyDescent="0.25">
      <c r="A762" s="16">
        <v>213059</v>
      </c>
      <c r="B762" s="30" t="s">
        <v>373</v>
      </c>
      <c r="C762" s="20" t="s">
        <v>647</v>
      </c>
      <c r="D762" s="20" t="s">
        <v>722</v>
      </c>
      <c r="E762" s="20" t="s">
        <v>3036</v>
      </c>
      <c r="F762" s="20" t="s">
        <v>3037</v>
      </c>
      <c r="G762" s="21">
        <v>18.8</v>
      </c>
      <c r="H762" s="16">
        <v>26</v>
      </c>
      <c r="I762" s="16"/>
      <c r="J7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62" s="22"/>
      <c r="L762" s="23"/>
      <c r="M762" s="23">
        <f>SUM(Tabela174681012142230322681619252731333624210121416182426283038402481012141620222628303234362426810121424610122426244262628262681026286236[[#This Row],[Saldo no cartão]:[Recarga Pendente]])</f>
        <v>0</v>
      </c>
      <c r="N762" s="19">
        <f>Tabela174681012142230322681619252731333624210121416182426283038402481012141620222628303234362426810121424610122426244262628262681026286236[[#This Row],[Uso diário]]*2</f>
        <v>37.6</v>
      </c>
      <c r="O762" s="19">
        <f>Tabela174681012142230322681619252731333624210121416182426283038402481012141620222628303234362426810121424610122426244262628262681026286236[[#This Row],[Total Acumulado]]-P762</f>
        <v>-94</v>
      </c>
      <c r="P762" s="48">
        <f>Tabela174681012142230322681619252731333624210121416182426283038402481012141620222628303234362426810121424610122426244262628262681026286236[[#This Row],[Uso diário]]*5</f>
        <v>94</v>
      </c>
      <c r="Q7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2" s="25">
        <v>13</v>
      </c>
    </row>
    <row r="763" spans="1:20" s="26" customFormat="1" x14ac:dyDescent="0.25">
      <c r="A763" s="16">
        <v>222458</v>
      </c>
      <c r="B763" s="30" t="s">
        <v>375</v>
      </c>
      <c r="C763" s="20" t="s">
        <v>647</v>
      </c>
      <c r="D763" s="20" t="s">
        <v>723</v>
      </c>
      <c r="E763" s="20" t="s">
        <v>3038</v>
      </c>
      <c r="F763" s="20" t="s">
        <v>3039</v>
      </c>
      <c r="G763" s="21">
        <v>10</v>
      </c>
      <c r="H763" s="16">
        <v>26</v>
      </c>
      <c r="I763" s="16">
        <v>1</v>
      </c>
      <c r="J7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763" s="22"/>
      <c r="L763" s="23"/>
      <c r="M763" s="23">
        <f>SUM(Tabela174681012142230322681619252731333624210121416182426283038402481012141620222628303234362426810121424610122426244262628262681026286236[[#This Row],[Saldo no cartão]:[Recarga Pendente]])</f>
        <v>0</v>
      </c>
      <c r="N763" s="19">
        <f>Tabela174681012142230322681619252731333624210121416182426283038402481012141620222628303234362426810121424610122426244262628262681026286236[[#This Row],[Uso diário]]*2</f>
        <v>20</v>
      </c>
      <c r="O763" s="19">
        <f>Tabela174681012142230322681619252731333624210121416182426283038402481012141620222628303234362426810121424610122426244262628262681026286236[[#This Row],[Total Acumulado]]-P763</f>
        <v>-50</v>
      </c>
      <c r="P763" s="48">
        <f>Tabela174681012142230322681619252731333624210121416182426283038402481012141620222628303234362426810121424610122426244262628262681026286236[[#This Row],[Uso diário]]*5</f>
        <v>50</v>
      </c>
      <c r="Q7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7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3" s="25">
        <v>13</v>
      </c>
    </row>
    <row r="764" spans="1:20" s="26" customFormat="1" x14ac:dyDescent="0.25">
      <c r="A764" s="16">
        <v>226204</v>
      </c>
      <c r="B764" s="30" t="s">
        <v>376</v>
      </c>
      <c r="C764" s="20" t="s">
        <v>647</v>
      </c>
      <c r="D764" s="20" t="s">
        <v>720</v>
      </c>
      <c r="E764" s="20" t="s">
        <v>3040</v>
      </c>
      <c r="F764" s="20" t="s">
        <v>3041</v>
      </c>
      <c r="G764" s="21">
        <v>10</v>
      </c>
      <c r="H764" s="16">
        <v>26</v>
      </c>
      <c r="I764" s="16"/>
      <c r="J7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64" s="22"/>
      <c r="L764" s="23"/>
      <c r="M764" s="23">
        <f>SUM(Tabela174681012142230322681619252731333624210121416182426283038402481012141620222628303234362426810121424610122426244262628262681026286236[[#This Row],[Saldo no cartão]:[Recarga Pendente]])</f>
        <v>0</v>
      </c>
      <c r="N764" s="19">
        <f>Tabela174681012142230322681619252731333624210121416182426283038402481012141620222628303234362426810121424610122426244262628262681026286236[[#This Row],[Uso diário]]*2</f>
        <v>20</v>
      </c>
      <c r="O764" s="19">
        <f>Tabela174681012142230322681619252731333624210121416182426283038402481012141620222628303234362426810121424610122426244262628262681026286236[[#This Row],[Total Acumulado]]-P764</f>
        <v>-50</v>
      </c>
      <c r="P764" s="48">
        <f>Tabela174681012142230322681619252731333624210121416182426283038402481012141620222628303234362426810121424610122426244262628262681026286236[[#This Row],[Uso diário]]*5</f>
        <v>50</v>
      </c>
      <c r="Q7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4" s="25">
        <v>13</v>
      </c>
    </row>
    <row r="765" spans="1:20" s="26" customFormat="1" x14ac:dyDescent="0.25">
      <c r="A765" s="16">
        <v>229835</v>
      </c>
      <c r="B765" s="30" t="s">
        <v>383</v>
      </c>
      <c r="C765" s="20" t="s">
        <v>647</v>
      </c>
      <c r="D765" s="20" t="s">
        <v>720</v>
      </c>
      <c r="E765" s="20" t="s">
        <v>3042</v>
      </c>
      <c r="F765" s="20" t="s">
        <v>3043</v>
      </c>
      <c r="G765" s="21">
        <v>10</v>
      </c>
      <c r="H765" s="16">
        <v>26</v>
      </c>
      <c r="I765" s="16"/>
      <c r="J7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65" s="22"/>
      <c r="L765" s="23"/>
      <c r="M765" s="23">
        <f>SUM(Tabela174681012142230322681619252731333624210121416182426283038402481012141620222628303234362426810121424610122426244262628262681026286236[[#This Row],[Saldo no cartão]:[Recarga Pendente]])</f>
        <v>0</v>
      </c>
      <c r="N765" s="19">
        <f>Tabela174681012142230322681619252731333624210121416182426283038402481012141620222628303234362426810121424610122426244262628262681026286236[[#This Row],[Uso diário]]*2</f>
        <v>20</v>
      </c>
      <c r="O765" s="19">
        <f>Tabela174681012142230322681619252731333624210121416182426283038402481012141620222628303234362426810121424610122426244262628262681026286236[[#This Row],[Total Acumulado]]-P765</f>
        <v>-50</v>
      </c>
      <c r="P765" s="48">
        <f>Tabela174681012142230322681619252731333624210121416182426283038402481012141620222628303234362426810121424610122426244262628262681026286236[[#This Row],[Uso diário]]*5</f>
        <v>50</v>
      </c>
      <c r="Q7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5" s="25">
        <v>13</v>
      </c>
    </row>
    <row r="766" spans="1:20" s="26" customFormat="1" x14ac:dyDescent="0.25">
      <c r="A766" s="16">
        <v>226016</v>
      </c>
      <c r="B766" s="30" t="s">
        <v>377</v>
      </c>
      <c r="C766" s="20" t="s">
        <v>649</v>
      </c>
      <c r="D766" s="20" t="s">
        <v>725</v>
      </c>
      <c r="E766" s="20" t="s">
        <v>3044</v>
      </c>
      <c r="F766" s="20" t="s">
        <v>3045</v>
      </c>
      <c r="G766" s="21">
        <v>10</v>
      </c>
      <c r="H766" s="16">
        <v>26</v>
      </c>
      <c r="I766" s="16"/>
      <c r="J7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66" s="22"/>
      <c r="L766" s="23"/>
      <c r="M766" s="23">
        <f>SUM(Tabela174681012142230322681619252731333624210121416182426283038402481012141620222628303234362426810121424610122426244262628262681026286236[[#This Row],[Saldo no cartão]:[Recarga Pendente]])</f>
        <v>0</v>
      </c>
      <c r="N766" s="19">
        <f>Tabela174681012142230322681619252731333624210121416182426283038402481012141620222628303234362426810121424610122426244262628262681026286236[[#This Row],[Uso diário]]*2</f>
        <v>20</v>
      </c>
      <c r="O766" s="19">
        <f>Tabela174681012142230322681619252731333624210121416182426283038402481012141620222628303234362426810121424610122426244262628262681026286236[[#This Row],[Total Acumulado]]-P766</f>
        <v>-50</v>
      </c>
      <c r="P766" s="48">
        <f>Tabela174681012142230322681619252731333624210121416182426283038402481012141620222628303234362426810121424610122426244262628262681026286236[[#This Row],[Uso diário]]*5</f>
        <v>50</v>
      </c>
      <c r="Q7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6" s="25">
        <v>13</v>
      </c>
    </row>
    <row r="767" spans="1:20" s="26" customFormat="1" x14ac:dyDescent="0.25">
      <c r="A767" s="16">
        <v>226203</v>
      </c>
      <c r="B767" s="30" t="s">
        <v>378</v>
      </c>
      <c r="C767" s="20" t="s">
        <v>649</v>
      </c>
      <c r="D767" s="20" t="s">
        <v>725</v>
      </c>
      <c r="E767" s="20" t="s">
        <v>3046</v>
      </c>
      <c r="F767" s="20" t="s">
        <v>3047</v>
      </c>
      <c r="G767" s="21">
        <v>10</v>
      </c>
      <c r="H767" s="16">
        <v>26</v>
      </c>
      <c r="I767" s="16"/>
      <c r="J7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67" s="22"/>
      <c r="L767" s="23"/>
      <c r="M767" s="23">
        <f>SUM(Tabela174681012142230322681619252731333624210121416182426283038402481012141620222628303234362426810121424610122426244262628262681026286236[[#This Row],[Saldo no cartão]:[Recarga Pendente]])</f>
        <v>0</v>
      </c>
      <c r="N767" s="19">
        <f>Tabela174681012142230322681619252731333624210121416182426283038402481012141620222628303234362426810121424610122426244262628262681026286236[[#This Row],[Uso diário]]*2</f>
        <v>20</v>
      </c>
      <c r="O767" s="19">
        <f>Tabela174681012142230322681619252731333624210121416182426283038402481012141620222628303234362426810121424610122426244262628262681026286236[[#This Row],[Total Acumulado]]-P767</f>
        <v>-50</v>
      </c>
      <c r="P767" s="48">
        <f>Tabela174681012142230322681619252731333624210121416182426283038402481012141620222628303234362426810121424610122426244262628262681026286236[[#This Row],[Uso diário]]*5</f>
        <v>50</v>
      </c>
      <c r="Q7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7" s="25">
        <v>13</v>
      </c>
    </row>
    <row r="768" spans="1:20" s="26" customFormat="1" x14ac:dyDescent="0.25">
      <c r="A768" s="16">
        <v>233276</v>
      </c>
      <c r="B768" s="30" t="s">
        <v>1084</v>
      </c>
      <c r="C768" s="20" t="s">
        <v>649</v>
      </c>
      <c r="D768" s="20" t="s">
        <v>725</v>
      </c>
      <c r="E768" s="20" t="s">
        <v>3048</v>
      </c>
      <c r="F768" s="20" t="s">
        <v>3049</v>
      </c>
      <c r="G768" s="21">
        <v>10</v>
      </c>
      <c r="H768" s="16">
        <v>26</v>
      </c>
      <c r="I768" s="16">
        <v>9</v>
      </c>
      <c r="J7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170</v>
      </c>
      <c r="K768" s="22"/>
      <c r="L768" s="23"/>
      <c r="M768" s="23">
        <f>SUM(Tabela174681012142230322681619252731333624210121416182426283038402481012141620222628303234362426810121424610122426244262628262681026286236[[#This Row],[Saldo no cartão]:[Recarga Pendente]])</f>
        <v>0</v>
      </c>
      <c r="N768" s="19">
        <f>Tabela174681012142230322681619252731333624210121416182426283038402481012141620222628303234362426810121424610122426244262628262681026286236[[#This Row],[Uso diário]]*2</f>
        <v>20</v>
      </c>
      <c r="O768" s="19">
        <f>Tabela174681012142230322681619252731333624210121416182426283038402481012141620222628303234362426810121424610122426244262628262681026286236[[#This Row],[Total Acumulado]]-P768</f>
        <v>-50</v>
      </c>
      <c r="P768" s="48">
        <f>Tabela174681012142230322681619252731333624210121416182426283038402481012141620222628303234362426810121424610122426244262628262681026286236[[#This Row],[Uso diário]]*5</f>
        <v>50</v>
      </c>
      <c r="Q7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170</v>
      </c>
      <c r="S7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8" s="25">
        <v>13</v>
      </c>
    </row>
    <row r="769" spans="1:20" s="26" customFormat="1" x14ac:dyDescent="0.25">
      <c r="A769" s="16">
        <v>219173</v>
      </c>
      <c r="B769" s="30" t="s">
        <v>1475</v>
      </c>
      <c r="C769" s="20" t="s">
        <v>650</v>
      </c>
      <c r="D769" s="20" t="s">
        <v>738</v>
      </c>
      <c r="E769" s="20" t="s">
        <v>3050</v>
      </c>
      <c r="F769" s="20" t="s">
        <v>3051</v>
      </c>
      <c r="G769" s="21">
        <v>18.8</v>
      </c>
      <c r="H769" s="16">
        <v>26</v>
      </c>
      <c r="I769" s="16"/>
      <c r="J7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69" s="22"/>
      <c r="L769" s="23">
        <v>18.8</v>
      </c>
      <c r="M769" s="23">
        <f>SUM(Tabela174681012142230322681619252731333624210121416182426283038402481012141620222628303234362426810121424610122426244262628262681026286236[[#This Row],[Saldo no cartão]:[Recarga Pendente]])</f>
        <v>18.8</v>
      </c>
      <c r="N769" s="19">
        <f>Tabela174681012142230322681619252731333624210121416182426283038402481012141620222628303234362426810121424610122426244262628262681026286236[[#This Row],[Uso diário]]*2</f>
        <v>37.6</v>
      </c>
      <c r="O769" s="19">
        <f>Tabela174681012142230322681619252731333624210121416182426283038402481012141620222628303234362426810121424610122426244262628262681026286236[[#This Row],[Total Acumulado]]-P769</f>
        <v>-75.2</v>
      </c>
      <c r="P769" s="48">
        <f>Tabela174681012142230322681619252731333624210121416182426283038402481012141620222628303234362426810121424610122426244262628262681026286236[[#This Row],[Uso diário]]*5</f>
        <v>94</v>
      </c>
      <c r="Q7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69" s="25">
        <v>13</v>
      </c>
    </row>
    <row r="770" spans="1:20" s="26" customFormat="1" x14ac:dyDescent="0.25">
      <c r="A770" s="16">
        <v>200343</v>
      </c>
      <c r="B770" s="30" t="s">
        <v>379</v>
      </c>
      <c r="C770" s="20" t="s">
        <v>651</v>
      </c>
      <c r="D770" s="20" t="s">
        <v>719</v>
      </c>
      <c r="E770" s="20" t="s">
        <v>3052</v>
      </c>
      <c r="F770" s="20" t="s">
        <v>3053</v>
      </c>
      <c r="G770" s="21">
        <v>10</v>
      </c>
      <c r="H770" s="16">
        <v>16</v>
      </c>
      <c r="I770" s="16"/>
      <c r="J7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70" s="22"/>
      <c r="L770" s="23"/>
      <c r="M770" s="23">
        <f>SUM(Tabela174681012142230322681619252731333624210121416182426283038402481012141620222628303234362426810121424610122426244262628262681026286236[[#This Row],[Saldo no cartão]:[Recarga Pendente]])</f>
        <v>0</v>
      </c>
      <c r="N770" s="19">
        <f>Tabela174681012142230322681619252731333624210121416182426283038402481012141620222628303234362426810121424610122426244262628262681026286236[[#This Row],[Uso diário]]*2</f>
        <v>20</v>
      </c>
      <c r="O770" s="19">
        <f>Tabela174681012142230322681619252731333624210121416182426283038402481012141620222628303234362426810121424610122426244262628262681026286236[[#This Row],[Total Acumulado]]-P770</f>
        <v>-50</v>
      </c>
      <c r="P770" s="48">
        <f>Tabela174681012142230322681619252731333624210121416182426283038402481012141620222628303234362426810121424610122426244262628262681026286236[[#This Row],[Uso diário]]*5</f>
        <v>50</v>
      </c>
      <c r="Q7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0" s="25">
        <v>13</v>
      </c>
    </row>
    <row r="771" spans="1:20" s="26" customFormat="1" x14ac:dyDescent="0.25">
      <c r="A771" s="16">
        <v>210825</v>
      </c>
      <c r="B771" s="30" t="s">
        <v>1476</v>
      </c>
      <c r="C771" s="20" t="s">
        <v>651</v>
      </c>
      <c r="D771" s="20" t="s">
        <v>727</v>
      </c>
      <c r="E771" s="20" t="s">
        <v>3054</v>
      </c>
      <c r="F771" s="20" t="s">
        <v>3055</v>
      </c>
      <c r="G771" s="21">
        <v>10</v>
      </c>
      <c r="H771" s="16">
        <v>26</v>
      </c>
      <c r="I771" s="16"/>
      <c r="J7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71" s="22"/>
      <c r="L771" s="23"/>
      <c r="M771" s="23">
        <f>SUM(Tabela174681012142230322681619252731333624210121416182426283038402481012141620222628303234362426810121424610122426244262628262681026286236[[#This Row],[Saldo no cartão]:[Recarga Pendente]])</f>
        <v>0</v>
      </c>
      <c r="N771" s="19">
        <f>Tabela174681012142230322681619252731333624210121416182426283038402481012141620222628303234362426810121424610122426244262628262681026286236[[#This Row],[Uso diário]]*2</f>
        <v>20</v>
      </c>
      <c r="O771" s="19">
        <f>Tabela174681012142230322681619252731333624210121416182426283038402481012141620222628303234362426810121424610122426244262628262681026286236[[#This Row],[Total Acumulado]]-P771</f>
        <v>-50</v>
      </c>
      <c r="P771" s="48">
        <f>Tabela174681012142230322681619252731333624210121416182426283038402481012141620222628303234362426810121424610122426244262628262681026286236[[#This Row],[Uso diário]]*5</f>
        <v>50</v>
      </c>
      <c r="Q7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1" s="25">
        <v>13</v>
      </c>
    </row>
    <row r="772" spans="1:20" s="26" customFormat="1" x14ac:dyDescent="0.25">
      <c r="A772" s="16">
        <v>215404</v>
      </c>
      <c r="B772" s="30" t="s">
        <v>380</v>
      </c>
      <c r="C772" s="20" t="s">
        <v>651</v>
      </c>
      <c r="D772" s="20" t="s">
        <v>719</v>
      </c>
      <c r="E772" s="20" t="s">
        <v>3056</v>
      </c>
      <c r="F772" s="20" t="s">
        <v>3057</v>
      </c>
      <c r="G772" s="21">
        <v>18.8</v>
      </c>
      <c r="H772" s="16">
        <v>16</v>
      </c>
      <c r="I772" s="16"/>
      <c r="J7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772" s="22"/>
      <c r="L772" s="23"/>
      <c r="M772" s="23">
        <f>SUM(Tabela174681012142230322681619252731333624210121416182426283038402481012141620222628303234362426810121424610122426244262628262681026286236[[#This Row],[Saldo no cartão]:[Recarga Pendente]])</f>
        <v>0</v>
      </c>
      <c r="N772" s="19">
        <f>Tabela174681012142230322681619252731333624210121416182426283038402481012141620222628303234362426810121424610122426244262628262681026286236[[#This Row],[Uso diário]]*2</f>
        <v>37.6</v>
      </c>
      <c r="O772" s="19">
        <f>Tabela174681012142230322681619252731333624210121416182426283038402481012141620222628303234362426810121424610122426244262628262681026286236[[#This Row],[Total Acumulado]]-P772</f>
        <v>-94</v>
      </c>
      <c r="P772" s="48">
        <f>Tabela174681012142230322681619252731333624210121416182426283038402481012141620222628303234362426810121424610122426244262628262681026286236[[#This Row],[Uso diário]]*5</f>
        <v>94</v>
      </c>
      <c r="Q7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7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2" s="25">
        <v>13</v>
      </c>
    </row>
    <row r="773" spans="1:20" s="26" customFormat="1" x14ac:dyDescent="0.25">
      <c r="A773" s="16">
        <v>218284</v>
      </c>
      <c r="B773" s="30" t="s">
        <v>381</v>
      </c>
      <c r="C773" s="20" t="s">
        <v>651</v>
      </c>
      <c r="D773" s="20" t="s">
        <v>719</v>
      </c>
      <c r="E773" s="20" t="s">
        <v>3058</v>
      </c>
      <c r="F773" s="20" t="s">
        <v>3059</v>
      </c>
      <c r="G773" s="21">
        <v>18.8</v>
      </c>
      <c r="H773" s="16">
        <v>16</v>
      </c>
      <c r="I773" s="16"/>
      <c r="J7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773" s="22"/>
      <c r="L773" s="23"/>
      <c r="M773" s="23">
        <f>SUM(Tabela174681012142230322681619252731333624210121416182426283038402481012141620222628303234362426810121424610122426244262628262681026286236[[#This Row],[Saldo no cartão]:[Recarga Pendente]])</f>
        <v>0</v>
      </c>
      <c r="N773" s="19">
        <f>Tabela174681012142230322681619252731333624210121416182426283038402481012141620222628303234362426810121424610122426244262628262681026286236[[#This Row],[Uso diário]]*2</f>
        <v>37.6</v>
      </c>
      <c r="O773" s="19">
        <f>Tabela174681012142230322681619252731333624210121416182426283038402481012141620222628303234362426810121424610122426244262628262681026286236[[#This Row],[Total Acumulado]]-P773</f>
        <v>-94</v>
      </c>
      <c r="P773" s="48">
        <f>Tabela174681012142230322681619252731333624210121416182426283038402481012141620222628303234362426810121424610122426244262628262681026286236[[#This Row],[Uso diário]]*5</f>
        <v>94</v>
      </c>
      <c r="Q7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7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3" s="25">
        <v>13</v>
      </c>
    </row>
    <row r="774" spans="1:20" s="26" customFormat="1" x14ac:dyDescent="0.25">
      <c r="A774" s="16">
        <v>223856</v>
      </c>
      <c r="B774" s="30" t="s">
        <v>1085</v>
      </c>
      <c r="C774" s="20" t="s">
        <v>651</v>
      </c>
      <c r="D774" s="20" t="s">
        <v>719</v>
      </c>
      <c r="E774" s="20" t="s">
        <v>3060</v>
      </c>
      <c r="F774" s="20" t="s">
        <v>3061</v>
      </c>
      <c r="G774" s="21">
        <v>10</v>
      </c>
      <c r="H774" s="16">
        <v>16</v>
      </c>
      <c r="I774" s="16"/>
      <c r="J7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74" s="22"/>
      <c r="L774" s="23"/>
      <c r="M774" s="23">
        <f>SUM(Tabela174681012142230322681619252731333624210121416182426283038402481012141620222628303234362426810121424610122426244262628262681026286236[[#This Row],[Saldo no cartão]:[Recarga Pendente]])</f>
        <v>0</v>
      </c>
      <c r="N774" s="19">
        <f>Tabela174681012142230322681619252731333624210121416182426283038402481012141620222628303234362426810121424610122426244262628262681026286236[[#This Row],[Uso diário]]*2</f>
        <v>20</v>
      </c>
      <c r="O774" s="19">
        <f>Tabela174681012142230322681619252731333624210121416182426283038402481012141620222628303234362426810121424610122426244262628262681026286236[[#This Row],[Total Acumulado]]-P774</f>
        <v>-50</v>
      </c>
      <c r="P774" s="48">
        <f>Tabela174681012142230322681619252731333624210121416182426283038402481012141620222628303234362426810121424610122426244262628262681026286236[[#This Row],[Uso diário]]*5</f>
        <v>50</v>
      </c>
      <c r="Q7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4" s="25">
        <v>13</v>
      </c>
    </row>
    <row r="775" spans="1:20" s="26" customFormat="1" x14ac:dyDescent="0.25">
      <c r="A775" s="16">
        <v>226410</v>
      </c>
      <c r="B775" s="30" t="s">
        <v>1477</v>
      </c>
      <c r="C775" s="20" t="s">
        <v>651</v>
      </c>
      <c r="D775" s="20" t="s">
        <v>719</v>
      </c>
      <c r="E775" s="20" t="s">
        <v>3062</v>
      </c>
      <c r="F775" s="20" t="s">
        <v>3063</v>
      </c>
      <c r="G775" s="21">
        <v>10</v>
      </c>
      <c r="H775" s="16">
        <v>16</v>
      </c>
      <c r="I775" s="16">
        <v>1</v>
      </c>
      <c r="J7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</v>
      </c>
      <c r="K775" s="22"/>
      <c r="L775" s="23"/>
      <c r="M775" s="23">
        <f>SUM(Tabela174681012142230322681619252731333624210121416182426283038402481012141620222628303234362426810121424610122426244262628262681026286236[[#This Row],[Saldo no cartão]:[Recarga Pendente]])</f>
        <v>0</v>
      </c>
      <c r="N775" s="19">
        <f>Tabela174681012142230322681619252731333624210121416182426283038402481012141620222628303234362426810121424610122426244262628262681026286236[[#This Row],[Uso diário]]*2</f>
        <v>20</v>
      </c>
      <c r="O775" s="19">
        <f>Tabela174681012142230322681619252731333624210121416182426283038402481012141620222628303234362426810121424610122426244262628262681026286236[[#This Row],[Total Acumulado]]-P775</f>
        <v>-50</v>
      </c>
      <c r="P775" s="48">
        <f>Tabela174681012142230322681619252731333624210121416182426283038402481012141620222628303234362426810121424610122426244262628262681026286236[[#This Row],[Uso diário]]*5</f>
        <v>50</v>
      </c>
      <c r="Q7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</v>
      </c>
      <c r="S7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5" s="25">
        <v>13</v>
      </c>
    </row>
    <row r="776" spans="1:20" s="26" customFormat="1" x14ac:dyDescent="0.25">
      <c r="A776" s="16">
        <v>228041</v>
      </c>
      <c r="B776" s="30" t="s">
        <v>382</v>
      </c>
      <c r="C776" s="20" t="s">
        <v>651</v>
      </c>
      <c r="D776" s="20" t="s">
        <v>719</v>
      </c>
      <c r="E776" s="20" t="s">
        <v>3064</v>
      </c>
      <c r="F776" s="20" t="s">
        <v>3065</v>
      </c>
      <c r="G776" s="21">
        <v>10</v>
      </c>
      <c r="H776" s="16">
        <v>16</v>
      </c>
      <c r="I776" s="16"/>
      <c r="J7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76" s="22"/>
      <c r="L776" s="23"/>
      <c r="M776" s="23">
        <f>SUM(Tabela174681012142230322681619252731333624210121416182426283038402481012141620222628303234362426810121424610122426244262628262681026286236[[#This Row],[Saldo no cartão]:[Recarga Pendente]])</f>
        <v>0</v>
      </c>
      <c r="N776" s="19">
        <f>Tabela174681012142230322681619252731333624210121416182426283038402481012141620222628303234362426810121424610122426244262628262681026286236[[#This Row],[Uso diário]]*2</f>
        <v>20</v>
      </c>
      <c r="O776" s="19">
        <f>Tabela174681012142230322681619252731333624210121416182426283038402481012141620222628303234362426810121424610122426244262628262681026286236[[#This Row],[Total Acumulado]]-P776</f>
        <v>-50</v>
      </c>
      <c r="P776" s="48">
        <f>Tabela174681012142230322681619252731333624210121416182426283038402481012141620222628303234362426810121424610122426244262628262681026286236[[#This Row],[Uso diário]]*5</f>
        <v>50</v>
      </c>
      <c r="Q7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6" s="25">
        <v>13</v>
      </c>
    </row>
    <row r="777" spans="1:20" s="26" customFormat="1" x14ac:dyDescent="0.25">
      <c r="A777" s="16">
        <v>229946</v>
      </c>
      <c r="B777" s="30" t="s">
        <v>1205</v>
      </c>
      <c r="C777" s="20" t="s">
        <v>651</v>
      </c>
      <c r="D777" s="20" t="s">
        <v>719</v>
      </c>
      <c r="E777" s="20" t="s">
        <v>3066</v>
      </c>
      <c r="F777" s="20" t="s">
        <v>3067</v>
      </c>
      <c r="G777" s="21">
        <v>10</v>
      </c>
      <c r="H777" s="16">
        <v>16</v>
      </c>
      <c r="I777" s="16">
        <v>1</v>
      </c>
      <c r="J7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</v>
      </c>
      <c r="K777" s="22"/>
      <c r="L777" s="23"/>
      <c r="M777" s="23">
        <f>SUM(Tabela174681012142230322681619252731333624210121416182426283038402481012141620222628303234362426810121424610122426244262628262681026286236[[#This Row],[Saldo no cartão]:[Recarga Pendente]])</f>
        <v>0</v>
      </c>
      <c r="N777" s="19">
        <f>Tabela174681012142230322681619252731333624210121416182426283038402481012141620222628303234362426810121424610122426244262628262681026286236[[#This Row],[Uso diário]]*2</f>
        <v>20</v>
      </c>
      <c r="O777" s="19">
        <f>Tabela174681012142230322681619252731333624210121416182426283038402481012141620222628303234362426810121424610122426244262628262681026286236[[#This Row],[Total Acumulado]]-P777</f>
        <v>-50</v>
      </c>
      <c r="P777" s="48">
        <f>Tabela174681012142230322681619252731333624210121416182426283038402481012141620222628303234362426810121424610122426244262628262681026286236[[#This Row],[Uso diário]]*5</f>
        <v>50</v>
      </c>
      <c r="Q7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</v>
      </c>
      <c r="S7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7" s="25">
        <v>13</v>
      </c>
    </row>
    <row r="778" spans="1:20" s="26" customFormat="1" x14ac:dyDescent="0.25">
      <c r="A778" s="16">
        <v>231665</v>
      </c>
      <c r="B778" s="30" t="s">
        <v>834</v>
      </c>
      <c r="C778" s="20" t="s">
        <v>651</v>
      </c>
      <c r="D778" s="20" t="s">
        <v>719</v>
      </c>
      <c r="E778" s="20" t="s">
        <v>3068</v>
      </c>
      <c r="F778" s="20" t="s">
        <v>3069</v>
      </c>
      <c r="G778" s="21">
        <v>10</v>
      </c>
      <c r="H778" s="16">
        <v>16</v>
      </c>
      <c r="I778" s="16"/>
      <c r="J7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778" s="22"/>
      <c r="L778" s="23"/>
      <c r="M778" s="23">
        <f>SUM(Tabela174681012142230322681619252731333624210121416182426283038402481012141620222628303234362426810121424610122426244262628262681026286236[[#This Row],[Saldo no cartão]:[Recarga Pendente]])</f>
        <v>0</v>
      </c>
      <c r="N778" s="19">
        <f>Tabela174681012142230322681619252731333624210121416182426283038402481012141620222628303234362426810121424610122426244262628262681026286236[[#This Row],[Uso diário]]*2</f>
        <v>20</v>
      </c>
      <c r="O778" s="19">
        <f>Tabela174681012142230322681619252731333624210121416182426283038402481012141620222628303234362426810121424610122426244262628262681026286236[[#This Row],[Total Acumulado]]-P778</f>
        <v>-50</v>
      </c>
      <c r="P778" s="48">
        <f>Tabela174681012142230322681619252731333624210121416182426283038402481012141620222628303234362426810121424610122426244262628262681026286236[[#This Row],[Uso diário]]*5</f>
        <v>50</v>
      </c>
      <c r="Q7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7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8" s="25">
        <v>13</v>
      </c>
    </row>
    <row r="779" spans="1:20" s="26" customFormat="1" x14ac:dyDescent="0.25">
      <c r="A779" s="16">
        <v>232392</v>
      </c>
      <c r="B779" s="30" t="s">
        <v>913</v>
      </c>
      <c r="C779" s="20" t="s">
        <v>651</v>
      </c>
      <c r="D779" s="20" t="s">
        <v>719</v>
      </c>
      <c r="E779" s="20" t="s">
        <v>3070</v>
      </c>
      <c r="F779" s="20" t="s">
        <v>3071</v>
      </c>
      <c r="G779" s="21">
        <v>10</v>
      </c>
      <c r="H779" s="16">
        <v>16</v>
      </c>
      <c r="I779" s="16">
        <v>1</v>
      </c>
      <c r="J7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</v>
      </c>
      <c r="K779" s="22"/>
      <c r="L779" s="23"/>
      <c r="M779" s="23">
        <f>SUM(Tabela174681012142230322681619252731333624210121416182426283038402481012141620222628303234362426810121424610122426244262628262681026286236[[#This Row],[Saldo no cartão]:[Recarga Pendente]])</f>
        <v>0</v>
      </c>
      <c r="N779" s="19">
        <f>Tabela174681012142230322681619252731333624210121416182426283038402481012141620222628303234362426810121424610122426244262628262681026286236[[#This Row],[Uso diário]]*2</f>
        <v>20</v>
      </c>
      <c r="O779" s="19">
        <f>Tabela174681012142230322681619252731333624210121416182426283038402481012141620222628303234362426810121424610122426244262628262681026286236[[#This Row],[Total Acumulado]]-P779</f>
        <v>-50</v>
      </c>
      <c r="P779" s="48">
        <f>Tabela174681012142230322681619252731333624210121416182426283038402481012141620222628303234362426810121424610122426244262628262681026286236[[#This Row],[Uso diário]]*5</f>
        <v>50</v>
      </c>
      <c r="Q7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</v>
      </c>
      <c r="S7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79" s="25">
        <v>13</v>
      </c>
    </row>
    <row r="780" spans="1:20" s="26" customFormat="1" x14ac:dyDescent="0.25">
      <c r="A780" s="16">
        <v>234887</v>
      </c>
      <c r="B780" s="30" t="s">
        <v>1478</v>
      </c>
      <c r="C780" s="20" t="s">
        <v>651</v>
      </c>
      <c r="D780" s="20" t="s">
        <v>716</v>
      </c>
      <c r="E780" s="20" t="s">
        <v>3072</v>
      </c>
      <c r="F780" s="20" t="s">
        <v>3073</v>
      </c>
      <c r="G780" s="21">
        <v>10</v>
      </c>
      <c r="H780" s="16">
        <v>16</v>
      </c>
      <c r="I780" s="16">
        <v>1</v>
      </c>
      <c r="J7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</v>
      </c>
      <c r="K780" s="22"/>
      <c r="L780" s="23"/>
      <c r="M780" s="23">
        <f>SUM(Tabela174681012142230322681619252731333624210121416182426283038402481012141620222628303234362426810121424610122426244262628262681026286236[[#This Row],[Saldo no cartão]:[Recarga Pendente]])</f>
        <v>0</v>
      </c>
      <c r="N780" s="19">
        <f>Tabela174681012142230322681619252731333624210121416182426283038402481012141620222628303234362426810121424610122426244262628262681026286236[[#This Row],[Uso diário]]*2</f>
        <v>20</v>
      </c>
      <c r="O780" s="19">
        <f>Tabela174681012142230322681619252731333624210121416182426283038402481012141620222628303234362426810121424610122426244262628262681026286236[[#This Row],[Total Acumulado]]-P780</f>
        <v>-50</v>
      </c>
      <c r="P780" s="48">
        <f>Tabela174681012142230322681619252731333624210121416182426283038402481012141620222628303234362426810121424610122426244262628262681026286236[[#This Row],[Uso diário]]*5</f>
        <v>50</v>
      </c>
      <c r="Q7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</v>
      </c>
      <c r="S7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0" s="25">
        <v>13</v>
      </c>
    </row>
    <row r="781" spans="1:20" s="26" customFormat="1" x14ac:dyDescent="0.25">
      <c r="A781" s="16">
        <v>215656</v>
      </c>
      <c r="B781" s="30" t="s">
        <v>1086</v>
      </c>
      <c r="C781" s="20" t="s">
        <v>635</v>
      </c>
      <c r="D781" s="20" t="s">
        <v>689</v>
      </c>
      <c r="E781" s="20" t="s">
        <v>3074</v>
      </c>
      <c r="F781" s="20" t="s">
        <v>3075</v>
      </c>
      <c r="G781" s="21">
        <v>18.8</v>
      </c>
      <c r="H781" s="16">
        <v>22</v>
      </c>
      <c r="I781" s="16">
        <v>1</v>
      </c>
      <c r="J7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781" s="22"/>
      <c r="L781" s="23"/>
      <c r="M781" s="23">
        <f>SUM(Tabela174681012142230322681619252731333624210121416182426283038402481012141620222628303234362426810121424610122426244262628262681026286236[[#This Row],[Saldo no cartão]:[Recarga Pendente]])</f>
        <v>0</v>
      </c>
      <c r="N781" s="19">
        <f>Tabela174681012142230322681619252731333624210121416182426283038402481012141620222628303234362426810121424610122426244262628262681026286236[[#This Row],[Uso diário]]*2</f>
        <v>37.6</v>
      </c>
      <c r="O781" s="19">
        <f>Tabela174681012142230322681619252731333624210121416182426283038402481012141620222628303234362426810121424610122426244262628262681026286236[[#This Row],[Total Acumulado]]-P781</f>
        <v>-94</v>
      </c>
      <c r="P781" s="48">
        <f>Tabela174681012142230322681619252731333624210121416182426283038402481012141620222628303234362426810121424610122426244262628262681026286236[[#This Row],[Uso diário]]*5</f>
        <v>94</v>
      </c>
      <c r="Q7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7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1" s="25">
        <v>13</v>
      </c>
    </row>
    <row r="782" spans="1:20" s="26" customFormat="1" x14ac:dyDescent="0.25">
      <c r="A782" s="16">
        <v>233879</v>
      </c>
      <c r="B782" s="30" t="s">
        <v>1087</v>
      </c>
      <c r="C782" s="20" t="s">
        <v>636</v>
      </c>
      <c r="D782" s="20" t="s">
        <v>729</v>
      </c>
      <c r="E782" s="20" t="s">
        <v>3076</v>
      </c>
      <c r="F782" s="20" t="s">
        <v>3077</v>
      </c>
      <c r="G782" s="21">
        <v>10</v>
      </c>
      <c r="H782" s="16">
        <v>22</v>
      </c>
      <c r="I782" s="16">
        <v>1</v>
      </c>
      <c r="J7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210</v>
      </c>
      <c r="K782" s="22"/>
      <c r="L782" s="23"/>
      <c r="M782" s="23">
        <f>SUM(Tabela174681012142230322681619252731333624210121416182426283038402481012141620222628303234362426810121424610122426244262628262681026286236[[#This Row],[Saldo no cartão]:[Recarga Pendente]])</f>
        <v>0</v>
      </c>
      <c r="N782" s="19">
        <f>Tabela174681012142230322681619252731333624210121416182426283038402481012141620222628303234362426810121424610122426244262628262681026286236[[#This Row],[Uso diário]]*2</f>
        <v>20</v>
      </c>
      <c r="O782" s="19">
        <f>Tabela174681012142230322681619252731333624210121416182426283038402481012141620222628303234362426810121424610122426244262628262681026286236[[#This Row],[Total Acumulado]]-P782</f>
        <v>-50</v>
      </c>
      <c r="P782" s="48">
        <f>Tabela174681012142230322681619252731333624210121416182426283038402481012141620222628303234362426810121424610122426244262628262681026286236[[#This Row],[Uso diário]]*5</f>
        <v>50</v>
      </c>
      <c r="Q7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210</v>
      </c>
      <c r="S7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2" s="25">
        <v>13</v>
      </c>
    </row>
    <row r="783" spans="1:20" s="26" customFormat="1" x14ac:dyDescent="0.25">
      <c r="A783" s="16">
        <v>206768</v>
      </c>
      <c r="B783" s="30" t="s">
        <v>1202</v>
      </c>
      <c r="C783" s="20" t="s">
        <v>653</v>
      </c>
      <c r="D783" s="20" t="s">
        <v>891</v>
      </c>
      <c r="E783" s="20" t="s">
        <v>3078</v>
      </c>
      <c r="F783" s="20" t="s">
        <v>3079</v>
      </c>
      <c r="G783" s="21">
        <v>18.8</v>
      </c>
      <c r="H783" s="16">
        <v>26</v>
      </c>
      <c r="I783" s="16"/>
      <c r="J7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83" s="22"/>
      <c r="L783" s="23">
        <v>313.8</v>
      </c>
      <c r="M783" s="23">
        <f>SUM(Tabela174681012142230322681619252731333624210121416182426283038402481012141620222628303234362426810121424610122426244262628262681026286236[[#This Row],[Saldo no cartão]:[Recarga Pendente]])</f>
        <v>313.8</v>
      </c>
      <c r="N783" s="19">
        <f>Tabela174681012142230322681619252731333624210121416182426283038402481012141620222628303234362426810121424610122426244262628262681026286236[[#This Row],[Uso diário]]*2</f>
        <v>37.6</v>
      </c>
      <c r="O783" s="19">
        <f>Tabela174681012142230322681619252731333624210121416182426283038402481012141620222628303234362426810121424610122426244262628262681026286236[[#This Row],[Total Acumulado]]-P783</f>
        <v>219.8</v>
      </c>
      <c r="P783" s="48">
        <f>Tabela174681012142230322681619252731333624210121416182426283038402481012141620222628303234362426810121424610122426244262628262681026286236[[#This Row],[Uso diário]]*5</f>
        <v>94</v>
      </c>
      <c r="Q7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219.8</v>
      </c>
      <c r="R7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269</v>
      </c>
      <c r="S783" s="18" t="s">
        <v>11</v>
      </c>
      <c r="T783" s="25">
        <v>13</v>
      </c>
    </row>
    <row r="784" spans="1:20" s="26" customFormat="1" x14ac:dyDescent="0.25">
      <c r="A784" s="16">
        <v>212799</v>
      </c>
      <c r="B784" s="30" t="s">
        <v>384</v>
      </c>
      <c r="C784" s="20" t="s">
        <v>653</v>
      </c>
      <c r="D784" s="20" t="s">
        <v>714</v>
      </c>
      <c r="E784" s="20" t="s">
        <v>3080</v>
      </c>
      <c r="F784" s="20" t="s">
        <v>3081</v>
      </c>
      <c r="G784" s="21">
        <v>10</v>
      </c>
      <c r="H784" s="16">
        <v>26</v>
      </c>
      <c r="I784" s="16">
        <v>1</v>
      </c>
      <c r="J7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784" s="22"/>
      <c r="L784" s="23"/>
      <c r="M784" s="23">
        <f>SUM(Tabela174681012142230322681619252731333624210121416182426283038402481012141620222628303234362426810121424610122426244262628262681026286236[[#This Row],[Saldo no cartão]:[Recarga Pendente]])</f>
        <v>0</v>
      </c>
      <c r="N784" s="19">
        <f>Tabela174681012142230322681619252731333624210121416182426283038402481012141620222628303234362426810121424610122426244262628262681026286236[[#This Row],[Uso diário]]*2</f>
        <v>20</v>
      </c>
      <c r="O784" s="19">
        <f>Tabela174681012142230322681619252731333624210121416182426283038402481012141620222628303234362426810121424610122426244262628262681026286236[[#This Row],[Total Acumulado]]-P784</f>
        <v>-50</v>
      </c>
      <c r="P784" s="48">
        <f>Tabela174681012142230322681619252731333624210121416182426283038402481012141620222628303234362426810121424610122426244262628262681026286236[[#This Row],[Uso diário]]*5</f>
        <v>50</v>
      </c>
      <c r="Q7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7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4" s="25">
        <v>13</v>
      </c>
    </row>
    <row r="785" spans="1:20" s="26" customFormat="1" x14ac:dyDescent="0.25">
      <c r="A785" s="16">
        <v>218129</v>
      </c>
      <c r="B785" s="30" t="s">
        <v>1371</v>
      </c>
      <c r="C785" s="20" t="s">
        <v>653</v>
      </c>
      <c r="D785" s="20" t="s">
        <v>891</v>
      </c>
      <c r="E785" s="20" t="s">
        <v>3082</v>
      </c>
      <c r="F785" s="20" t="s">
        <v>3083</v>
      </c>
      <c r="G785" s="21">
        <v>18.8</v>
      </c>
      <c r="H785" s="16">
        <v>26</v>
      </c>
      <c r="I785" s="16"/>
      <c r="J7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85" s="22"/>
      <c r="L785" s="23"/>
      <c r="M785" s="23">
        <f>SUM(Tabela174681012142230322681619252731333624210121416182426283038402481012141620222628303234362426810121424610122426244262628262681026286236[[#This Row],[Saldo no cartão]:[Recarga Pendente]])</f>
        <v>0</v>
      </c>
      <c r="N785" s="19">
        <f>Tabela174681012142230322681619252731333624210121416182426283038402481012141620222628303234362426810121424610122426244262628262681026286236[[#This Row],[Uso diário]]*2</f>
        <v>37.6</v>
      </c>
      <c r="O785" s="19">
        <f>Tabela174681012142230322681619252731333624210121416182426283038402481012141620222628303234362426810121424610122426244262628262681026286236[[#This Row],[Total Acumulado]]-P785</f>
        <v>-94</v>
      </c>
      <c r="P785" s="48">
        <f>Tabela174681012142230322681619252731333624210121416182426283038402481012141620222628303234362426810121424610122426244262628262681026286236[[#This Row],[Uso diário]]*5</f>
        <v>94</v>
      </c>
      <c r="Q7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5" s="25">
        <v>13</v>
      </c>
    </row>
    <row r="786" spans="1:20" s="26" customFormat="1" x14ac:dyDescent="0.25">
      <c r="A786" s="16">
        <v>218488</v>
      </c>
      <c r="B786" s="30" t="s">
        <v>325</v>
      </c>
      <c r="C786" s="20" t="s">
        <v>653</v>
      </c>
      <c r="D786" s="20" t="s">
        <v>891</v>
      </c>
      <c r="E786" s="20" t="s">
        <v>3084</v>
      </c>
      <c r="F786" s="20" t="s">
        <v>3085</v>
      </c>
      <c r="G786" s="21">
        <v>18.8</v>
      </c>
      <c r="H786" s="16">
        <v>26</v>
      </c>
      <c r="I786" s="16">
        <v>3</v>
      </c>
      <c r="J7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786" s="22"/>
      <c r="L786" s="23"/>
      <c r="M786" s="23">
        <f>SUM(Tabela174681012142230322681619252731333624210121416182426283038402481012141620222628303234362426810121424610122426244262628262681026286236[[#This Row],[Saldo no cartão]:[Recarga Pendente]])</f>
        <v>0</v>
      </c>
      <c r="N786" s="19">
        <f>Tabela174681012142230322681619252731333624210121416182426283038402481012141620222628303234362426810121424610122426244262628262681026286236[[#This Row],[Uso diário]]*2</f>
        <v>37.6</v>
      </c>
      <c r="O786" s="19">
        <f>Tabela174681012142230322681619252731333624210121416182426283038402481012141620222628303234362426810121424610122426244262628262681026286236[[#This Row],[Total Acumulado]]-P786</f>
        <v>-94</v>
      </c>
      <c r="P786" s="48">
        <f>Tabela174681012142230322681619252731333624210121416182426283038402481012141620222628303234362426810121424610122426244262628262681026286236[[#This Row],[Uso diário]]*5</f>
        <v>94</v>
      </c>
      <c r="Q7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7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6" s="25">
        <v>13</v>
      </c>
    </row>
    <row r="787" spans="1:20" s="26" customFormat="1" x14ac:dyDescent="0.25">
      <c r="A787" s="16">
        <v>224363</v>
      </c>
      <c r="B787" s="30" t="s">
        <v>385</v>
      </c>
      <c r="C787" s="20" t="s">
        <v>653</v>
      </c>
      <c r="D787" s="20" t="s">
        <v>714</v>
      </c>
      <c r="E787" s="20" t="s">
        <v>3086</v>
      </c>
      <c r="F787" s="20" t="s">
        <v>3087</v>
      </c>
      <c r="G787" s="21">
        <v>10</v>
      </c>
      <c r="H787" s="16">
        <v>26</v>
      </c>
      <c r="I787" s="16"/>
      <c r="J7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87" s="22"/>
      <c r="L787" s="23"/>
      <c r="M787" s="23">
        <f>SUM(Tabela174681012142230322681619252731333624210121416182426283038402481012141620222628303234362426810121424610122426244262628262681026286236[[#This Row],[Saldo no cartão]:[Recarga Pendente]])</f>
        <v>0</v>
      </c>
      <c r="N787" s="19">
        <f>Tabela174681012142230322681619252731333624210121416182426283038402481012141620222628303234362426810121424610122426244262628262681026286236[[#This Row],[Uso diário]]*2</f>
        <v>20</v>
      </c>
      <c r="O787" s="19">
        <f>Tabela174681012142230322681619252731333624210121416182426283038402481012141620222628303234362426810121424610122426244262628262681026286236[[#This Row],[Total Acumulado]]-P787</f>
        <v>-50</v>
      </c>
      <c r="P787" s="48">
        <f>Tabela174681012142230322681619252731333624210121416182426283038402481012141620222628303234362426810121424610122426244262628262681026286236[[#This Row],[Uso diário]]*5</f>
        <v>50</v>
      </c>
      <c r="Q7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7" s="25">
        <v>13</v>
      </c>
    </row>
    <row r="788" spans="1:20" s="26" customFormat="1" x14ac:dyDescent="0.25">
      <c r="A788" s="16">
        <v>214409</v>
      </c>
      <c r="B788" s="30" t="s">
        <v>386</v>
      </c>
      <c r="C788" s="20" t="s">
        <v>654</v>
      </c>
      <c r="D788" s="20" t="s">
        <v>715</v>
      </c>
      <c r="E788" s="20" t="s">
        <v>3088</v>
      </c>
      <c r="F788" s="20" t="s">
        <v>3089</v>
      </c>
      <c r="G788" s="21">
        <v>10</v>
      </c>
      <c r="H788" s="16">
        <v>26</v>
      </c>
      <c r="I788" s="16"/>
      <c r="J7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88" s="22"/>
      <c r="L788" s="23"/>
      <c r="M788" s="23">
        <f>SUM(Tabela174681012142230322681619252731333624210121416182426283038402481012141620222628303234362426810121424610122426244262628262681026286236[[#This Row],[Saldo no cartão]:[Recarga Pendente]])</f>
        <v>0</v>
      </c>
      <c r="N788" s="19">
        <f>Tabela174681012142230322681619252731333624210121416182426283038402481012141620222628303234362426810121424610122426244262628262681026286236[[#This Row],[Uso diário]]*2</f>
        <v>20</v>
      </c>
      <c r="O788" s="19">
        <f>Tabela174681012142230322681619252731333624210121416182426283038402481012141620222628303234362426810121424610122426244262628262681026286236[[#This Row],[Total Acumulado]]-P788</f>
        <v>-50</v>
      </c>
      <c r="P788" s="48">
        <f>Tabela174681012142230322681619252731333624210121416182426283038402481012141620222628303234362426810121424610122426244262628262681026286236[[#This Row],[Uso diário]]*5</f>
        <v>50</v>
      </c>
      <c r="Q7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8" s="25">
        <v>13</v>
      </c>
    </row>
    <row r="789" spans="1:20" s="26" customFormat="1" x14ac:dyDescent="0.25">
      <c r="A789" s="16">
        <v>232332</v>
      </c>
      <c r="B789" s="30" t="s">
        <v>887</v>
      </c>
      <c r="C789" s="20" t="s">
        <v>654</v>
      </c>
      <c r="D789" s="20" t="s">
        <v>715</v>
      </c>
      <c r="E789" s="20" t="s">
        <v>3090</v>
      </c>
      <c r="F789" s="20" t="s">
        <v>3091</v>
      </c>
      <c r="G789" s="21">
        <v>10</v>
      </c>
      <c r="H789" s="16">
        <v>26</v>
      </c>
      <c r="I789" s="16"/>
      <c r="J7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89" s="22"/>
      <c r="L789" s="23"/>
      <c r="M789" s="23">
        <f>SUM(Tabela174681012142230322681619252731333624210121416182426283038402481012141620222628303234362426810121424610122426244262628262681026286236[[#This Row],[Saldo no cartão]:[Recarga Pendente]])</f>
        <v>0</v>
      </c>
      <c r="N789" s="19">
        <f>Tabela174681012142230322681619252731333624210121416182426283038402481012141620222628303234362426810121424610122426244262628262681026286236[[#This Row],[Uso diário]]*2</f>
        <v>20</v>
      </c>
      <c r="O789" s="19">
        <f>Tabela174681012142230322681619252731333624210121416182426283038402481012141620222628303234362426810121424610122426244262628262681026286236[[#This Row],[Total Acumulado]]-P789</f>
        <v>-50</v>
      </c>
      <c r="P789" s="48">
        <f>Tabela174681012142230322681619252731333624210121416182426283038402481012141620222628303234362426810121424610122426244262628262681026286236[[#This Row],[Uso diário]]*5</f>
        <v>50</v>
      </c>
      <c r="Q7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89" s="25">
        <v>13</v>
      </c>
    </row>
    <row r="790" spans="1:20" s="26" customFormat="1" x14ac:dyDescent="0.25">
      <c r="A790" s="16">
        <v>229684</v>
      </c>
      <c r="B790" s="30" t="s">
        <v>390</v>
      </c>
      <c r="C790" s="20" t="s">
        <v>655</v>
      </c>
      <c r="D790" s="20" t="s">
        <v>713</v>
      </c>
      <c r="E790" s="20" t="s">
        <v>3092</v>
      </c>
      <c r="F790" s="20" t="s">
        <v>3093</v>
      </c>
      <c r="G790" s="21">
        <v>10</v>
      </c>
      <c r="H790" s="16">
        <v>26</v>
      </c>
      <c r="I790" s="16"/>
      <c r="J7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90" s="22"/>
      <c r="L790" s="23"/>
      <c r="M790" s="23">
        <f>SUM(Tabela174681012142230322681619252731333624210121416182426283038402481012141620222628303234362426810121424610122426244262628262681026286236[[#This Row],[Saldo no cartão]:[Recarga Pendente]])</f>
        <v>0</v>
      </c>
      <c r="N790" s="19">
        <f>Tabela174681012142230322681619252731333624210121416182426283038402481012141620222628303234362426810121424610122426244262628262681026286236[[#This Row],[Uso diário]]*2</f>
        <v>20</v>
      </c>
      <c r="O790" s="19">
        <f>Tabela174681012142230322681619252731333624210121416182426283038402481012141620222628303234362426810121424610122426244262628262681026286236[[#This Row],[Total Acumulado]]-P790</f>
        <v>-50</v>
      </c>
      <c r="P790" s="48">
        <f>Tabela174681012142230322681619252731333624210121416182426283038402481012141620222628303234362426810121424610122426244262628262681026286236[[#This Row],[Uso diário]]*5</f>
        <v>50</v>
      </c>
      <c r="Q7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0" s="25">
        <v>13</v>
      </c>
    </row>
    <row r="791" spans="1:20" s="26" customFormat="1" x14ac:dyDescent="0.25">
      <c r="A791" s="16">
        <v>229836</v>
      </c>
      <c r="B791" s="30" t="s">
        <v>388</v>
      </c>
      <c r="C791" s="20" t="s">
        <v>655</v>
      </c>
      <c r="D791" s="20" t="s">
        <v>713</v>
      </c>
      <c r="E791" s="20" t="s">
        <v>3094</v>
      </c>
      <c r="F791" s="20" t="s">
        <v>3095</v>
      </c>
      <c r="G791" s="21">
        <v>10</v>
      </c>
      <c r="H791" s="16">
        <v>26</v>
      </c>
      <c r="I791" s="16"/>
      <c r="J7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91" s="22"/>
      <c r="L791" s="23"/>
      <c r="M791" s="23">
        <f>SUM(Tabela174681012142230322681619252731333624210121416182426283038402481012141620222628303234362426810121424610122426244262628262681026286236[[#This Row],[Saldo no cartão]:[Recarga Pendente]])</f>
        <v>0</v>
      </c>
      <c r="N791" s="19">
        <f>Tabela174681012142230322681619252731333624210121416182426283038402481012141620222628303234362426810121424610122426244262628262681026286236[[#This Row],[Uso diário]]*2</f>
        <v>20</v>
      </c>
      <c r="O791" s="19">
        <f>Tabela174681012142230322681619252731333624210121416182426283038402481012141620222628303234362426810121424610122426244262628262681026286236[[#This Row],[Total Acumulado]]-P791</f>
        <v>-50</v>
      </c>
      <c r="P791" s="48">
        <f>Tabela174681012142230322681619252731333624210121416182426283038402481012141620222628303234362426810121424610122426244262628262681026286236[[#This Row],[Uso diário]]*5</f>
        <v>50</v>
      </c>
      <c r="Q7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1" s="25">
        <v>13</v>
      </c>
    </row>
    <row r="792" spans="1:20" s="26" customFormat="1" x14ac:dyDescent="0.25">
      <c r="A792" s="16">
        <v>232028</v>
      </c>
      <c r="B792" s="30" t="s">
        <v>835</v>
      </c>
      <c r="C792" s="20" t="s">
        <v>655</v>
      </c>
      <c r="D792" s="20" t="s">
        <v>734</v>
      </c>
      <c r="E792" s="20" t="s">
        <v>3096</v>
      </c>
      <c r="F792" s="20" t="s">
        <v>3097</v>
      </c>
      <c r="G792" s="21">
        <v>10</v>
      </c>
      <c r="H792" s="16">
        <v>26</v>
      </c>
      <c r="I792" s="16"/>
      <c r="J7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92" s="22"/>
      <c r="L792" s="23"/>
      <c r="M792" s="23">
        <f>SUM(Tabela174681012142230322681619252731333624210121416182426283038402481012141620222628303234362426810121424610122426244262628262681026286236[[#This Row],[Saldo no cartão]:[Recarga Pendente]])</f>
        <v>0</v>
      </c>
      <c r="N792" s="19">
        <f>Tabela174681012142230322681619252731333624210121416182426283038402481012141620222628303234362426810121424610122426244262628262681026286236[[#This Row],[Uso diário]]*2</f>
        <v>20</v>
      </c>
      <c r="O792" s="19">
        <f>Tabela174681012142230322681619252731333624210121416182426283038402481012141620222628303234362426810121424610122426244262628262681026286236[[#This Row],[Total Acumulado]]-P792</f>
        <v>-50</v>
      </c>
      <c r="P792" s="48">
        <f>Tabela174681012142230322681619252731333624210121416182426283038402481012141620222628303234362426810121424610122426244262628262681026286236[[#This Row],[Uso diário]]*5</f>
        <v>50</v>
      </c>
      <c r="Q7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2" s="25">
        <v>13</v>
      </c>
    </row>
    <row r="793" spans="1:20" s="26" customFormat="1" x14ac:dyDescent="0.25">
      <c r="A793" s="16">
        <v>223009</v>
      </c>
      <c r="B793" s="30" t="s">
        <v>329</v>
      </c>
      <c r="C793" s="20" t="s">
        <v>641</v>
      </c>
      <c r="D793" s="20" t="s">
        <v>704</v>
      </c>
      <c r="E793" s="20" t="s">
        <v>3098</v>
      </c>
      <c r="F793" s="20" t="s">
        <v>3099</v>
      </c>
      <c r="G793" s="21">
        <v>18.8</v>
      </c>
      <c r="H793" s="16">
        <v>26</v>
      </c>
      <c r="I793" s="16"/>
      <c r="J7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93" s="22"/>
      <c r="L793" s="23"/>
      <c r="M793" s="23">
        <f>SUM(Tabela174681012142230322681619252731333624210121416182426283038402481012141620222628303234362426810121424610122426244262628262681026286236[[#This Row],[Saldo no cartão]:[Recarga Pendente]])</f>
        <v>0</v>
      </c>
      <c r="N793" s="19">
        <f>Tabela174681012142230322681619252731333624210121416182426283038402481012141620222628303234362426810121424610122426244262628262681026286236[[#This Row],[Uso diário]]*2</f>
        <v>37.6</v>
      </c>
      <c r="O793" s="19">
        <f>Tabela174681012142230322681619252731333624210121416182426283038402481012141620222628303234362426810121424610122426244262628262681026286236[[#This Row],[Total Acumulado]]-P793</f>
        <v>-94</v>
      </c>
      <c r="P793" s="48">
        <f>Tabela174681012142230322681619252731333624210121416182426283038402481012141620222628303234362426810121424610122426244262628262681026286236[[#This Row],[Uso diário]]*5</f>
        <v>94</v>
      </c>
      <c r="Q7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3" s="25">
        <v>13</v>
      </c>
    </row>
    <row r="794" spans="1:20" s="26" customFormat="1" x14ac:dyDescent="0.25">
      <c r="A794" s="16">
        <v>224403</v>
      </c>
      <c r="B794" s="30" t="s">
        <v>389</v>
      </c>
      <c r="C794" s="20" t="s">
        <v>641</v>
      </c>
      <c r="D794" s="20" t="s">
        <v>704</v>
      </c>
      <c r="E794" s="20" t="s">
        <v>3100</v>
      </c>
      <c r="F794" s="20" t="s">
        <v>3101</v>
      </c>
      <c r="G794" s="21">
        <v>18.8</v>
      </c>
      <c r="H794" s="16">
        <v>26</v>
      </c>
      <c r="I794" s="16"/>
      <c r="J7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94" s="22"/>
      <c r="L794" s="23"/>
      <c r="M794" s="23">
        <f>SUM(Tabela174681012142230322681619252731333624210121416182426283038402481012141620222628303234362426810121424610122426244262628262681026286236[[#This Row],[Saldo no cartão]:[Recarga Pendente]])</f>
        <v>0</v>
      </c>
      <c r="N794" s="19">
        <f>Tabela174681012142230322681619252731333624210121416182426283038402481012141620222628303234362426810121424610122426244262628262681026286236[[#This Row],[Uso diário]]*2</f>
        <v>37.6</v>
      </c>
      <c r="O794" s="19">
        <f>Tabela174681012142230322681619252731333624210121416182426283038402481012141620222628303234362426810121424610122426244262628262681026286236[[#This Row],[Total Acumulado]]-P794</f>
        <v>-94</v>
      </c>
      <c r="P794" s="48">
        <f>Tabela174681012142230322681619252731333624210121416182426283038402481012141620222628303234362426810121424610122426244262628262681026286236[[#This Row],[Uso diário]]*5</f>
        <v>94</v>
      </c>
      <c r="Q7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4" s="25">
        <v>13</v>
      </c>
    </row>
    <row r="795" spans="1:20" s="26" customFormat="1" x14ac:dyDescent="0.25">
      <c r="A795" s="16">
        <v>230277</v>
      </c>
      <c r="B795" s="30" t="s">
        <v>139</v>
      </c>
      <c r="C795" s="20" t="s">
        <v>641</v>
      </c>
      <c r="D795" s="20" t="s">
        <v>704</v>
      </c>
      <c r="E795" s="20" t="s">
        <v>3102</v>
      </c>
      <c r="F795" s="20" t="s">
        <v>3103</v>
      </c>
      <c r="G795" s="21">
        <v>10</v>
      </c>
      <c r="H795" s="16">
        <v>26</v>
      </c>
      <c r="I795" s="16"/>
      <c r="J7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95" s="22"/>
      <c r="L795" s="23">
        <v>30</v>
      </c>
      <c r="M795" s="23">
        <f>SUM(Tabela174681012142230322681619252731333624210121416182426283038402481012141620222628303234362426810121424610122426244262628262681026286236[[#This Row],[Saldo no cartão]:[Recarga Pendente]])</f>
        <v>30</v>
      </c>
      <c r="N795" s="19">
        <f>Tabela174681012142230322681619252731333624210121416182426283038402481012141620222628303234362426810121424610122426244262628262681026286236[[#This Row],[Uso diário]]*2</f>
        <v>20</v>
      </c>
      <c r="O795" s="19">
        <f>Tabela174681012142230322681619252731333624210121416182426283038402481012141620222628303234362426810121424610122426244262628262681026286236[[#This Row],[Total Acumulado]]-P795</f>
        <v>-20</v>
      </c>
      <c r="P795" s="48">
        <f>Tabela174681012142230322681619252731333624210121416182426283038402481012141620222628303234362426810121424610122426244262628262681026286236[[#This Row],[Uso diário]]*5</f>
        <v>50</v>
      </c>
      <c r="Q7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5" s="25">
        <v>13</v>
      </c>
    </row>
    <row r="796" spans="1:20" s="26" customFormat="1" x14ac:dyDescent="0.25">
      <c r="A796" s="16">
        <v>231998</v>
      </c>
      <c r="B796" s="30" t="s">
        <v>880</v>
      </c>
      <c r="C796" s="20" t="s">
        <v>641</v>
      </c>
      <c r="D796" s="20" t="s">
        <v>705</v>
      </c>
      <c r="E796" s="20" t="s">
        <v>3104</v>
      </c>
      <c r="F796" s="20" t="s">
        <v>3105</v>
      </c>
      <c r="G796" s="21">
        <v>18.8</v>
      </c>
      <c r="H796" s="16">
        <v>26</v>
      </c>
      <c r="I796" s="16"/>
      <c r="J7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96" s="22"/>
      <c r="L796" s="23"/>
      <c r="M796" s="23">
        <f>SUM(Tabela174681012142230322681619252731333624210121416182426283038402481012141620222628303234362426810121424610122426244262628262681026286236[[#This Row],[Saldo no cartão]:[Recarga Pendente]])</f>
        <v>0</v>
      </c>
      <c r="N796" s="19">
        <f>Tabela174681012142230322681619252731333624210121416182426283038402481012141620222628303234362426810121424610122426244262628262681026286236[[#This Row],[Uso diário]]*2</f>
        <v>37.6</v>
      </c>
      <c r="O796" s="19">
        <f>Tabela174681012142230322681619252731333624210121416182426283038402481012141620222628303234362426810121424610122426244262628262681026286236[[#This Row],[Total Acumulado]]-P796</f>
        <v>-94</v>
      </c>
      <c r="P796" s="48">
        <f>Tabela174681012142230322681619252731333624210121416182426283038402481012141620222628303234362426810121424610122426244262628262681026286236[[#This Row],[Uso diário]]*5</f>
        <v>94</v>
      </c>
      <c r="Q7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6" s="25">
        <v>13</v>
      </c>
    </row>
    <row r="797" spans="1:20" s="26" customFormat="1" x14ac:dyDescent="0.25">
      <c r="A797" s="16">
        <v>233508</v>
      </c>
      <c r="B797" s="30" t="s">
        <v>1089</v>
      </c>
      <c r="C797" s="20" t="s">
        <v>641</v>
      </c>
      <c r="D797" s="20" t="s">
        <v>704</v>
      </c>
      <c r="E797" s="20" t="s">
        <v>3106</v>
      </c>
      <c r="F797" s="20" t="s">
        <v>3107</v>
      </c>
      <c r="G797" s="21">
        <v>10</v>
      </c>
      <c r="H797" s="16">
        <v>26</v>
      </c>
      <c r="I797" s="16"/>
      <c r="J7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797" s="22"/>
      <c r="L797" s="23"/>
      <c r="M797" s="23">
        <f>SUM(Tabela174681012142230322681619252731333624210121416182426283038402481012141620222628303234362426810121424610122426244262628262681026286236[[#This Row],[Saldo no cartão]:[Recarga Pendente]])</f>
        <v>0</v>
      </c>
      <c r="N797" s="19">
        <f>Tabela174681012142230322681619252731333624210121416182426283038402481012141620222628303234362426810121424610122426244262628262681026286236[[#This Row],[Uso diário]]*2</f>
        <v>20</v>
      </c>
      <c r="O797" s="19">
        <f>Tabela174681012142230322681619252731333624210121416182426283038402481012141620222628303234362426810121424610122426244262628262681026286236[[#This Row],[Total Acumulado]]-P797</f>
        <v>-50</v>
      </c>
      <c r="P797" s="48">
        <f>Tabela174681012142230322681619252731333624210121416182426283038402481012141620222628303234362426810121424610122426244262628262681026286236[[#This Row],[Uso diário]]*5</f>
        <v>50</v>
      </c>
      <c r="Q7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7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7" s="25">
        <v>13</v>
      </c>
    </row>
    <row r="798" spans="1:20" s="26" customFormat="1" x14ac:dyDescent="0.25">
      <c r="A798" s="16">
        <v>219451</v>
      </c>
      <c r="B798" s="30" t="s">
        <v>374</v>
      </c>
      <c r="C798" s="20" t="s">
        <v>647</v>
      </c>
      <c r="D798" s="20" t="s">
        <v>722</v>
      </c>
      <c r="E798" s="20" t="s">
        <v>3108</v>
      </c>
      <c r="F798" s="20" t="s">
        <v>3109</v>
      </c>
      <c r="G798" s="21">
        <v>13.4</v>
      </c>
      <c r="H798" s="16">
        <v>26</v>
      </c>
      <c r="I798" s="16"/>
      <c r="J7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798" s="22"/>
      <c r="L798" s="23"/>
      <c r="M798" s="23">
        <f>SUM(Tabela174681012142230322681619252731333624210121416182426283038402481012141620222628303234362426810121424610122426244262628262681026286236[[#This Row],[Saldo no cartão]:[Recarga Pendente]])</f>
        <v>0</v>
      </c>
      <c r="N798" s="19">
        <f>Tabela174681012142230322681619252731333624210121416182426283038402481012141620222628303234362426810121424610122426244262628262681026286236[[#This Row],[Uso diário]]*2</f>
        <v>26.8</v>
      </c>
      <c r="O798" s="19">
        <f>Tabela174681012142230322681619252731333624210121416182426283038402481012141620222628303234362426810121424610122426244262628262681026286236[[#This Row],[Total Acumulado]]-P798</f>
        <v>-67</v>
      </c>
      <c r="P798" s="48">
        <f>Tabela174681012142230322681619252731333624210121416182426283038402481012141620222628303234362426810121424610122426244262628262681026286236[[#This Row],[Uso diário]]*5</f>
        <v>67</v>
      </c>
      <c r="Q7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7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8" s="25">
        <v>15</v>
      </c>
    </row>
    <row r="799" spans="1:20" s="26" customFormat="1" x14ac:dyDescent="0.25">
      <c r="A799" s="16">
        <v>222460</v>
      </c>
      <c r="B799" s="30" t="s">
        <v>393</v>
      </c>
      <c r="C799" s="20" t="s">
        <v>647</v>
      </c>
      <c r="D799" s="20" t="s">
        <v>720</v>
      </c>
      <c r="E799" s="20" t="s">
        <v>3110</v>
      </c>
      <c r="F799" s="20" t="s">
        <v>3111</v>
      </c>
      <c r="G799" s="21">
        <v>18.8</v>
      </c>
      <c r="H799" s="16">
        <v>26</v>
      </c>
      <c r="I799" s="16"/>
      <c r="J7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799" s="22"/>
      <c r="L799" s="23"/>
      <c r="M799" s="23">
        <f>SUM(Tabela174681012142230322681619252731333624210121416182426283038402481012141620222628303234362426810121424610122426244262628262681026286236[[#This Row],[Saldo no cartão]:[Recarga Pendente]])</f>
        <v>0</v>
      </c>
      <c r="N799" s="19">
        <f>Tabela174681012142230322681619252731333624210121416182426283038402481012141620222628303234362426810121424610122426244262628262681026286236[[#This Row],[Uso diário]]*2</f>
        <v>37.6</v>
      </c>
      <c r="O799" s="19">
        <f>Tabela174681012142230322681619252731333624210121416182426283038402481012141620222628303234362426810121424610122426244262628262681026286236[[#This Row],[Total Acumulado]]-P799</f>
        <v>-94</v>
      </c>
      <c r="P799" s="48">
        <f>Tabela174681012142230322681619252731333624210121416182426283038402481012141620222628303234362426810121424610122426244262628262681026286236[[#This Row],[Uso diário]]*5</f>
        <v>94</v>
      </c>
      <c r="Q7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7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7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799" s="25">
        <v>15</v>
      </c>
    </row>
    <row r="800" spans="1:20" s="26" customFormat="1" x14ac:dyDescent="0.25">
      <c r="A800" s="16">
        <v>229442</v>
      </c>
      <c r="B800" s="30" t="s">
        <v>1479</v>
      </c>
      <c r="C800" s="20" t="s">
        <v>650</v>
      </c>
      <c r="D800" s="20" t="s">
        <v>726</v>
      </c>
      <c r="E800" s="20" t="s">
        <v>3112</v>
      </c>
      <c r="F800" s="20" t="s">
        <v>3113</v>
      </c>
      <c r="G800" s="21">
        <v>18.8</v>
      </c>
      <c r="H800" s="16">
        <v>26</v>
      </c>
      <c r="I800" s="16"/>
      <c r="J8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00" s="22"/>
      <c r="L800" s="23"/>
      <c r="M800" s="23">
        <f>SUM(Tabela174681012142230322681619252731333624210121416182426283038402481012141620222628303234362426810121424610122426244262628262681026286236[[#This Row],[Saldo no cartão]:[Recarga Pendente]])</f>
        <v>0</v>
      </c>
      <c r="N800" s="19">
        <f>Tabela174681012142230322681619252731333624210121416182426283038402481012141620222628303234362426810121424610122426244262628262681026286236[[#This Row],[Uso diário]]*2</f>
        <v>37.6</v>
      </c>
      <c r="O800" s="19">
        <f>Tabela174681012142230322681619252731333624210121416182426283038402481012141620222628303234362426810121424610122426244262628262681026286236[[#This Row],[Total Acumulado]]-P800</f>
        <v>-94</v>
      </c>
      <c r="P800" s="48">
        <f>Tabela174681012142230322681619252731333624210121416182426283038402481012141620222628303234362426810121424610122426244262628262681026286236[[#This Row],[Uso diário]]*5</f>
        <v>94</v>
      </c>
      <c r="Q8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0" s="25">
        <v>15</v>
      </c>
    </row>
    <row r="801" spans="1:20" s="26" customFormat="1" x14ac:dyDescent="0.25">
      <c r="A801" s="16">
        <v>235010</v>
      </c>
      <c r="B801" s="30" t="s">
        <v>1480</v>
      </c>
      <c r="C801" s="20" t="s">
        <v>650</v>
      </c>
      <c r="D801" s="20" t="s">
        <v>738</v>
      </c>
      <c r="E801" s="20" t="s">
        <v>3114</v>
      </c>
      <c r="F801" s="20" t="s">
        <v>3115</v>
      </c>
      <c r="G801" s="21">
        <v>18.8</v>
      </c>
      <c r="H801" s="16">
        <v>26</v>
      </c>
      <c r="I801" s="16"/>
      <c r="J8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01" s="22"/>
      <c r="L801" s="23">
        <v>169.2</v>
      </c>
      <c r="M801" s="23">
        <f>SUM(Tabela174681012142230322681619252731333624210121416182426283038402481012141620222628303234362426810121424610122426244262628262681026286236[[#This Row],[Saldo no cartão]:[Recarga Pendente]])</f>
        <v>169.2</v>
      </c>
      <c r="N801" s="19">
        <f>Tabela174681012142230322681619252731333624210121416182426283038402481012141620222628303234362426810121424610122426244262628262681026286236[[#This Row],[Uso diário]]*2</f>
        <v>37.6</v>
      </c>
      <c r="O801" s="19">
        <f>Tabela174681012142230322681619252731333624210121416182426283038402481012141620222628303234362426810121424610122426244262628262681026286236[[#This Row],[Total Acumulado]]-P801</f>
        <v>75.199999999999989</v>
      </c>
      <c r="P801" s="48">
        <f>Tabela174681012142230322681619252731333624210121416182426283038402481012141620222628303234362426810121424610122426244262628262681026286236[[#This Row],[Uso diário]]*5</f>
        <v>94</v>
      </c>
      <c r="Q8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75.199999999999989</v>
      </c>
      <c r="R8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01" s="18" t="s">
        <v>11</v>
      </c>
      <c r="T801" s="25">
        <v>15</v>
      </c>
    </row>
    <row r="802" spans="1:20" s="26" customFormat="1" x14ac:dyDescent="0.25">
      <c r="A802" s="16">
        <v>221825</v>
      </c>
      <c r="B802" s="30" t="s">
        <v>391</v>
      </c>
      <c r="C802" s="20" t="s">
        <v>654</v>
      </c>
      <c r="D802" s="20" t="s">
        <v>715</v>
      </c>
      <c r="E802" s="20" t="s">
        <v>3116</v>
      </c>
      <c r="F802" s="20" t="s">
        <v>3117</v>
      </c>
      <c r="G802" s="21">
        <v>18.8</v>
      </c>
      <c r="H802" s="16">
        <v>5</v>
      </c>
      <c r="I802" s="16">
        <v>2</v>
      </c>
      <c r="J8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56.400000000000006</v>
      </c>
      <c r="K802" s="22"/>
      <c r="L802" s="23"/>
      <c r="M802" s="23">
        <f>SUM(Tabela174681012142230322681619252731333624210121416182426283038402481012141620222628303234362426810121424610122426244262628262681026286236[[#This Row],[Saldo no cartão]:[Recarga Pendente]])</f>
        <v>0</v>
      </c>
      <c r="N802" s="19">
        <f>Tabela174681012142230322681619252731333624210121416182426283038402481012141620222628303234362426810121424610122426244262628262681026286236[[#This Row],[Uso diário]]*2</f>
        <v>37.6</v>
      </c>
      <c r="O802" s="19">
        <f>Tabela174681012142230322681619252731333624210121416182426283038402481012141620222628303234362426810121424610122426244262628262681026286236[[#This Row],[Total Acumulado]]-P802</f>
        <v>-94</v>
      </c>
      <c r="P802" s="48">
        <f>Tabela174681012142230322681619252731333624210121416182426283038402481012141620222628303234362426810121424610122426244262628262681026286236[[#This Row],[Uso diário]]*5</f>
        <v>94</v>
      </c>
      <c r="Q8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56.400000000000006</v>
      </c>
      <c r="S8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2" s="25">
        <v>15</v>
      </c>
    </row>
    <row r="803" spans="1:20" s="26" customFormat="1" x14ac:dyDescent="0.25">
      <c r="A803" s="16">
        <v>221070</v>
      </c>
      <c r="B803" s="30" t="s">
        <v>1206</v>
      </c>
      <c r="C803" s="20" t="s">
        <v>641</v>
      </c>
      <c r="D803" s="20" t="s">
        <v>704</v>
      </c>
      <c r="E803" s="20" t="s">
        <v>3118</v>
      </c>
      <c r="F803" s="20" t="s">
        <v>3119</v>
      </c>
      <c r="G803" s="21">
        <v>18.8</v>
      </c>
      <c r="H803" s="16">
        <v>26</v>
      </c>
      <c r="I803" s="16"/>
      <c r="J8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03" s="22"/>
      <c r="L803" s="23">
        <v>120.15</v>
      </c>
      <c r="M803" s="23">
        <f>SUM(Tabela174681012142230322681619252731333624210121416182426283038402481012141620222628303234362426810121424610122426244262628262681026286236[[#This Row],[Saldo no cartão]:[Recarga Pendente]])</f>
        <v>120.15</v>
      </c>
      <c r="N803" s="19">
        <f>Tabela174681012142230322681619252731333624210121416182426283038402481012141620222628303234362426810121424610122426244262628262681026286236[[#This Row],[Uso diário]]*2</f>
        <v>37.6</v>
      </c>
      <c r="O803" s="19">
        <f>Tabela174681012142230322681619252731333624210121416182426283038402481012141620222628303234362426810121424610122426244262628262681026286236[[#This Row],[Total Acumulado]]-P803</f>
        <v>26.150000000000006</v>
      </c>
      <c r="P803" s="48">
        <f>Tabela174681012142230322681619252731333624210121416182426283038402481012141620222628303234362426810121424610122426244262628262681026286236[[#This Row],[Uso diário]]*5</f>
        <v>94</v>
      </c>
      <c r="Q8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3" s="25">
        <v>15</v>
      </c>
    </row>
    <row r="804" spans="1:20" s="26" customFormat="1" x14ac:dyDescent="0.25">
      <c r="A804" s="16">
        <v>234778</v>
      </c>
      <c r="B804" s="30" t="s">
        <v>1372</v>
      </c>
      <c r="C804" s="20" t="s">
        <v>641</v>
      </c>
      <c r="D804" s="20" t="s">
        <v>704</v>
      </c>
      <c r="E804" s="20" t="s">
        <v>3120</v>
      </c>
      <c r="F804" s="20" t="s">
        <v>3121</v>
      </c>
      <c r="G804" s="21">
        <v>18.8</v>
      </c>
      <c r="H804" s="16">
        <v>26</v>
      </c>
      <c r="I804" s="16"/>
      <c r="J8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04" s="22"/>
      <c r="L804" s="23"/>
      <c r="M804" s="23">
        <f>SUM(Tabela174681012142230322681619252731333624210121416182426283038402481012141620222628303234362426810121424610122426244262628262681026286236[[#This Row],[Saldo no cartão]:[Recarga Pendente]])</f>
        <v>0</v>
      </c>
      <c r="N804" s="19">
        <f>Tabela174681012142230322681619252731333624210121416182426283038402481012141620222628303234362426810121424610122426244262628262681026286236[[#This Row],[Uso diário]]*2</f>
        <v>37.6</v>
      </c>
      <c r="O804" s="19">
        <f>Tabela174681012142230322681619252731333624210121416182426283038402481012141620222628303234362426810121424610122426244262628262681026286236[[#This Row],[Total Acumulado]]-P804</f>
        <v>-94</v>
      </c>
      <c r="P804" s="48">
        <f>Tabela174681012142230322681619252731333624210121416182426283038402481012141620222628303234362426810121424610122426244262628262681026286236[[#This Row],[Uso diário]]*5</f>
        <v>94</v>
      </c>
      <c r="Q8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4" s="25">
        <v>15</v>
      </c>
    </row>
    <row r="805" spans="1:20" s="26" customFormat="1" x14ac:dyDescent="0.25">
      <c r="A805" s="16">
        <v>210028</v>
      </c>
      <c r="B805" s="30" t="s">
        <v>358</v>
      </c>
      <c r="C805" s="20" t="s">
        <v>648</v>
      </c>
      <c r="D805" s="20" t="s">
        <v>737</v>
      </c>
      <c r="E805" s="20" t="s">
        <v>3122</v>
      </c>
      <c r="F805" s="20" t="s">
        <v>3123</v>
      </c>
      <c r="G805" s="21">
        <v>18.8</v>
      </c>
      <c r="H805" s="16">
        <v>26</v>
      </c>
      <c r="I805" s="16"/>
      <c r="J8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05" s="22"/>
      <c r="L805" s="23"/>
      <c r="M805" s="23">
        <f>SUM(Tabela174681012142230322681619252731333624210121416182426283038402481012141620222628303234362426810121424610122426244262628262681026286236[[#This Row],[Saldo no cartão]:[Recarga Pendente]])</f>
        <v>0</v>
      </c>
      <c r="N805" s="19">
        <f>Tabela174681012142230322681619252731333624210121416182426283038402481012141620222628303234362426810121424610122426244262628262681026286236[[#This Row],[Uso diário]]*2</f>
        <v>37.6</v>
      </c>
      <c r="O805" s="19">
        <f>Tabela174681012142230322681619252731333624210121416182426283038402481012141620222628303234362426810121424610122426244262628262681026286236[[#This Row],[Total Acumulado]]-P805</f>
        <v>-94</v>
      </c>
      <c r="P805" s="48">
        <f>Tabela174681012142230322681619252731333624210121416182426283038402481012141620222628303234362426810121424610122426244262628262681026286236[[#This Row],[Uso diário]]*5</f>
        <v>94</v>
      </c>
      <c r="Q8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5" s="25">
        <v>16</v>
      </c>
    </row>
    <row r="806" spans="1:20" s="26" customFormat="1" x14ac:dyDescent="0.25">
      <c r="A806" s="16">
        <v>231904</v>
      </c>
      <c r="B806" s="30" t="s">
        <v>836</v>
      </c>
      <c r="C806" s="20" t="s">
        <v>636</v>
      </c>
      <c r="D806" s="20" t="s">
        <v>729</v>
      </c>
      <c r="E806" s="20" t="s">
        <v>3124</v>
      </c>
      <c r="F806" s="20" t="s">
        <v>3125</v>
      </c>
      <c r="G806" s="21">
        <v>9.4</v>
      </c>
      <c r="H806" s="16">
        <v>22</v>
      </c>
      <c r="I806" s="16">
        <v>4</v>
      </c>
      <c r="J8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169.20000000000002</v>
      </c>
      <c r="K806" s="22"/>
      <c r="L806" s="23"/>
      <c r="M806" s="23">
        <f>SUM(Tabela174681012142230322681619252731333624210121416182426283038402481012141620222628303234362426810121424610122426244262628262681026286236[[#This Row],[Saldo no cartão]:[Recarga Pendente]])</f>
        <v>0</v>
      </c>
      <c r="N806" s="19">
        <f>Tabela174681012142230322681619252731333624210121416182426283038402481012141620222628303234362426810121424610122426244262628262681026286236[[#This Row],[Uso diário]]*2</f>
        <v>18.8</v>
      </c>
      <c r="O806" s="19">
        <f>Tabela174681012142230322681619252731333624210121416182426283038402481012141620222628303234362426810121424610122426244262628262681026286236[[#This Row],[Total Acumulado]]-P806</f>
        <v>-47</v>
      </c>
      <c r="P806" s="48">
        <f>Tabela174681012142230322681619252731333624210121416182426283038402481012141620222628303234362426810121424610122426244262628262681026286236[[#This Row],[Uso diário]]*5</f>
        <v>47</v>
      </c>
      <c r="Q8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169.20000000000002</v>
      </c>
      <c r="S8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6" s="25">
        <v>16</v>
      </c>
    </row>
    <row r="807" spans="1:20" s="26" customFormat="1" x14ac:dyDescent="0.25">
      <c r="A807" s="16">
        <v>231905</v>
      </c>
      <c r="B807" s="30" t="s">
        <v>837</v>
      </c>
      <c r="C807" s="20" t="s">
        <v>636</v>
      </c>
      <c r="D807" s="20" t="s">
        <v>729</v>
      </c>
      <c r="E807" s="20" t="s">
        <v>3126</v>
      </c>
      <c r="F807" s="20" t="s">
        <v>3127</v>
      </c>
      <c r="G807" s="21">
        <v>9.4</v>
      </c>
      <c r="H807" s="16">
        <v>22</v>
      </c>
      <c r="I807" s="16">
        <v>3</v>
      </c>
      <c r="J8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178.6</v>
      </c>
      <c r="K807" s="22"/>
      <c r="L807" s="23"/>
      <c r="M807" s="23">
        <f>SUM(Tabela174681012142230322681619252731333624210121416182426283038402481012141620222628303234362426810121424610122426244262628262681026286236[[#This Row],[Saldo no cartão]:[Recarga Pendente]])</f>
        <v>0</v>
      </c>
      <c r="N807" s="19">
        <f>Tabela174681012142230322681619252731333624210121416182426283038402481012141620222628303234362426810121424610122426244262628262681026286236[[#This Row],[Uso diário]]*2</f>
        <v>18.8</v>
      </c>
      <c r="O807" s="19">
        <f>Tabela174681012142230322681619252731333624210121416182426283038402481012141620222628303234362426810121424610122426244262628262681026286236[[#This Row],[Total Acumulado]]-P807</f>
        <v>-47</v>
      </c>
      <c r="P807" s="48">
        <f>Tabela174681012142230322681619252731333624210121416182426283038402481012141620222628303234362426810121424610122426244262628262681026286236[[#This Row],[Uso diário]]*5</f>
        <v>47</v>
      </c>
      <c r="Q8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178.6</v>
      </c>
      <c r="S8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7" s="25">
        <v>16</v>
      </c>
    </row>
    <row r="808" spans="1:20" s="26" customFormat="1" x14ac:dyDescent="0.25">
      <c r="A808" s="16">
        <v>231907</v>
      </c>
      <c r="B808" s="30" t="s">
        <v>838</v>
      </c>
      <c r="C808" s="20" t="s">
        <v>636</v>
      </c>
      <c r="D808" s="20" t="s">
        <v>729</v>
      </c>
      <c r="E808" s="20" t="s">
        <v>3128</v>
      </c>
      <c r="F808" s="20" t="s">
        <v>3129</v>
      </c>
      <c r="G808" s="21">
        <v>9.4</v>
      </c>
      <c r="H808" s="16">
        <v>22</v>
      </c>
      <c r="I808" s="16"/>
      <c r="J8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08" s="22"/>
      <c r="L808" s="23"/>
      <c r="M808" s="23">
        <f>SUM(Tabela174681012142230322681619252731333624210121416182426283038402481012141620222628303234362426810121424610122426244262628262681026286236[[#This Row],[Saldo no cartão]:[Recarga Pendente]])</f>
        <v>0</v>
      </c>
      <c r="N808" s="19">
        <f>Tabela174681012142230322681619252731333624210121416182426283038402481012141620222628303234362426810121424610122426244262628262681026286236[[#This Row],[Uso diário]]*2</f>
        <v>18.8</v>
      </c>
      <c r="O808" s="19">
        <f>Tabela174681012142230322681619252731333624210121416182426283038402481012141620222628303234362426810121424610122426244262628262681026286236[[#This Row],[Total Acumulado]]-P808</f>
        <v>-47</v>
      </c>
      <c r="P808" s="48">
        <f>Tabela174681012142230322681619252731333624210121416182426283038402481012141620222628303234362426810121424610122426244262628262681026286236[[#This Row],[Uso diário]]*5</f>
        <v>47</v>
      </c>
      <c r="Q8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8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8" s="25">
        <v>16</v>
      </c>
    </row>
    <row r="809" spans="1:20" s="26" customFormat="1" x14ac:dyDescent="0.25">
      <c r="A809" s="16">
        <v>232305</v>
      </c>
      <c r="B809" s="30" t="s">
        <v>914</v>
      </c>
      <c r="C809" s="20" t="s">
        <v>636</v>
      </c>
      <c r="D809" s="20" t="s">
        <v>730</v>
      </c>
      <c r="E809" s="20" t="s">
        <v>3130</v>
      </c>
      <c r="F809" s="20" t="s">
        <v>3131</v>
      </c>
      <c r="G809" s="21">
        <v>9.4</v>
      </c>
      <c r="H809" s="16">
        <v>22</v>
      </c>
      <c r="I809" s="16">
        <v>1</v>
      </c>
      <c r="J8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197.4</v>
      </c>
      <c r="K809" s="22"/>
      <c r="L809" s="23"/>
      <c r="M809" s="23">
        <f>SUM(Tabela174681012142230322681619252731333624210121416182426283038402481012141620222628303234362426810121424610122426244262628262681026286236[[#This Row],[Saldo no cartão]:[Recarga Pendente]])</f>
        <v>0</v>
      </c>
      <c r="N809" s="19">
        <f>Tabela174681012142230322681619252731333624210121416182426283038402481012141620222628303234362426810121424610122426244262628262681026286236[[#This Row],[Uso diário]]*2</f>
        <v>18.8</v>
      </c>
      <c r="O809" s="19">
        <f>Tabela174681012142230322681619252731333624210121416182426283038402481012141620222628303234362426810121424610122426244262628262681026286236[[#This Row],[Total Acumulado]]-P809</f>
        <v>-47</v>
      </c>
      <c r="P809" s="48">
        <f>Tabela174681012142230322681619252731333624210121416182426283038402481012141620222628303234362426810121424610122426244262628262681026286236[[#This Row],[Uso diário]]*5</f>
        <v>47</v>
      </c>
      <c r="Q8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197.4</v>
      </c>
      <c r="S8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09" s="25">
        <v>16</v>
      </c>
    </row>
    <row r="810" spans="1:20" s="26" customFormat="1" x14ac:dyDescent="0.25">
      <c r="A810" s="16">
        <v>232306</v>
      </c>
      <c r="B810" s="30" t="s">
        <v>915</v>
      </c>
      <c r="C810" s="20" t="s">
        <v>636</v>
      </c>
      <c r="D810" s="20" t="s">
        <v>730</v>
      </c>
      <c r="E810" s="20" t="s">
        <v>3132</v>
      </c>
      <c r="F810" s="20" t="s">
        <v>3133</v>
      </c>
      <c r="G810" s="21">
        <v>9.4</v>
      </c>
      <c r="H810" s="16">
        <v>22</v>
      </c>
      <c r="I810" s="16">
        <v>8</v>
      </c>
      <c r="J8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131.6</v>
      </c>
      <c r="K810" s="22"/>
      <c r="L810" s="23"/>
      <c r="M810" s="23">
        <f>SUM(Tabela174681012142230322681619252731333624210121416182426283038402481012141620222628303234362426810121424610122426244262628262681026286236[[#This Row],[Saldo no cartão]:[Recarga Pendente]])</f>
        <v>0</v>
      </c>
      <c r="N810" s="19">
        <f>Tabela174681012142230322681619252731333624210121416182426283038402481012141620222628303234362426810121424610122426244262628262681026286236[[#This Row],[Uso diário]]*2</f>
        <v>18.8</v>
      </c>
      <c r="O810" s="19">
        <f>Tabela174681012142230322681619252731333624210121416182426283038402481012141620222628303234362426810121424610122426244262628262681026286236[[#This Row],[Total Acumulado]]-P810</f>
        <v>-47</v>
      </c>
      <c r="P810" s="48">
        <f>Tabela174681012142230322681619252731333624210121416182426283038402481012141620222628303234362426810121424610122426244262628262681026286236[[#This Row],[Uso diário]]*5</f>
        <v>47</v>
      </c>
      <c r="Q8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131.6</v>
      </c>
      <c r="S8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10" s="25">
        <v>16</v>
      </c>
    </row>
    <row r="811" spans="1:20" s="26" customFormat="1" x14ac:dyDescent="0.25">
      <c r="A811" s="16">
        <v>232307</v>
      </c>
      <c r="B811" s="30" t="s">
        <v>916</v>
      </c>
      <c r="C811" s="20" t="s">
        <v>636</v>
      </c>
      <c r="D811" s="20" t="s">
        <v>730</v>
      </c>
      <c r="E811" s="20" t="s">
        <v>3134</v>
      </c>
      <c r="F811" s="20" t="s">
        <v>3135</v>
      </c>
      <c r="G811" s="21">
        <v>9.4</v>
      </c>
      <c r="H811" s="16">
        <v>22</v>
      </c>
      <c r="I811" s="16"/>
      <c r="J8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11" s="22"/>
      <c r="L811" s="23"/>
      <c r="M811" s="23">
        <f>SUM(Tabela174681012142230322681619252731333624210121416182426283038402481012141620222628303234362426810121424610122426244262628262681026286236[[#This Row],[Saldo no cartão]:[Recarga Pendente]])</f>
        <v>0</v>
      </c>
      <c r="N811" s="19">
        <f>Tabela174681012142230322681619252731333624210121416182426283038402481012141620222628303234362426810121424610122426244262628262681026286236[[#This Row],[Uso diário]]*2</f>
        <v>18.8</v>
      </c>
      <c r="O811" s="19">
        <f>Tabela174681012142230322681619252731333624210121416182426283038402481012141620222628303234362426810121424610122426244262628262681026286236[[#This Row],[Total Acumulado]]-P811</f>
        <v>-47</v>
      </c>
      <c r="P811" s="48">
        <f>Tabela174681012142230322681619252731333624210121416182426283038402481012141620222628303234362426810121424610122426244262628262681026286236[[#This Row],[Uso diário]]*5</f>
        <v>47</v>
      </c>
      <c r="Q8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8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11" s="25">
        <v>16</v>
      </c>
    </row>
    <row r="812" spans="1:20" s="26" customFormat="1" x14ac:dyDescent="0.25">
      <c r="A812" s="16">
        <v>234792</v>
      </c>
      <c r="B812" s="30" t="s">
        <v>1373</v>
      </c>
      <c r="C812" s="20" t="s">
        <v>636</v>
      </c>
      <c r="D812" s="20" t="s">
        <v>729</v>
      </c>
      <c r="E812" s="20" t="s">
        <v>3136</v>
      </c>
      <c r="F812" s="20" t="s">
        <v>3137</v>
      </c>
      <c r="G812" s="21">
        <v>18.8</v>
      </c>
      <c r="H812" s="16">
        <v>22</v>
      </c>
      <c r="I812" s="16">
        <v>9</v>
      </c>
      <c r="J8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812" s="22"/>
      <c r="L812" s="23"/>
      <c r="M812" s="23">
        <f>SUM(Tabela174681012142230322681619252731333624210121416182426283038402481012141620222628303234362426810121424610122426244262628262681026286236[[#This Row],[Saldo no cartão]:[Recarga Pendente]])</f>
        <v>0</v>
      </c>
      <c r="N812" s="19">
        <f>Tabela174681012142230322681619252731333624210121416182426283038402481012141620222628303234362426810121424610122426244262628262681026286236[[#This Row],[Uso diário]]*2</f>
        <v>37.6</v>
      </c>
      <c r="O812" s="19">
        <f>Tabela174681012142230322681619252731333624210121416182426283038402481012141620222628303234362426810121424610122426244262628262681026286236[[#This Row],[Total Acumulado]]-P812</f>
        <v>-94</v>
      </c>
      <c r="P812" s="48">
        <f>Tabela174681012142230322681619252731333624210121416182426283038402481012141620222628303234362426810121424610122426244262628262681026286236[[#This Row],[Uso diário]]*5</f>
        <v>94</v>
      </c>
      <c r="Q8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8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12" s="25">
        <v>16</v>
      </c>
    </row>
    <row r="813" spans="1:20" s="26" customFormat="1" x14ac:dyDescent="0.25">
      <c r="A813" s="16">
        <v>231482</v>
      </c>
      <c r="B813" s="30" t="s">
        <v>806</v>
      </c>
      <c r="C813" s="20" t="s">
        <v>640</v>
      </c>
      <c r="D813" s="20" t="s">
        <v>702</v>
      </c>
      <c r="E813" s="20" t="s">
        <v>3138</v>
      </c>
      <c r="F813" s="20" t="s">
        <v>3139</v>
      </c>
      <c r="G813" s="21">
        <v>18.8</v>
      </c>
      <c r="H813" s="16">
        <v>26</v>
      </c>
      <c r="I813" s="16"/>
      <c r="J8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13" s="22"/>
      <c r="L813" s="23"/>
      <c r="M813" s="23">
        <f>SUM(Tabela174681012142230322681619252731333624210121416182426283038402481012141620222628303234362426810121424610122426244262628262681026286236[[#This Row],[Saldo no cartão]:[Recarga Pendente]])</f>
        <v>0</v>
      </c>
      <c r="N813" s="19">
        <f>Tabela174681012142230322681619252731333624210121416182426283038402481012141620222628303234362426810121424610122426244262628262681026286236[[#This Row],[Uso diário]]*2</f>
        <v>37.6</v>
      </c>
      <c r="O813" s="19">
        <f>Tabela174681012142230322681619252731333624210121416182426283038402481012141620222628303234362426810121424610122426244262628262681026286236[[#This Row],[Total Acumulado]]-P813</f>
        <v>-94</v>
      </c>
      <c r="P813" s="48">
        <f>Tabela174681012142230322681619252731333624210121416182426283038402481012141620222628303234362426810121424610122426244262628262681026286236[[#This Row],[Uso diário]]*5</f>
        <v>94</v>
      </c>
      <c r="Q8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13" s="25">
        <v>16</v>
      </c>
    </row>
    <row r="814" spans="1:20" s="26" customFormat="1" x14ac:dyDescent="0.25">
      <c r="A814" s="16">
        <v>222963</v>
      </c>
      <c r="B814" s="30" t="s">
        <v>1293</v>
      </c>
      <c r="C814" s="20" t="s">
        <v>635</v>
      </c>
      <c r="D814" s="20" t="s">
        <v>689</v>
      </c>
      <c r="E814" s="20" t="s">
        <v>3140</v>
      </c>
      <c r="F814" s="20" t="s">
        <v>3141</v>
      </c>
      <c r="G814" s="21">
        <v>18.8</v>
      </c>
      <c r="H814" s="16">
        <v>22</v>
      </c>
      <c r="I814" s="16">
        <v>1</v>
      </c>
      <c r="J8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814" s="22"/>
      <c r="L814" s="23"/>
      <c r="M814" s="23">
        <f>SUM(Tabela174681012142230322681619252731333624210121416182426283038402481012141620222628303234362426810121424610122426244262628262681026286236[[#This Row],[Saldo no cartão]:[Recarga Pendente]])</f>
        <v>0</v>
      </c>
      <c r="N814" s="19">
        <f>Tabela174681012142230322681619252731333624210121416182426283038402481012141620222628303234362426810121424610122426244262628262681026286236[[#This Row],[Uso diário]]*2</f>
        <v>37.6</v>
      </c>
      <c r="O814" s="19">
        <f>Tabela174681012142230322681619252731333624210121416182426283038402481012141620222628303234362426810121424610122426244262628262681026286236[[#This Row],[Total Acumulado]]-P814</f>
        <v>-94</v>
      </c>
      <c r="P814" s="48">
        <f>Tabela174681012142230322681619252731333624210121416182426283038402481012141620222628303234362426810121424610122426244262628262681026286236[[#This Row],[Uso diário]]*5</f>
        <v>94</v>
      </c>
      <c r="Q8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8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14" s="25">
        <v>17</v>
      </c>
    </row>
    <row r="815" spans="1:20" s="26" customFormat="1" x14ac:dyDescent="0.25">
      <c r="A815" s="16">
        <v>234794</v>
      </c>
      <c r="B815" s="30" t="s">
        <v>1374</v>
      </c>
      <c r="C815" s="20" t="s">
        <v>636</v>
      </c>
      <c r="D815" s="20" t="s">
        <v>729</v>
      </c>
      <c r="E815" s="20" t="s">
        <v>3142</v>
      </c>
      <c r="F815" s="20" t="s">
        <v>3143</v>
      </c>
      <c r="G815" s="21">
        <v>9.4</v>
      </c>
      <c r="H815" s="16">
        <v>22</v>
      </c>
      <c r="I815" s="16"/>
      <c r="J8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15" s="22"/>
      <c r="L815" s="23">
        <v>128.6</v>
      </c>
      <c r="M815" s="23">
        <f>SUM(Tabela174681012142230322681619252731333624210121416182426283038402481012141620222628303234362426810121424610122426244262628262681026286236[[#This Row],[Saldo no cartão]:[Recarga Pendente]])</f>
        <v>128.6</v>
      </c>
      <c r="N815" s="19">
        <f>Tabela174681012142230322681619252731333624210121416182426283038402481012141620222628303234362426810121424610122426244262628262681026286236[[#This Row],[Uso diário]]*2</f>
        <v>18.8</v>
      </c>
      <c r="O815" s="19">
        <f>Tabela174681012142230322681619252731333624210121416182426283038402481012141620222628303234362426810121424610122426244262628262681026286236[[#This Row],[Total Acumulado]]-P815</f>
        <v>81.599999999999994</v>
      </c>
      <c r="P815" s="48">
        <f>Tabela174681012142230322681619252731333624210121416182426283038402481012141620222628303234362426810121424610122426244262628262681026286236[[#This Row],[Uso diário]]*5</f>
        <v>47</v>
      </c>
      <c r="Q8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81.599999999999994</v>
      </c>
      <c r="R8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125.20000000000002</v>
      </c>
      <c r="S815" s="18" t="s">
        <v>11</v>
      </c>
      <c r="T815" s="25">
        <v>17</v>
      </c>
    </row>
    <row r="816" spans="1:20" s="26" customFormat="1" x14ac:dyDescent="0.25">
      <c r="A816" s="16">
        <v>234795</v>
      </c>
      <c r="B816" s="30" t="s">
        <v>1375</v>
      </c>
      <c r="C816" s="20" t="s">
        <v>636</v>
      </c>
      <c r="D816" s="20" t="s">
        <v>729</v>
      </c>
      <c r="E816" s="20" t="s">
        <v>3144</v>
      </c>
      <c r="F816" s="20" t="s">
        <v>3145</v>
      </c>
      <c r="G816" s="21">
        <v>9.4</v>
      </c>
      <c r="H816" s="16">
        <v>22</v>
      </c>
      <c r="I816" s="16"/>
      <c r="J8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16" s="22"/>
      <c r="L816" s="23">
        <v>128.6</v>
      </c>
      <c r="M816" s="23">
        <f>SUM(Tabela174681012142230322681619252731333624210121416182426283038402481012141620222628303234362426810121424610122426244262628262681026286236[[#This Row],[Saldo no cartão]:[Recarga Pendente]])</f>
        <v>128.6</v>
      </c>
      <c r="N816" s="19">
        <f>Tabela174681012142230322681619252731333624210121416182426283038402481012141620222628303234362426810121424610122426244262628262681026286236[[#This Row],[Uso diário]]*2</f>
        <v>18.8</v>
      </c>
      <c r="O816" s="19">
        <f>Tabela174681012142230322681619252731333624210121416182426283038402481012141620222628303234362426810121424610122426244262628262681026286236[[#This Row],[Total Acumulado]]-P816</f>
        <v>81.599999999999994</v>
      </c>
      <c r="P816" s="48">
        <f>Tabela174681012142230322681619252731333624210121416182426283038402481012141620222628303234362426810121424610122426244262628262681026286236[[#This Row],[Uso diário]]*5</f>
        <v>47</v>
      </c>
      <c r="Q8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81.599999999999994</v>
      </c>
      <c r="R8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125.20000000000002</v>
      </c>
      <c r="S816" s="18" t="s">
        <v>11</v>
      </c>
      <c r="T816" s="25">
        <v>17</v>
      </c>
    </row>
    <row r="817" spans="1:20" s="26" customFormat="1" ht="22.5" x14ac:dyDescent="0.25">
      <c r="A817" s="16">
        <v>234796</v>
      </c>
      <c r="B817" s="30" t="s">
        <v>1376</v>
      </c>
      <c r="C817" s="20" t="s">
        <v>636</v>
      </c>
      <c r="D817" s="20" t="s">
        <v>729</v>
      </c>
      <c r="E817" s="20" t="s">
        <v>3146</v>
      </c>
      <c r="F817" s="20" t="s">
        <v>3147</v>
      </c>
      <c r="G817" s="21">
        <v>9.4</v>
      </c>
      <c r="H817" s="16">
        <v>22</v>
      </c>
      <c r="I817" s="16"/>
      <c r="J8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17" s="22"/>
      <c r="L817" s="23">
        <v>357.2</v>
      </c>
      <c r="M817" s="23">
        <f>SUM(Tabela174681012142230322681619252731333624210121416182426283038402481012141620222628303234362426810121424610122426244262628262681026286236[[#This Row],[Saldo no cartão]:[Recarga Pendente]])</f>
        <v>357.2</v>
      </c>
      <c r="N817" s="19">
        <f>Tabela174681012142230322681619252731333624210121416182426283038402481012141620222628303234362426810121424610122426244262628262681026286236[[#This Row],[Uso diário]]*2</f>
        <v>18.8</v>
      </c>
      <c r="O817" s="19">
        <f>Tabela174681012142230322681619252731333624210121416182426283038402481012141620222628303234362426810121424610122426244262628262681026286236[[#This Row],[Total Acumulado]]-P817</f>
        <v>310.2</v>
      </c>
      <c r="P817" s="48">
        <f>Tabela174681012142230322681619252731333624210121416182426283038402481012141620222628303234362426810121424610122426244262628262681026286236[[#This Row],[Uso diário]]*5</f>
        <v>47</v>
      </c>
      <c r="Q8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310.2</v>
      </c>
      <c r="R8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817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817" s="25">
        <v>17</v>
      </c>
    </row>
    <row r="818" spans="1:20" s="26" customFormat="1" ht="22.5" x14ac:dyDescent="0.25">
      <c r="A818" s="16">
        <v>234797</v>
      </c>
      <c r="B818" s="30" t="s">
        <v>1377</v>
      </c>
      <c r="C818" s="20" t="s">
        <v>636</v>
      </c>
      <c r="D818" s="20" t="s">
        <v>729</v>
      </c>
      <c r="E818" s="20" t="s">
        <v>3148</v>
      </c>
      <c r="F818" s="20" t="s">
        <v>3149</v>
      </c>
      <c r="G818" s="21">
        <v>9.4</v>
      </c>
      <c r="H818" s="16">
        <v>22</v>
      </c>
      <c r="I818" s="16"/>
      <c r="J8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18" s="22"/>
      <c r="L818" s="23">
        <v>357.2</v>
      </c>
      <c r="M818" s="23">
        <f>SUM(Tabela174681012142230322681619252731333624210121416182426283038402481012141620222628303234362426810121424610122426244262628262681026286236[[#This Row],[Saldo no cartão]:[Recarga Pendente]])</f>
        <v>357.2</v>
      </c>
      <c r="N818" s="19">
        <f>Tabela174681012142230322681619252731333624210121416182426283038402481012141620222628303234362426810121424610122426244262628262681026286236[[#This Row],[Uso diário]]*2</f>
        <v>18.8</v>
      </c>
      <c r="O818" s="19">
        <f>Tabela174681012142230322681619252731333624210121416182426283038402481012141620222628303234362426810121424610122426244262628262681026286236[[#This Row],[Total Acumulado]]-P818</f>
        <v>310.2</v>
      </c>
      <c r="P818" s="48">
        <f>Tabela174681012142230322681619252731333624210121416182426283038402481012141620222628303234362426810121424610122426244262628262681026286236[[#This Row],[Uso diário]]*5</f>
        <v>47</v>
      </c>
      <c r="Q8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310.2</v>
      </c>
      <c r="R8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818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818" s="25">
        <v>17</v>
      </c>
    </row>
    <row r="819" spans="1:20" s="26" customFormat="1" x14ac:dyDescent="0.25">
      <c r="A819" s="16">
        <v>234799</v>
      </c>
      <c r="B819" s="30" t="s">
        <v>1378</v>
      </c>
      <c r="C819" s="20" t="s">
        <v>636</v>
      </c>
      <c r="D819" s="20" t="s">
        <v>729</v>
      </c>
      <c r="E819" s="20" t="s">
        <v>3150</v>
      </c>
      <c r="F819" s="20" t="s">
        <v>3151</v>
      </c>
      <c r="G819" s="21">
        <v>9.4</v>
      </c>
      <c r="H819" s="16">
        <v>22</v>
      </c>
      <c r="I819" s="16"/>
      <c r="J8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819" s="22"/>
      <c r="L819" s="23">
        <v>128.6</v>
      </c>
      <c r="M819" s="23">
        <f>SUM(Tabela174681012142230322681619252731333624210121416182426283038402481012141620222628303234362426810121424610122426244262628262681026286236[[#This Row],[Saldo no cartão]:[Recarga Pendente]])</f>
        <v>128.6</v>
      </c>
      <c r="N819" s="19">
        <f>Tabela174681012142230322681619252731333624210121416182426283038402481012141620222628303234362426810121424610122426244262628262681026286236[[#This Row],[Uso diário]]*2</f>
        <v>18.8</v>
      </c>
      <c r="O819" s="19">
        <f>Tabela174681012142230322681619252731333624210121416182426283038402481012141620222628303234362426810121424610122426244262628262681026286236[[#This Row],[Total Acumulado]]-P819</f>
        <v>81.599999999999994</v>
      </c>
      <c r="P819" s="48">
        <f>Tabela174681012142230322681619252731333624210121416182426283038402481012141620222628303234362426810121424610122426244262628262681026286236[[#This Row],[Uso diário]]*5</f>
        <v>47</v>
      </c>
      <c r="Q8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81.599999999999994</v>
      </c>
      <c r="R8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125.20000000000002</v>
      </c>
      <c r="S819" s="18" t="s">
        <v>11</v>
      </c>
      <c r="T819" s="25">
        <v>17</v>
      </c>
    </row>
    <row r="820" spans="1:20" s="26" customFormat="1" x14ac:dyDescent="0.25">
      <c r="A820" s="16">
        <v>228979</v>
      </c>
      <c r="B820" s="30" t="s">
        <v>394</v>
      </c>
      <c r="C820" s="20" t="s">
        <v>649</v>
      </c>
      <c r="D820" s="20" t="s">
        <v>725</v>
      </c>
      <c r="E820" s="20" t="s">
        <v>3152</v>
      </c>
      <c r="F820" s="20" t="s">
        <v>3153</v>
      </c>
      <c r="G820" s="21">
        <v>15.4</v>
      </c>
      <c r="H820" s="16">
        <v>26</v>
      </c>
      <c r="I820" s="16">
        <v>2</v>
      </c>
      <c r="J8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369.6</v>
      </c>
      <c r="K820" s="22"/>
      <c r="L820" s="23">
        <v>35.299999999999997</v>
      </c>
      <c r="M820" s="23">
        <f>SUM(Tabela174681012142230322681619252731333624210121416182426283038402481012141620222628303234362426810121424610122426244262628262681026286236[[#This Row],[Saldo no cartão]:[Recarga Pendente]])</f>
        <v>35.299999999999997</v>
      </c>
      <c r="N820" s="19">
        <f>Tabela174681012142230322681619252731333624210121416182426283038402481012141620222628303234362426810121424610122426244262628262681026286236[[#This Row],[Uso diário]]*2</f>
        <v>30.8</v>
      </c>
      <c r="O820" s="19">
        <f>Tabela174681012142230322681619252731333624210121416182426283038402481012141620222628303234362426810121424610122426244262628262681026286236[[#This Row],[Total Acumulado]]-P820</f>
        <v>-41.7</v>
      </c>
      <c r="P820" s="48">
        <f>Tabela174681012142230322681619252731333624210121416182426283038402481012141620222628303234362426810121424610122426244262628262681026286236[[#This Row],[Uso diário]]*5</f>
        <v>77</v>
      </c>
      <c r="Q8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369.6</v>
      </c>
      <c r="S8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0" s="25">
        <v>18</v>
      </c>
    </row>
    <row r="821" spans="1:20" s="26" customFormat="1" x14ac:dyDescent="0.25">
      <c r="A821" s="16">
        <v>229109</v>
      </c>
      <c r="B821" s="30" t="s">
        <v>1090</v>
      </c>
      <c r="C821" s="20" t="s">
        <v>649</v>
      </c>
      <c r="D821" s="20" t="s">
        <v>725</v>
      </c>
      <c r="E821" s="20" t="s">
        <v>3154</v>
      </c>
      <c r="F821" s="20" t="s">
        <v>3155</v>
      </c>
      <c r="G821" s="21">
        <v>16.25</v>
      </c>
      <c r="H821" s="16">
        <v>26</v>
      </c>
      <c r="I821" s="16">
        <v>2</v>
      </c>
      <c r="J8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390</v>
      </c>
      <c r="K821" s="22"/>
      <c r="L821" s="23"/>
      <c r="M821" s="23">
        <f>SUM(Tabela174681012142230322681619252731333624210121416182426283038402481012141620222628303234362426810121424610122426244262628262681026286236[[#This Row],[Saldo no cartão]:[Recarga Pendente]])</f>
        <v>0</v>
      </c>
      <c r="N821" s="19">
        <f>Tabela174681012142230322681619252731333624210121416182426283038402481012141620222628303234362426810121424610122426244262628262681026286236[[#This Row],[Uso diário]]*2</f>
        <v>32.5</v>
      </c>
      <c r="O821" s="19">
        <f>Tabela174681012142230322681619252731333624210121416182426283038402481012141620222628303234362426810121424610122426244262628262681026286236[[#This Row],[Total Acumulado]]-P821</f>
        <v>-81.25</v>
      </c>
      <c r="P821" s="48">
        <f>Tabela174681012142230322681619252731333624210121416182426283038402481012141620222628303234362426810121424610122426244262628262681026286236[[#This Row],[Uso diário]]*5</f>
        <v>81.25</v>
      </c>
      <c r="Q8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390</v>
      </c>
      <c r="S8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1" s="25">
        <v>18</v>
      </c>
    </row>
    <row r="822" spans="1:20" s="26" customFormat="1" x14ac:dyDescent="0.25">
      <c r="A822" s="16">
        <v>230404</v>
      </c>
      <c r="B822" s="30" t="s">
        <v>408</v>
      </c>
      <c r="C822" s="20" t="s">
        <v>649</v>
      </c>
      <c r="D822" s="20" t="s">
        <v>725</v>
      </c>
      <c r="E822" s="20" t="s">
        <v>3156</v>
      </c>
      <c r="F822" s="20" t="s">
        <v>3157</v>
      </c>
      <c r="G822" s="21">
        <v>18.8</v>
      </c>
      <c r="H822" s="16">
        <v>11</v>
      </c>
      <c r="I822" s="16">
        <v>3</v>
      </c>
      <c r="J8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150.4</v>
      </c>
      <c r="K822" s="22"/>
      <c r="L822" s="23"/>
      <c r="M822" s="23">
        <f>SUM(Tabela174681012142230322681619252731333624210121416182426283038402481012141620222628303234362426810121424610122426244262628262681026286236[[#This Row],[Saldo no cartão]:[Recarga Pendente]])</f>
        <v>0</v>
      </c>
      <c r="N822" s="19">
        <f>Tabela174681012142230322681619252731333624210121416182426283038402481012141620222628303234362426810121424610122426244262628262681026286236[[#This Row],[Uso diário]]*2</f>
        <v>37.6</v>
      </c>
      <c r="O822" s="19">
        <f>Tabela174681012142230322681619252731333624210121416182426283038402481012141620222628303234362426810121424610122426244262628262681026286236[[#This Row],[Total Acumulado]]-P822</f>
        <v>-94</v>
      </c>
      <c r="P822" s="48">
        <f>Tabela174681012142230322681619252731333624210121416182426283038402481012141620222628303234362426810121424610122426244262628262681026286236[[#This Row],[Uso diário]]*5</f>
        <v>94</v>
      </c>
      <c r="Q8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150.4</v>
      </c>
      <c r="S8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2" s="25">
        <v>18</v>
      </c>
    </row>
    <row r="823" spans="1:20" s="26" customFormat="1" x14ac:dyDescent="0.25">
      <c r="A823" s="16">
        <v>222074</v>
      </c>
      <c r="B823" s="30" t="s">
        <v>398</v>
      </c>
      <c r="C823" s="20" t="s">
        <v>650</v>
      </c>
      <c r="D823" s="20" t="s">
        <v>738</v>
      </c>
      <c r="E823" s="20" t="s">
        <v>3158</v>
      </c>
      <c r="F823" s="20" t="s">
        <v>3159</v>
      </c>
      <c r="G823" s="21">
        <v>18.8</v>
      </c>
      <c r="H823" s="16">
        <v>26</v>
      </c>
      <c r="I823" s="16"/>
      <c r="J8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23" s="22"/>
      <c r="L823" s="23">
        <v>18.8</v>
      </c>
      <c r="M823" s="23">
        <f>SUM(Tabela174681012142230322681619252731333624210121416182426283038402481012141620222628303234362426810121424610122426244262628262681026286236[[#This Row],[Saldo no cartão]:[Recarga Pendente]])</f>
        <v>18.8</v>
      </c>
      <c r="N823" s="19">
        <f>Tabela174681012142230322681619252731333624210121416182426283038402481012141620222628303234362426810121424610122426244262628262681026286236[[#This Row],[Uso diário]]*2</f>
        <v>37.6</v>
      </c>
      <c r="O823" s="19">
        <f>Tabela174681012142230322681619252731333624210121416182426283038402481012141620222628303234362426810121424610122426244262628262681026286236[[#This Row],[Total Acumulado]]-P823</f>
        <v>-75.2</v>
      </c>
      <c r="P823" s="48">
        <f>Tabela174681012142230322681619252731333624210121416182426283038402481012141620222628303234362426810121424610122426244262628262681026286236[[#This Row],[Uso diário]]*5</f>
        <v>94</v>
      </c>
      <c r="Q8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3" s="25">
        <v>18</v>
      </c>
    </row>
    <row r="824" spans="1:20" s="26" customFormat="1" x14ac:dyDescent="0.25">
      <c r="A824" s="16">
        <v>4268</v>
      </c>
      <c r="B824" s="30" t="s">
        <v>33</v>
      </c>
      <c r="C824" s="20" t="s">
        <v>652</v>
      </c>
      <c r="D824" s="20" t="s">
        <v>728</v>
      </c>
      <c r="E824" s="20" t="s">
        <v>3160</v>
      </c>
      <c r="F824" s="20" t="s">
        <v>3161</v>
      </c>
      <c r="G824" s="21">
        <v>40.200000000000003</v>
      </c>
      <c r="H824" s="16">
        <v>26</v>
      </c>
      <c r="I824" s="16"/>
      <c r="J8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1045.2</v>
      </c>
      <c r="K824" s="22"/>
      <c r="L824" s="23"/>
      <c r="M824" s="23">
        <f>SUM(Tabela174681012142230322681619252731333624210121416182426283038402481012141620222628303234362426810121424610122426244262628262681026286236[[#This Row],[Saldo no cartão]:[Recarga Pendente]])</f>
        <v>0</v>
      </c>
      <c r="N824" s="19">
        <f>Tabela174681012142230322681619252731333624210121416182426283038402481012141620222628303234362426810121424610122426244262628262681026286236[[#This Row],[Uso diário]]*2</f>
        <v>80.400000000000006</v>
      </c>
      <c r="O824" s="19">
        <f>Tabela174681012142230322681619252731333624210121416182426283038402481012141620222628303234362426810121424610122426244262628262681026286236[[#This Row],[Total Acumulado]]-P824</f>
        <v>-201</v>
      </c>
      <c r="P824" s="48">
        <f>Tabela174681012142230322681619252731333624210121416182426283038402481012141620222628303234362426810121424610122426244262628262681026286236[[#This Row],[Uso diário]]*5</f>
        <v>201</v>
      </c>
      <c r="Q8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1045.2</v>
      </c>
      <c r="S8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4" s="25">
        <v>18</v>
      </c>
    </row>
    <row r="825" spans="1:20" s="26" customFormat="1" x14ac:dyDescent="0.25">
      <c r="A825" s="16">
        <v>209977</v>
      </c>
      <c r="B825" s="30" t="s">
        <v>395</v>
      </c>
      <c r="C825" s="20" t="s">
        <v>653</v>
      </c>
      <c r="D825" s="20" t="s">
        <v>714</v>
      </c>
      <c r="E825" s="20" t="s">
        <v>3162</v>
      </c>
      <c r="F825" s="20" t="s">
        <v>3163</v>
      </c>
      <c r="G825" s="21">
        <v>18.8</v>
      </c>
      <c r="H825" s="16">
        <v>26</v>
      </c>
      <c r="I825" s="16"/>
      <c r="J8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25" s="22"/>
      <c r="L825" s="23"/>
      <c r="M825" s="23">
        <f>SUM(Tabela174681012142230322681619252731333624210121416182426283038402481012141620222628303234362426810121424610122426244262628262681026286236[[#This Row],[Saldo no cartão]:[Recarga Pendente]])</f>
        <v>0</v>
      </c>
      <c r="N825" s="19">
        <f>Tabela174681012142230322681619252731333624210121416182426283038402481012141620222628303234362426810121424610122426244262628262681026286236[[#This Row],[Uso diário]]*2</f>
        <v>37.6</v>
      </c>
      <c r="O825" s="19">
        <f>Tabela174681012142230322681619252731333624210121416182426283038402481012141620222628303234362426810121424610122426244262628262681026286236[[#This Row],[Total Acumulado]]-P825</f>
        <v>-94</v>
      </c>
      <c r="P825" s="48">
        <f>Tabela174681012142230322681619252731333624210121416182426283038402481012141620222628303234362426810121424610122426244262628262681026286236[[#This Row],[Uso diário]]*5</f>
        <v>94</v>
      </c>
      <c r="Q8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5" s="25">
        <v>18</v>
      </c>
    </row>
    <row r="826" spans="1:20" s="26" customFormat="1" x14ac:dyDescent="0.25">
      <c r="A826" s="16">
        <v>225652</v>
      </c>
      <c r="B826" s="30" t="s">
        <v>1083</v>
      </c>
      <c r="C826" s="20" t="s">
        <v>653</v>
      </c>
      <c r="D826" s="20" t="s">
        <v>891</v>
      </c>
      <c r="E826" s="20" t="s">
        <v>3164</v>
      </c>
      <c r="F826" s="20" t="s">
        <v>3165</v>
      </c>
      <c r="G826" s="21">
        <v>18.8</v>
      </c>
      <c r="H826" s="16">
        <v>26</v>
      </c>
      <c r="I826" s="16">
        <v>1</v>
      </c>
      <c r="J8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26" s="22"/>
      <c r="L826" s="23">
        <v>18.8</v>
      </c>
      <c r="M826" s="23">
        <f>SUM(Tabela174681012142230322681619252731333624210121416182426283038402481012141620222628303234362426810121424610122426244262628262681026286236[[#This Row],[Saldo no cartão]:[Recarga Pendente]])</f>
        <v>18.8</v>
      </c>
      <c r="N826" s="19">
        <f>Tabela174681012142230322681619252731333624210121416182426283038402481012141620222628303234362426810121424610122426244262628262681026286236[[#This Row],[Uso diário]]*2</f>
        <v>37.6</v>
      </c>
      <c r="O826" s="19">
        <f>Tabela174681012142230322681619252731333624210121416182426283038402481012141620222628303234362426810121424610122426244262628262681026286236[[#This Row],[Total Acumulado]]-P826</f>
        <v>-75.2</v>
      </c>
      <c r="P826" s="48">
        <f>Tabela174681012142230322681619252731333624210121416182426283038402481012141620222628303234362426810121424610122426244262628262681026286236[[#This Row],[Uso diário]]*5</f>
        <v>94</v>
      </c>
      <c r="Q8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6" s="25">
        <v>18</v>
      </c>
    </row>
    <row r="827" spans="1:20" s="26" customFormat="1" x14ac:dyDescent="0.25">
      <c r="A827" s="16">
        <v>219011</v>
      </c>
      <c r="B827" s="30" t="s">
        <v>396</v>
      </c>
      <c r="C827" s="20" t="s">
        <v>654</v>
      </c>
      <c r="D827" s="20" t="s">
        <v>715</v>
      </c>
      <c r="E827" s="20" t="s">
        <v>3166</v>
      </c>
      <c r="F827" s="20" t="s">
        <v>3167</v>
      </c>
      <c r="G827" s="21">
        <v>18.8</v>
      </c>
      <c r="H827" s="16">
        <v>26</v>
      </c>
      <c r="I827" s="16"/>
      <c r="J8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27" s="22"/>
      <c r="L827" s="23"/>
      <c r="M827" s="23">
        <f>SUM(Tabela174681012142230322681619252731333624210121416182426283038402481012141620222628303234362426810121424610122426244262628262681026286236[[#This Row],[Saldo no cartão]:[Recarga Pendente]])</f>
        <v>0</v>
      </c>
      <c r="N827" s="19">
        <f>Tabela174681012142230322681619252731333624210121416182426283038402481012141620222628303234362426810121424610122426244262628262681026286236[[#This Row],[Uso diário]]*2</f>
        <v>37.6</v>
      </c>
      <c r="O827" s="19">
        <f>Tabela174681012142230322681619252731333624210121416182426283038402481012141620222628303234362426810121424610122426244262628262681026286236[[#This Row],[Total Acumulado]]-P827</f>
        <v>-94</v>
      </c>
      <c r="P827" s="48">
        <f>Tabela174681012142230322681619252731333624210121416182426283038402481012141620222628303234362426810121424610122426244262628262681026286236[[#This Row],[Uso diário]]*5</f>
        <v>94</v>
      </c>
      <c r="Q8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7" s="25">
        <v>18</v>
      </c>
    </row>
    <row r="828" spans="1:20" s="26" customFormat="1" x14ac:dyDescent="0.25">
      <c r="A828" s="16">
        <v>216301</v>
      </c>
      <c r="B828" s="30" t="s">
        <v>1210</v>
      </c>
      <c r="C828" s="20" t="s">
        <v>641</v>
      </c>
      <c r="D828" s="20" t="s">
        <v>735</v>
      </c>
      <c r="E828" s="20" t="s">
        <v>3168</v>
      </c>
      <c r="F828" s="20" t="s">
        <v>3169</v>
      </c>
      <c r="G828" s="21">
        <v>18.8</v>
      </c>
      <c r="H828" s="16">
        <v>26</v>
      </c>
      <c r="I828" s="16"/>
      <c r="J8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28" s="22"/>
      <c r="L828" s="23"/>
      <c r="M828" s="23">
        <f>SUM(Tabela174681012142230322681619252731333624210121416182426283038402481012141620222628303234362426810121424610122426244262628262681026286236[[#This Row],[Saldo no cartão]:[Recarga Pendente]])</f>
        <v>0</v>
      </c>
      <c r="N828" s="19">
        <f>Tabela174681012142230322681619252731333624210121416182426283038402481012141620222628303234362426810121424610122426244262628262681026286236[[#This Row],[Uso diário]]*2</f>
        <v>37.6</v>
      </c>
      <c r="O828" s="19">
        <f>Tabela174681012142230322681619252731333624210121416182426283038402481012141620222628303234362426810121424610122426244262628262681026286236[[#This Row],[Total Acumulado]]-P828</f>
        <v>-94</v>
      </c>
      <c r="P828" s="48">
        <f>Tabela174681012142230322681619252731333624210121416182426283038402481012141620222628303234362426810121424610122426244262628262681026286236[[#This Row],[Uso diário]]*5</f>
        <v>94</v>
      </c>
      <c r="Q8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8" s="25">
        <v>18</v>
      </c>
    </row>
    <row r="829" spans="1:20" s="26" customFormat="1" x14ac:dyDescent="0.25">
      <c r="A829" s="16">
        <v>4052</v>
      </c>
      <c r="B829" s="30" t="s">
        <v>397</v>
      </c>
      <c r="C829" s="20" t="s">
        <v>647</v>
      </c>
      <c r="D829" s="20" t="s">
        <v>722</v>
      </c>
      <c r="E829" s="20" t="s">
        <v>3170</v>
      </c>
      <c r="F829" s="20" t="s">
        <v>3171</v>
      </c>
      <c r="G829" s="21">
        <v>18.8</v>
      </c>
      <c r="H829" s="16">
        <v>26</v>
      </c>
      <c r="I829" s="16"/>
      <c r="J8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29" s="22"/>
      <c r="L829" s="23"/>
      <c r="M829" s="23">
        <f>SUM(Tabela174681012142230322681619252731333624210121416182426283038402481012141620222628303234362426810121424610122426244262628262681026286236[[#This Row],[Saldo no cartão]:[Recarga Pendente]])</f>
        <v>0</v>
      </c>
      <c r="N829" s="19">
        <f>Tabela174681012142230322681619252731333624210121416182426283038402481012141620222628303234362426810121424610122426244262628262681026286236[[#This Row],[Uso diário]]*2</f>
        <v>37.6</v>
      </c>
      <c r="O829" s="19">
        <f>Tabela174681012142230322681619252731333624210121416182426283038402481012141620222628303234362426810121424610122426244262628262681026286236[[#This Row],[Total Acumulado]]-P829</f>
        <v>-94</v>
      </c>
      <c r="P829" s="48">
        <f>Tabela174681012142230322681619252731333624210121416182426283038402481012141620222628303234362426810121424610122426244262628262681026286236[[#This Row],[Uso diário]]*5</f>
        <v>94</v>
      </c>
      <c r="Q8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29" s="25">
        <v>19</v>
      </c>
    </row>
    <row r="830" spans="1:20" s="26" customFormat="1" x14ac:dyDescent="0.25">
      <c r="A830" s="16">
        <v>224891</v>
      </c>
      <c r="B830" s="30" t="s">
        <v>1207</v>
      </c>
      <c r="C830" s="20" t="s">
        <v>650</v>
      </c>
      <c r="D830" s="20" t="s">
        <v>738</v>
      </c>
      <c r="E830" s="20" t="s">
        <v>3172</v>
      </c>
      <c r="F830" s="20" t="s">
        <v>3173</v>
      </c>
      <c r="G830" s="21">
        <v>18.8</v>
      </c>
      <c r="H830" s="16">
        <v>26</v>
      </c>
      <c r="I830" s="16"/>
      <c r="J8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30" s="22"/>
      <c r="L830" s="23">
        <v>56.4</v>
      </c>
      <c r="M830" s="23">
        <f>SUM(Tabela174681012142230322681619252731333624210121416182426283038402481012141620222628303234362426810121424610122426244262628262681026286236[[#This Row],[Saldo no cartão]:[Recarga Pendente]])</f>
        <v>56.4</v>
      </c>
      <c r="N830" s="19">
        <f>Tabela174681012142230322681619252731333624210121416182426283038402481012141620222628303234362426810121424610122426244262628262681026286236[[#This Row],[Uso diário]]*2</f>
        <v>37.6</v>
      </c>
      <c r="O830" s="19">
        <f>Tabela174681012142230322681619252731333624210121416182426283038402481012141620222628303234362426810121424610122426244262628262681026286236[[#This Row],[Total Acumulado]]-P830</f>
        <v>-37.6</v>
      </c>
      <c r="P830" s="48">
        <f>Tabela174681012142230322681619252731333624210121416182426283038402481012141620222628303234362426810121424610122426244262628262681026286236[[#This Row],[Uso diário]]*5</f>
        <v>94</v>
      </c>
      <c r="Q8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0" s="25">
        <v>19</v>
      </c>
    </row>
    <row r="831" spans="1:20" s="26" customFormat="1" x14ac:dyDescent="0.25">
      <c r="A831" s="16">
        <v>212379</v>
      </c>
      <c r="B831" s="30" t="s">
        <v>1294</v>
      </c>
      <c r="C831" s="20" t="s">
        <v>652</v>
      </c>
      <c r="D831" s="20" t="s">
        <v>728</v>
      </c>
      <c r="E831" s="20" t="s">
        <v>3174</v>
      </c>
      <c r="F831" s="20" t="s">
        <v>3175</v>
      </c>
      <c r="G831" s="21">
        <v>15.2</v>
      </c>
      <c r="H831" s="16">
        <v>26</v>
      </c>
      <c r="I831" s="16"/>
      <c r="J8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395.2</v>
      </c>
      <c r="K831" s="22"/>
      <c r="L831" s="23"/>
      <c r="M831" s="23">
        <f>SUM(Tabela174681012142230322681619252731333624210121416182426283038402481012141620222628303234362426810121424610122426244262628262681026286236[[#This Row],[Saldo no cartão]:[Recarga Pendente]])</f>
        <v>0</v>
      </c>
      <c r="N831" s="19">
        <f>Tabela174681012142230322681619252731333624210121416182426283038402481012141620222628303234362426810121424610122426244262628262681026286236[[#This Row],[Uso diário]]*2</f>
        <v>30.4</v>
      </c>
      <c r="O831" s="19">
        <f>Tabela174681012142230322681619252731333624210121416182426283038402481012141620222628303234362426810121424610122426244262628262681026286236[[#This Row],[Total Acumulado]]-P831</f>
        <v>-76</v>
      </c>
      <c r="P831" s="48">
        <f>Tabela174681012142230322681619252731333624210121416182426283038402481012141620222628303234362426810121424610122426244262628262681026286236[[#This Row],[Uso diário]]*5</f>
        <v>76</v>
      </c>
      <c r="Q8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395.2</v>
      </c>
      <c r="S8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1" s="25">
        <v>19</v>
      </c>
    </row>
    <row r="832" spans="1:20" s="26" customFormat="1" x14ac:dyDescent="0.25">
      <c r="A832" s="16">
        <v>218495</v>
      </c>
      <c r="B832" s="30" t="s">
        <v>399</v>
      </c>
      <c r="C832" s="20" t="s">
        <v>635</v>
      </c>
      <c r="D832" s="20" t="s">
        <v>689</v>
      </c>
      <c r="E832" s="20" t="s">
        <v>3176</v>
      </c>
      <c r="F832" s="20" t="s">
        <v>3177</v>
      </c>
      <c r="G832" s="21">
        <v>18.8</v>
      </c>
      <c r="H832" s="16">
        <v>22</v>
      </c>
      <c r="I832" s="16">
        <v>1</v>
      </c>
      <c r="J8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832" s="22"/>
      <c r="L832" s="23"/>
      <c r="M832" s="23">
        <f>SUM(Tabela174681012142230322681619252731333624210121416182426283038402481012141620222628303234362426810121424610122426244262628262681026286236[[#This Row],[Saldo no cartão]:[Recarga Pendente]])</f>
        <v>0</v>
      </c>
      <c r="N832" s="19">
        <f>Tabela174681012142230322681619252731333624210121416182426283038402481012141620222628303234362426810121424610122426244262628262681026286236[[#This Row],[Uso diário]]*2</f>
        <v>37.6</v>
      </c>
      <c r="O832" s="19">
        <f>Tabela174681012142230322681619252731333624210121416182426283038402481012141620222628303234362426810121424610122426244262628262681026286236[[#This Row],[Total Acumulado]]-P832</f>
        <v>-94</v>
      </c>
      <c r="P832" s="48">
        <f>Tabela174681012142230322681619252731333624210121416182426283038402481012141620222628303234362426810121424610122426244262628262681026286236[[#This Row],[Uso diário]]*5</f>
        <v>94</v>
      </c>
      <c r="Q8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8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2" s="25">
        <v>19</v>
      </c>
    </row>
    <row r="833" spans="1:20" s="26" customFormat="1" x14ac:dyDescent="0.25">
      <c r="A833" s="16">
        <v>219335</v>
      </c>
      <c r="B833" s="30" t="s">
        <v>400</v>
      </c>
      <c r="C833" s="20" t="s">
        <v>635</v>
      </c>
      <c r="D833" s="20" t="s">
        <v>689</v>
      </c>
      <c r="E833" s="20" t="s">
        <v>3178</v>
      </c>
      <c r="F833" s="20" t="s">
        <v>3179</v>
      </c>
      <c r="G833" s="21">
        <v>18.8</v>
      </c>
      <c r="H833" s="16">
        <v>22</v>
      </c>
      <c r="I833" s="16"/>
      <c r="J8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33" s="22"/>
      <c r="L833" s="23"/>
      <c r="M833" s="23">
        <f>SUM(Tabela174681012142230322681619252731333624210121416182426283038402481012141620222628303234362426810121424610122426244262628262681026286236[[#This Row],[Saldo no cartão]:[Recarga Pendente]])</f>
        <v>0</v>
      </c>
      <c r="N833" s="19">
        <f>Tabela174681012142230322681619252731333624210121416182426283038402481012141620222628303234362426810121424610122426244262628262681026286236[[#This Row],[Uso diário]]*2</f>
        <v>37.6</v>
      </c>
      <c r="O833" s="19">
        <f>Tabela174681012142230322681619252731333624210121416182426283038402481012141620222628303234362426810121424610122426244262628262681026286236[[#This Row],[Total Acumulado]]-P833</f>
        <v>-94</v>
      </c>
      <c r="P833" s="48">
        <f>Tabela174681012142230322681619252731333624210121416182426283038402481012141620222628303234362426810121424610122426244262628262681026286236[[#This Row],[Uso diário]]*5</f>
        <v>94</v>
      </c>
      <c r="Q8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3" s="25">
        <v>19</v>
      </c>
    </row>
    <row r="834" spans="1:20" s="26" customFormat="1" x14ac:dyDescent="0.25">
      <c r="A834" s="16">
        <v>213597</v>
      </c>
      <c r="B834" s="30" t="s">
        <v>1481</v>
      </c>
      <c r="C834" s="20" t="s">
        <v>654</v>
      </c>
      <c r="D834" s="20" t="s">
        <v>731</v>
      </c>
      <c r="E834" s="20" t="s">
        <v>3180</v>
      </c>
      <c r="F834" s="20" t="s">
        <v>3181</v>
      </c>
      <c r="G834" s="21">
        <v>13.4</v>
      </c>
      <c r="H834" s="16">
        <v>26</v>
      </c>
      <c r="I834" s="16"/>
      <c r="J8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34" s="22"/>
      <c r="L834" s="23"/>
      <c r="M834" s="23">
        <f>SUM(Tabela174681012142230322681619252731333624210121416182426283038402481012141620222628303234362426810121424610122426244262628262681026286236[[#This Row],[Saldo no cartão]:[Recarga Pendente]])</f>
        <v>0</v>
      </c>
      <c r="N834" s="19">
        <f>Tabela174681012142230322681619252731333624210121416182426283038402481012141620222628303234362426810121424610122426244262628262681026286236[[#This Row],[Uso diário]]*2</f>
        <v>26.8</v>
      </c>
      <c r="O834" s="19">
        <f>Tabela174681012142230322681619252731333624210121416182426283038402481012141620222628303234362426810121424610122426244262628262681026286236[[#This Row],[Total Acumulado]]-P834</f>
        <v>-67</v>
      </c>
      <c r="P834" s="48">
        <f>Tabela174681012142230322681619252731333624210121416182426283038402481012141620222628303234362426810121424610122426244262628262681026286236[[#This Row],[Uso diário]]*5</f>
        <v>67</v>
      </c>
      <c r="Q8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4" s="25">
        <v>19</v>
      </c>
    </row>
    <row r="835" spans="1:20" s="26" customFormat="1" x14ac:dyDescent="0.25">
      <c r="A835" s="16">
        <v>218617</v>
      </c>
      <c r="B835" s="30" t="s">
        <v>1379</v>
      </c>
      <c r="C835" s="20" t="s">
        <v>654</v>
      </c>
      <c r="D835" s="20" t="s">
        <v>731</v>
      </c>
      <c r="E835" s="20" t="s">
        <v>3182</v>
      </c>
      <c r="F835" s="20" t="s">
        <v>3183</v>
      </c>
      <c r="G835" s="21">
        <v>10</v>
      </c>
      <c r="H835" s="16">
        <v>26</v>
      </c>
      <c r="I835" s="16"/>
      <c r="J8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35" s="22"/>
      <c r="L835" s="23">
        <v>18.05</v>
      </c>
      <c r="M835" s="23">
        <f>SUM(Tabela174681012142230322681619252731333624210121416182426283038402481012141620222628303234362426810121424610122426244262628262681026286236[[#This Row],[Saldo no cartão]:[Recarga Pendente]])</f>
        <v>18.05</v>
      </c>
      <c r="N835" s="19">
        <f>Tabela174681012142230322681619252731333624210121416182426283038402481012141620222628303234362426810121424610122426244262628262681026286236[[#This Row],[Uso diário]]*2</f>
        <v>20</v>
      </c>
      <c r="O835" s="19">
        <f>Tabela174681012142230322681619252731333624210121416182426283038402481012141620222628303234362426810121424610122426244262628262681026286236[[#This Row],[Total Acumulado]]-P835</f>
        <v>-31.95</v>
      </c>
      <c r="P835" s="48">
        <f>Tabela174681012142230322681619252731333624210121416182426283038402481012141620222628303234362426810121424610122426244262628262681026286236[[#This Row],[Uso diário]]*5</f>
        <v>50</v>
      </c>
      <c r="Q8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5" s="25">
        <v>19</v>
      </c>
    </row>
    <row r="836" spans="1:20" s="26" customFormat="1" x14ac:dyDescent="0.25">
      <c r="A836" s="16">
        <v>229316</v>
      </c>
      <c r="B836" s="30" t="s">
        <v>402</v>
      </c>
      <c r="C836" s="20" t="s">
        <v>654</v>
      </c>
      <c r="D836" s="20" t="s">
        <v>715</v>
      </c>
      <c r="E836" s="20" t="s">
        <v>3184</v>
      </c>
      <c r="F836" s="20" t="s">
        <v>3185</v>
      </c>
      <c r="G836" s="21">
        <v>18.8</v>
      </c>
      <c r="H836" s="16">
        <v>26</v>
      </c>
      <c r="I836" s="16">
        <v>1</v>
      </c>
      <c r="J8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36" s="22"/>
      <c r="L836" s="23"/>
      <c r="M836" s="23">
        <f>SUM(Tabela174681012142230322681619252731333624210121416182426283038402481012141620222628303234362426810121424610122426244262628262681026286236[[#This Row],[Saldo no cartão]:[Recarga Pendente]])</f>
        <v>0</v>
      </c>
      <c r="N836" s="19">
        <f>Tabela174681012142230322681619252731333624210121416182426283038402481012141620222628303234362426810121424610122426244262628262681026286236[[#This Row],[Uso diário]]*2</f>
        <v>37.6</v>
      </c>
      <c r="O836" s="19">
        <f>Tabela174681012142230322681619252731333624210121416182426283038402481012141620222628303234362426810121424610122426244262628262681026286236[[#This Row],[Total Acumulado]]-P836</f>
        <v>-94</v>
      </c>
      <c r="P836" s="48">
        <f>Tabela174681012142230322681619252731333624210121416182426283038402481012141620222628303234362426810121424610122426244262628262681026286236[[#This Row],[Uso diário]]*5</f>
        <v>94</v>
      </c>
      <c r="Q8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6" s="25">
        <v>19</v>
      </c>
    </row>
    <row r="837" spans="1:20" s="26" customFormat="1" x14ac:dyDescent="0.25">
      <c r="A837" s="16">
        <v>234654</v>
      </c>
      <c r="B837" s="30" t="s">
        <v>1324</v>
      </c>
      <c r="C837" s="20" t="s">
        <v>640</v>
      </c>
      <c r="D837" s="20" t="s">
        <v>702</v>
      </c>
      <c r="E837" s="20" t="s">
        <v>3186</v>
      </c>
      <c r="F837" s="20" t="s">
        <v>3187</v>
      </c>
      <c r="G837" s="21">
        <v>18.8</v>
      </c>
      <c r="H837" s="16">
        <v>26</v>
      </c>
      <c r="I837" s="16"/>
      <c r="J8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37" s="22"/>
      <c r="L837" s="23"/>
      <c r="M837" s="23">
        <f>SUM(Tabela174681012142230322681619252731333624210121416182426283038402481012141620222628303234362426810121424610122426244262628262681026286236[[#This Row],[Saldo no cartão]:[Recarga Pendente]])</f>
        <v>0</v>
      </c>
      <c r="N837" s="19">
        <f>Tabela174681012142230322681619252731333624210121416182426283038402481012141620222628303234362426810121424610122426244262628262681026286236[[#This Row],[Uso diário]]*2</f>
        <v>37.6</v>
      </c>
      <c r="O837" s="19">
        <f>Tabela174681012142230322681619252731333624210121416182426283038402481012141620222628303234362426810121424610122426244262628262681026286236[[#This Row],[Total Acumulado]]-P837</f>
        <v>-94</v>
      </c>
      <c r="P837" s="48">
        <f>Tabela174681012142230322681619252731333624210121416182426283038402481012141620222628303234362426810121424610122426244262628262681026286236[[#This Row],[Uso diário]]*5</f>
        <v>94</v>
      </c>
      <c r="Q8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7" s="25">
        <v>19</v>
      </c>
    </row>
    <row r="838" spans="1:20" s="26" customFormat="1" x14ac:dyDescent="0.25">
      <c r="A838" s="16">
        <v>234772</v>
      </c>
      <c r="B838" s="30" t="s">
        <v>1380</v>
      </c>
      <c r="C838" s="20" t="s">
        <v>640</v>
      </c>
      <c r="D838" s="20" t="s">
        <v>701</v>
      </c>
      <c r="E838" s="20" t="s">
        <v>3188</v>
      </c>
      <c r="F838" s="20" t="s">
        <v>3189</v>
      </c>
      <c r="G838" s="21">
        <v>10</v>
      </c>
      <c r="H838" s="16">
        <v>26</v>
      </c>
      <c r="I838" s="16"/>
      <c r="J8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38" s="22"/>
      <c r="L838" s="23"/>
      <c r="M838" s="23">
        <f>SUM(Tabela174681012142230322681619252731333624210121416182426283038402481012141620222628303234362426810121424610122426244262628262681026286236[[#This Row],[Saldo no cartão]:[Recarga Pendente]])</f>
        <v>0</v>
      </c>
      <c r="N838" s="19">
        <f>Tabela174681012142230322681619252731333624210121416182426283038402481012141620222628303234362426810121424610122426244262628262681026286236[[#This Row],[Uso diário]]*2</f>
        <v>20</v>
      </c>
      <c r="O838" s="19">
        <f>Tabela174681012142230322681619252731333624210121416182426283038402481012141620222628303234362426810121424610122426244262628262681026286236[[#This Row],[Total Acumulado]]-P838</f>
        <v>-50</v>
      </c>
      <c r="P838" s="48">
        <f>Tabela174681012142230322681619252731333624210121416182426283038402481012141620222628303234362426810121424610122426244262628262681026286236[[#This Row],[Uso diário]]*5</f>
        <v>50</v>
      </c>
      <c r="Q8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8" s="25">
        <v>19</v>
      </c>
    </row>
    <row r="839" spans="1:20" s="26" customFormat="1" x14ac:dyDescent="0.25">
      <c r="A839" s="16">
        <v>215453</v>
      </c>
      <c r="B839" s="30" t="s">
        <v>1208</v>
      </c>
      <c r="C839" s="20" t="s">
        <v>645</v>
      </c>
      <c r="D839" s="20" t="s">
        <v>751</v>
      </c>
      <c r="E839" s="20" t="s">
        <v>3190</v>
      </c>
      <c r="F839" s="20" t="s">
        <v>3191</v>
      </c>
      <c r="G839" s="21">
        <v>18.8</v>
      </c>
      <c r="H839" s="16">
        <v>26</v>
      </c>
      <c r="I839" s="16"/>
      <c r="J8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39" s="22"/>
      <c r="L839" s="23"/>
      <c r="M839" s="23">
        <f>SUM(Tabela174681012142230322681619252731333624210121416182426283038402481012141620222628303234362426810121424610122426244262628262681026286236[[#This Row],[Saldo no cartão]:[Recarga Pendente]])</f>
        <v>0</v>
      </c>
      <c r="N839" s="19">
        <f>Tabela174681012142230322681619252731333624210121416182426283038402481012141620222628303234362426810121424610122426244262628262681026286236[[#This Row],[Uso diário]]*2</f>
        <v>37.6</v>
      </c>
      <c r="O839" s="19">
        <f>Tabela174681012142230322681619252731333624210121416182426283038402481012141620222628303234362426810121424610122426244262628262681026286236[[#This Row],[Total Acumulado]]-P839</f>
        <v>-94</v>
      </c>
      <c r="P839" s="48">
        <f>Tabela174681012142230322681619252731333624210121416182426283038402481012141620222628303234362426810121424610122426244262628262681026286236[[#This Row],[Uso diário]]*5</f>
        <v>94</v>
      </c>
      <c r="Q8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39" s="25">
        <v>19</v>
      </c>
    </row>
    <row r="840" spans="1:20" s="26" customFormat="1" x14ac:dyDescent="0.25">
      <c r="A840" s="16">
        <v>212633</v>
      </c>
      <c r="B840" s="30" t="s">
        <v>404</v>
      </c>
      <c r="C840" s="20" t="s">
        <v>647</v>
      </c>
      <c r="D840" s="20" t="s">
        <v>723</v>
      </c>
      <c r="E840" s="20" t="s">
        <v>3192</v>
      </c>
      <c r="F840" s="20" t="s">
        <v>3193</v>
      </c>
      <c r="G840" s="21">
        <v>10</v>
      </c>
      <c r="H840" s="16">
        <v>26</v>
      </c>
      <c r="I840" s="16"/>
      <c r="J8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0" s="22"/>
      <c r="L840" s="23"/>
      <c r="M840" s="23">
        <f>SUM(Tabela174681012142230322681619252731333624210121416182426283038402481012141620222628303234362426810121424610122426244262628262681026286236[[#This Row],[Saldo no cartão]:[Recarga Pendente]])</f>
        <v>0</v>
      </c>
      <c r="N840" s="19">
        <f>Tabela174681012142230322681619252731333624210121416182426283038402481012141620222628303234362426810121424610122426244262628262681026286236[[#This Row],[Uso diário]]*2</f>
        <v>20</v>
      </c>
      <c r="O840" s="19">
        <f>Tabela174681012142230322681619252731333624210121416182426283038402481012141620222628303234362426810121424610122426244262628262681026286236[[#This Row],[Total Acumulado]]-P840</f>
        <v>-50</v>
      </c>
      <c r="P840" s="48">
        <f>Tabela174681012142230322681619252731333624210121416182426283038402481012141620222628303234362426810121424610122426244262628262681026286236[[#This Row],[Uso diário]]*5</f>
        <v>50</v>
      </c>
      <c r="Q8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0" s="25">
        <v>20</v>
      </c>
    </row>
    <row r="841" spans="1:20" s="26" customFormat="1" x14ac:dyDescent="0.25">
      <c r="A841" s="16">
        <v>222280</v>
      </c>
      <c r="B841" s="30" t="s">
        <v>405</v>
      </c>
      <c r="C841" s="20" t="s">
        <v>647</v>
      </c>
      <c r="D841" s="20" t="s">
        <v>721</v>
      </c>
      <c r="E841" s="20" t="s">
        <v>3194</v>
      </c>
      <c r="F841" s="20" t="s">
        <v>3195</v>
      </c>
      <c r="G841" s="21">
        <v>10</v>
      </c>
      <c r="H841" s="16">
        <v>26</v>
      </c>
      <c r="I841" s="16"/>
      <c r="J8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1" s="22"/>
      <c r="L841" s="23"/>
      <c r="M841" s="23">
        <f>SUM(Tabela174681012142230322681619252731333624210121416182426283038402481012141620222628303234362426810121424610122426244262628262681026286236[[#This Row],[Saldo no cartão]:[Recarga Pendente]])</f>
        <v>0</v>
      </c>
      <c r="N841" s="19">
        <f>Tabela174681012142230322681619252731333624210121416182426283038402481012141620222628303234362426810121424610122426244262628262681026286236[[#This Row],[Uso diário]]*2</f>
        <v>20</v>
      </c>
      <c r="O841" s="19">
        <f>Tabela174681012142230322681619252731333624210121416182426283038402481012141620222628303234362426810121424610122426244262628262681026286236[[#This Row],[Total Acumulado]]-P841</f>
        <v>-50</v>
      </c>
      <c r="P841" s="48">
        <f>Tabela174681012142230322681619252731333624210121416182426283038402481012141620222628303234362426810121424610122426244262628262681026286236[[#This Row],[Uso diário]]*5</f>
        <v>50</v>
      </c>
      <c r="Q8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1" s="25">
        <v>20</v>
      </c>
    </row>
    <row r="842" spans="1:20" s="26" customFormat="1" x14ac:dyDescent="0.25">
      <c r="A842" s="16">
        <v>224077</v>
      </c>
      <c r="B842" s="30" t="s">
        <v>1209</v>
      </c>
      <c r="C842" s="20" t="s">
        <v>649</v>
      </c>
      <c r="D842" s="20" t="s">
        <v>725</v>
      </c>
      <c r="E842" s="20" t="s">
        <v>3196</v>
      </c>
      <c r="F842" s="20" t="s">
        <v>3197</v>
      </c>
      <c r="G842" s="21">
        <v>18.8</v>
      </c>
      <c r="H842" s="16">
        <v>26</v>
      </c>
      <c r="I842" s="16">
        <v>1</v>
      </c>
      <c r="J8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42" s="22"/>
      <c r="L842" s="23"/>
      <c r="M842" s="23">
        <f>SUM(Tabela174681012142230322681619252731333624210121416182426283038402481012141620222628303234362426810121424610122426244262628262681026286236[[#This Row],[Saldo no cartão]:[Recarga Pendente]])</f>
        <v>0</v>
      </c>
      <c r="N842" s="19">
        <f>Tabela174681012142230322681619252731333624210121416182426283038402481012141620222628303234362426810121424610122426244262628262681026286236[[#This Row],[Uso diário]]*2</f>
        <v>37.6</v>
      </c>
      <c r="O842" s="19">
        <f>Tabela174681012142230322681619252731333624210121416182426283038402481012141620222628303234362426810121424610122426244262628262681026286236[[#This Row],[Total Acumulado]]-P842</f>
        <v>-94</v>
      </c>
      <c r="P842" s="48">
        <f>Tabela174681012142230322681619252731333624210121416182426283038402481012141620222628303234362426810121424610122426244262628262681026286236[[#This Row],[Uso diário]]*5</f>
        <v>94</v>
      </c>
      <c r="Q8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2" s="25">
        <v>20</v>
      </c>
    </row>
    <row r="843" spans="1:20" s="26" customFormat="1" x14ac:dyDescent="0.25">
      <c r="A843" s="16">
        <v>226208</v>
      </c>
      <c r="B843" s="30" t="s">
        <v>1482</v>
      </c>
      <c r="C843" s="20" t="s">
        <v>649</v>
      </c>
      <c r="D843" s="20" t="s">
        <v>725</v>
      </c>
      <c r="E843" s="20" t="s">
        <v>3198</v>
      </c>
      <c r="F843" s="20" t="s">
        <v>3199</v>
      </c>
      <c r="G843" s="21">
        <v>10</v>
      </c>
      <c r="H843" s="16">
        <v>26</v>
      </c>
      <c r="I843" s="16"/>
      <c r="J8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3" s="22"/>
      <c r="L843" s="23"/>
      <c r="M843" s="23">
        <f>SUM(Tabela174681012142230322681619252731333624210121416182426283038402481012141620222628303234362426810121424610122426244262628262681026286236[[#This Row],[Saldo no cartão]:[Recarga Pendente]])</f>
        <v>0</v>
      </c>
      <c r="N843" s="19">
        <f>Tabela174681012142230322681619252731333624210121416182426283038402481012141620222628303234362426810121424610122426244262628262681026286236[[#This Row],[Uso diário]]*2</f>
        <v>20</v>
      </c>
      <c r="O843" s="19">
        <f>Tabela174681012142230322681619252731333624210121416182426283038402481012141620222628303234362426810121424610122426244262628262681026286236[[#This Row],[Total Acumulado]]-P843</f>
        <v>-50</v>
      </c>
      <c r="P843" s="48">
        <f>Tabela174681012142230322681619252731333624210121416182426283038402481012141620222628303234362426810121424610122426244262628262681026286236[[#This Row],[Uso diário]]*5</f>
        <v>50</v>
      </c>
      <c r="Q8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3" s="25">
        <v>20</v>
      </c>
    </row>
    <row r="844" spans="1:20" s="26" customFormat="1" x14ac:dyDescent="0.25">
      <c r="A844" s="16">
        <v>226296</v>
      </c>
      <c r="B844" s="30" t="s">
        <v>1483</v>
      </c>
      <c r="C844" s="20" t="s">
        <v>649</v>
      </c>
      <c r="D844" s="20" t="s">
        <v>725</v>
      </c>
      <c r="E844" s="20" t="s">
        <v>3200</v>
      </c>
      <c r="F844" s="20" t="s">
        <v>3201</v>
      </c>
      <c r="G844" s="21">
        <v>10</v>
      </c>
      <c r="H844" s="16">
        <v>26</v>
      </c>
      <c r="I844" s="16"/>
      <c r="J8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4" s="22"/>
      <c r="L844" s="23"/>
      <c r="M844" s="23">
        <f>SUM(Tabela174681012142230322681619252731333624210121416182426283038402481012141620222628303234362426810121424610122426244262628262681026286236[[#This Row],[Saldo no cartão]:[Recarga Pendente]])</f>
        <v>0</v>
      </c>
      <c r="N844" s="19">
        <f>Tabela174681012142230322681619252731333624210121416182426283038402481012141620222628303234362426810121424610122426244262628262681026286236[[#This Row],[Uso diário]]*2</f>
        <v>20</v>
      </c>
      <c r="O844" s="19">
        <f>Tabela174681012142230322681619252731333624210121416182426283038402481012141620222628303234362426810121424610122426244262628262681026286236[[#This Row],[Total Acumulado]]-P844</f>
        <v>-50</v>
      </c>
      <c r="P844" s="48">
        <f>Tabela174681012142230322681619252731333624210121416182426283038402481012141620222628303234362426810121424610122426244262628262681026286236[[#This Row],[Uso diário]]*5</f>
        <v>50</v>
      </c>
      <c r="Q8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4" s="25">
        <v>20</v>
      </c>
    </row>
    <row r="845" spans="1:20" s="26" customFormat="1" x14ac:dyDescent="0.25">
      <c r="A845" s="16">
        <v>226298</v>
      </c>
      <c r="B845" s="30" t="s">
        <v>407</v>
      </c>
      <c r="C845" s="20" t="s">
        <v>649</v>
      </c>
      <c r="D845" s="20" t="s">
        <v>725</v>
      </c>
      <c r="E845" s="20" t="s">
        <v>3202</v>
      </c>
      <c r="F845" s="20" t="s">
        <v>3203</v>
      </c>
      <c r="G845" s="21">
        <v>10</v>
      </c>
      <c r="H845" s="16">
        <v>26</v>
      </c>
      <c r="I845" s="16"/>
      <c r="J8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5" s="22"/>
      <c r="L845" s="23"/>
      <c r="M845" s="23">
        <f>SUM(Tabela174681012142230322681619252731333624210121416182426283038402481012141620222628303234362426810121424610122426244262628262681026286236[[#This Row],[Saldo no cartão]:[Recarga Pendente]])</f>
        <v>0</v>
      </c>
      <c r="N845" s="19">
        <f>Tabela174681012142230322681619252731333624210121416182426283038402481012141620222628303234362426810121424610122426244262628262681026286236[[#This Row],[Uso diário]]*2</f>
        <v>20</v>
      </c>
      <c r="O845" s="19">
        <f>Tabela174681012142230322681619252731333624210121416182426283038402481012141620222628303234362426810121424610122426244262628262681026286236[[#This Row],[Total Acumulado]]-P845</f>
        <v>-50</v>
      </c>
      <c r="P845" s="48">
        <f>Tabela174681012142230322681619252731333624210121416182426283038402481012141620222628303234362426810121424610122426244262628262681026286236[[#This Row],[Uso diário]]*5</f>
        <v>50</v>
      </c>
      <c r="Q8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5" s="25">
        <v>20</v>
      </c>
    </row>
    <row r="846" spans="1:20" s="26" customFormat="1" x14ac:dyDescent="0.25">
      <c r="A846" s="16">
        <v>224349</v>
      </c>
      <c r="B846" s="30" t="s">
        <v>409</v>
      </c>
      <c r="C846" s="20" t="s">
        <v>650</v>
      </c>
      <c r="D846" s="20" t="s">
        <v>726</v>
      </c>
      <c r="E846" s="20" t="s">
        <v>3204</v>
      </c>
      <c r="F846" s="20" t="s">
        <v>3205</v>
      </c>
      <c r="G846" s="21">
        <v>10</v>
      </c>
      <c r="H846" s="16">
        <v>26</v>
      </c>
      <c r="I846" s="16"/>
      <c r="J8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6" s="22"/>
      <c r="L846" s="23">
        <v>154</v>
      </c>
      <c r="M846" s="23">
        <f>SUM(Tabela174681012142230322681619252731333624210121416182426283038402481012141620222628303234362426810121424610122426244262628262681026286236[[#This Row],[Saldo no cartão]:[Recarga Pendente]])</f>
        <v>154</v>
      </c>
      <c r="N846" s="19">
        <f>Tabela174681012142230322681619252731333624210121416182426283038402481012141620222628303234362426810121424610122426244262628262681026286236[[#This Row],[Uso diário]]*2</f>
        <v>20</v>
      </c>
      <c r="O846" s="19">
        <f>Tabela174681012142230322681619252731333624210121416182426283038402481012141620222628303234362426810121424610122426244262628262681026286236[[#This Row],[Total Acumulado]]-P846</f>
        <v>104</v>
      </c>
      <c r="P846" s="48">
        <f>Tabela174681012142230322681619252731333624210121416182426283038402481012141620222628303234362426810121424610122426244262628262681026286236[[#This Row],[Uso diário]]*5</f>
        <v>50</v>
      </c>
      <c r="Q8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104</v>
      </c>
      <c r="R8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156</v>
      </c>
      <c r="S846" s="18" t="s">
        <v>11</v>
      </c>
      <c r="T846" s="25">
        <v>20</v>
      </c>
    </row>
    <row r="847" spans="1:20" s="26" customFormat="1" x14ac:dyDescent="0.25">
      <c r="A847" s="16">
        <v>208326</v>
      </c>
      <c r="B847" s="30" t="s">
        <v>1091</v>
      </c>
      <c r="C847" s="20" t="s">
        <v>635</v>
      </c>
      <c r="D847" s="20" t="s">
        <v>689</v>
      </c>
      <c r="E847" s="20" t="s">
        <v>3206</v>
      </c>
      <c r="F847" s="20" t="s">
        <v>3207</v>
      </c>
      <c r="G847" s="21">
        <v>18.8</v>
      </c>
      <c r="H847" s="16">
        <v>22</v>
      </c>
      <c r="I847" s="16"/>
      <c r="J8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47" s="22"/>
      <c r="L847" s="23"/>
      <c r="M847" s="23">
        <f>SUM(Tabela174681012142230322681619252731333624210121416182426283038402481012141620222628303234362426810121424610122426244262628262681026286236[[#This Row],[Saldo no cartão]:[Recarga Pendente]])</f>
        <v>0</v>
      </c>
      <c r="N847" s="19">
        <f>Tabela174681012142230322681619252731333624210121416182426283038402481012141620222628303234362426810121424610122426244262628262681026286236[[#This Row],[Uso diário]]*2</f>
        <v>37.6</v>
      </c>
      <c r="O847" s="19">
        <f>Tabela174681012142230322681619252731333624210121416182426283038402481012141620222628303234362426810121424610122426244262628262681026286236[[#This Row],[Total Acumulado]]-P847</f>
        <v>-94</v>
      </c>
      <c r="P847" s="48">
        <f>Tabela174681012142230322681619252731333624210121416182426283038402481012141620222628303234362426810121424610122426244262628262681026286236[[#This Row],[Uso diário]]*5</f>
        <v>94</v>
      </c>
      <c r="Q8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7" s="25">
        <v>20</v>
      </c>
    </row>
    <row r="848" spans="1:20" s="26" customFormat="1" x14ac:dyDescent="0.25">
      <c r="A848" s="16">
        <v>220684</v>
      </c>
      <c r="B848" s="30" t="s">
        <v>410</v>
      </c>
      <c r="C848" s="20" t="s">
        <v>653</v>
      </c>
      <c r="D848" s="20" t="s">
        <v>714</v>
      </c>
      <c r="E848" s="20" t="s">
        <v>3208</v>
      </c>
      <c r="F848" s="20" t="s">
        <v>3209</v>
      </c>
      <c r="G848" s="21">
        <v>10</v>
      </c>
      <c r="H848" s="16">
        <v>26</v>
      </c>
      <c r="I848" s="16"/>
      <c r="J8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48" s="22"/>
      <c r="L848" s="23"/>
      <c r="M848" s="23">
        <f>SUM(Tabela174681012142230322681619252731333624210121416182426283038402481012141620222628303234362426810121424610122426244262628262681026286236[[#This Row],[Saldo no cartão]:[Recarga Pendente]])</f>
        <v>0</v>
      </c>
      <c r="N848" s="19">
        <f>Tabela174681012142230322681619252731333624210121416182426283038402481012141620222628303234362426810121424610122426244262628262681026286236[[#This Row],[Uso diário]]*2</f>
        <v>20</v>
      </c>
      <c r="O848" s="19">
        <f>Tabela174681012142230322681619252731333624210121416182426283038402481012141620222628303234362426810121424610122426244262628262681026286236[[#This Row],[Total Acumulado]]-P848</f>
        <v>-50</v>
      </c>
      <c r="P848" s="48">
        <f>Tabela174681012142230322681619252731333624210121416182426283038402481012141620222628303234362426810121424610122426244262628262681026286236[[#This Row],[Uso diário]]*5</f>
        <v>50</v>
      </c>
      <c r="Q8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8" s="25">
        <v>20</v>
      </c>
    </row>
    <row r="849" spans="1:20" s="26" customFormat="1" x14ac:dyDescent="0.25">
      <c r="A849" s="16">
        <v>209838</v>
      </c>
      <c r="B849" s="30" t="s">
        <v>1484</v>
      </c>
      <c r="C849" s="20" t="s">
        <v>654</v>
      </c>
      <c r="D849" s="20" t="s">
        <v>731</v>
      </c>
      <c r="E849" s="20" t="s">
        <v>3210</v>
      </c>
      <c r="F849" s="20" t="s">
        <v>3211</v>
      </c>
      <c r="G849" s="21">
        <v>18.8</v>
      </c>
      <c r="H849" s="16">
        <v>26</v>
      </c>
      <c r="I849" s="16">
        <v>1</v>
      </c>
      <c r="J8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49" s="22"/>
      <c r="L849" s="23"/>
      <c r="M849" s="23">
        <f>SUM(Tabela174681012142230322681619252731333624210121416182426283038402481012141620222628303234362426810121424610122426244262628262681026286236[[#This Row],[Saldo no cartão]:[Recarga Pendente]])</f>
        <v>0</v>
      </c>
      <c r="N849" s="19">
        <f>Tabela174681012142230322681619252731333624210121416182426283038402481012141620222628303234362426810121424610122426244262628262681026286236[[#This Row],[Uso diário]]*2</f>
        <v>37.6</v>
      </c>
      <c r="O849" s="19">
        <f>Tabela174681012142230322681619252731333624210121416182426283038402481012141620222628303234362426810121424610122426244262628262681026286236[[#This Row],[Total Acumulado]]-P849</f>
        <v>-94</v>
      </c>
      <c r="P849" s="48">
        <f>Tabela174681012142230322681619252731333624210121416182426283038402481012141620222628303234362426810121424610122426244262628262681026286236[[#This Row],[Uso diário]]*5</f>
        <v>94</v>
      </c>
      <c r="Q8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49" s="25">
        <v>20</v>
      </c>
    </row>
    <row r="850" spans="1:20" s="26" customFormat="1" x14ac:dyDescent="0.25">
      <c r="A850" s="16">
        <v>232154</v>
      </c>
      <c r="B850" s="30" t="s">
        <v>888</v>
      </c>
      <c r="C850" s="20" t="s">
        <v>655</v>
      </c>
      <c r="D850" s="20" t="s">
        <v>713</v>
      </c>
      <c r="E850" s="20" t="s">
        <v>3212</v>
      </c>
      <c r="F850" s="20" t="s">
        <v>3213</v>
      </c>
      <c r="G850" s="21">
        <v>18.8</v>
      </c>
      <c r="H850" s="16">
        <v>26</v>
      </c>
      <c r="I850" s="16"/>
      <c r="J8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50" s="22"/>
      <c r="L850" s="23"/>
      <c r="M850" s="23">
        <f>SUM(Tabela174681012142230322681619252731333624210121416182426283038402481012141620222628303234362426810121424610122426244262628262681026286236[[#This Row],[Saldo no cartão]:[Recarga Pendente]])</f>
        <v>0</v>
      </c>
      <c r="N850" s="19">
        <f>Tabela174681012142230322681619252731333624210121416182426283038402481012141620222628303234362426810121424610122426244262628262681026286236[[#This Row],[Uso diário]]*2</f>
        <v>37.6</v>
      </c>
      <c r="O850" s="19">
        <f>Tabela174681012142230322681619252731333624210121416182426283038402481012141620222628303234362426810121424610122426244262628262681026286236[[#This Row],[Total Acumulado]]-P850</f>
        <v>-94</v>
      </c>
      <c r="P850" s="48">
        <f>Tabela174681012142230322681619252731333624210121416182426283038402481012141620222628303234362426810121424610122426244262628262681026286236[[#This Row],[Uso diário]]*5</f>
        <v>94</v>
      </c>
      <c r="Q8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0" s="25">
        <v>20</v>
      </c>
    </row>
    <row r="851" spans="1:20" s="26" customFormat="1" x14ac:dyDescent="0.25">
      <c r="A851" s="16">
        <v>232785</v>
      </c>
      <c r="B851" s="30" t="s">
        <v>944</v>
      </c>
      <c r="C851" s="20" t="s">
        <v>655</v>
      </c>
      <c r="D851" s="20" t="s">
        <v>734</v>
      </c>
      <c r="E851" s="20" t="s">
        <v>3214</v>
      </c>
      <c r="F851" s="20" t="s">
        <v>3215</v>
      </c>
      <c r="G851" s="21">
        <v>10</v>
      </c>
      <c r="H851" s="16">
        <v>26</v>
      </c>
      <c r="I851" s="16"/>
      <c r="J8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51" s="22"/>
      <c r="L851" s="23"/>
      <c r="M851" s="23">
        <f>SUM(Tabela174681012142230322681619252731333624210121416182426283038402481012141620222628303234362426810121424610122426244262628262681026286236[[#This Row],[Saldo no cartão]:[Recarga Pendente]])</f>
        <v>0</v>
      </c>
      <c r="N851" s="19">
        <f>Tabela174681012142230322681619252731333624210121416182426283038402481012141620222628303234362426810121424610122426244262628262681026286236[[#This Row],[Uso diário]]*2</f>
        <v>20</v>
      </c>
      <c r="O851" s="19">
        <f>Tabela174681012142230322681619252731333624210121416182426283038402481012141620222628303234362426810121424610122426244262628262681026286236[[#This Row],[Total Acumulado]]-P851</f>
        <v>-50</v>
      </c>
      <c r="P851" s="48">
        <f>Tabela174681012142230322681619252731333624210121416182426283038402481012141620222628303234362426810121424610122426244262628262681026286236[[#This Row],[Uso diário]]*5</f>
        <v>50</v>
      </c>
      <c r="Q8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1" s="25">
        <v>20</v>
      </c>
    </row>
    <row r="852" spans="1:20" s="26" customFormat="1" x14ac:dyDescent="0.25">
      <c r="A852" s="16">
        <v>223228</v>
      </c>
      <c r="B852" s="30" t="s">
        <v>1081</v>
      </c>
      <c r="C852" s="20" t="s">
        <v>641</v>
      </c>
      <c r="D852" s="20" t="s">
        <v>705</v>
      </c>
      <c r="E852" s="20" t="s">
        <v>3216</v>
      </c>
      <c r="F852" s="20" t="s">
        <v>3217</v>
      </c>
      <c r="G852" s="21">
        <v>18.8</v>
      </c>
      <c r="H852" s="16">
        <v>26</v>
      </c>
      <c r="I852" s="16"/>
      <c r="J8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52" s="22"/>
      <c r="L852" s="23"/>
      <c r="M852" s="23">
        <f>SUM(Tabela174681012142230322681619252731333624210121416182426283038402481012141620222628303234362426810121424610122426244262628262681026286236[[#This Row],[Saldo no cartão]:[Recarga Pendente]])</f>
        <v>0</v>
      </c>
      <c r="N852" s="19">
        <f>Tabela174681012142230322681619252731333624210121416182426283038402481012141620222628303234362426810121424610122426244262628262681026286236[[#This Row],[Uso diário]]*2</f>
        <v>37.6</v>
      </c>
      <c r="O852" s="19">
        <f>Tabela174681012142230322681619252731333624210121416182426283038402481012141620222628303234362426810121424610122426244262628262681026286236[[#This Row],[Total Acumulado]]-P852</f>
        <v>-94</v>
      </c>
      <c r="P852" s="48">
        <f>Tabela174681012142230322681619252731333624210121416182426283038402481012141620222628303234362426810121424610122426244262628262681026286236[[#This Row],[Uso diário]]*5</f>
        <v>94</v>
      </c>
      <c r="Q8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2" s="25">
        <v>20</v>
      </c>
    </row>
    <row r="853" spans="1:20" s="26" customFormat="1" x14ac:dyDescent="0.25">
      <c r="A853" s="16">
        <v>231772</v>
      </c>
      <c r="B853" s="30" t="s">
        <v>840</v>
      </c>
      <c r="C853" s="20" t="s">
        <v>641</v>
      </c>
      <c r="D853" s="20" t="s">
        <v>704</v>
      </c>
      <c r="E853" s="20" t="s">
        <v>3218</v>
      </c>
      <c r="F853" s="20" t="s">
        <v>3219</v>
      </c>
      <c r="G853" s="21">
        <v>10</v>
      </c>
      <c r="H853" s="16">
        <v>26</v>
      </c>
      <c r="I853" s="16">
        <v>1</v>
      </c>
      <c r="J8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250</v>
      </c>
      <c r="K853" s="22"/>
      <c r="L853" s="23"/>
      <c r="M853" s="23">
        <f>SUM(Tabela174681012142230322681619252731333624210121416182426283038402481012141620222628303234362426810121424610122426244262628262681026286236[[#This Row],[Saldo no cartão]:[Recarga Pendente]])</f>
        <v>0</v>
      </c>
      <c r="N853" s="19">
        <f>Tabela174681012142230322681619252731333624210121416182426283038402481012141620222628303234362426810121424610122426244262628262681026286236[[#This Row],[Uso diário]]*2</f>
        <v>20</v>
      </c>
      <c r="O853" s="19">
        <f>Tabela174681012142230322681619252731333624210121416182426283038402481012141620222628303234362426810121424610122426244262628262681026286236[[#This Row],[Total Acumulado]]-P853</f>
        <v>-50</v>
      </c>
      <c r="P853" s="48">
        <f>Tabela174681012142230322681619252731333624210121416182426283038402481012141620222628303234362426810121424610122426244262628262681026286236[[#This Row],[Uso diário]]*5</f>
        <v>50</v>
      </c>
      <c r="Q8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</v>
      </c>
      <c r="S8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3" s="25">
        <v>20</v>
      </c>
    </row>
    <row r="854" spans="1:20" s="26" customFormat="1" x14ac:dyDescent="0.25">
      <c r="A854" s="16">
        <v>232065</v>
      </c>
      <c r="B854" s="30" t="s">
        <v>841</v>
      </c>
      <c r="C854" s="20" t="s">
        <v>641</v>
      </c>
      <c r="D854" s="20" t="s">
        <v>704</v>
      </c>
      <c r="E854" s="20" t="s">
        <v>3220</v>
      </c>
      <c r="F854" s="20" t="s">
        <v>3221</v>
      </c>
      <c r="G854" s="21">
        <v>18.8</v>
      </c>
      <c r="H854" s="16">
        <v>26</v>
      </c>
      <c r="I854" s="16">
        <v>4</v>
      </c>
      <c r="J8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854" s="22"/>
      <c r="L854" s="23"/>
      <c r="M854" s="23">
        <f>SUM(Tabela174681012142230322681619252731333624210121416182426283038402481012141620222628303234362426810121424610122426244262628262681026286236[[#This Row],[Saldo no cartão]:[Recarga Pendente]])</f>
        <v>0</v>
      </c>
      <c r="N854" s="19">
        <f>Tabela174681012142230322681619252731333624210121416182426283038402481012141620222628303234362426810121424610122426244262628262681026286236[[#This Row],[Uso diário]]*2</f>
        <v>37.6</v>
      </c>
      <c r="O854" s="19">
        <f>Tabela174681012142230322681619252731333624210121416182426283038402481012141620222628303234362426810121424610122426244262628262681026286236[[#This Row],[Total Acumulado]]-P854</f>
        <v>-94</v>
      </c>
      <c r="P854" s="48">
        <f>Tabela174681012142230322681619252731333624210121416182426283038402481012141620222628303234362426810121424610122426244262628262681026286236[[#This Row],[Uso diário]]*5</f>
        <v>94</v>
      </c>
      <c r="Q8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8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4" s="25">
        <v>20</v>
      </c>
    </row>
    <row r="855" spans="1:20" s="26" customFormat="1" x14ac:dyDescent="0.25">
      <c r="A855" s="16">
        <v>228647</v>
      </c>
      <c r="B855" s="30" t="s">
        <v>345</v>
      </c>
      <c r="C855" s="20" t="s">
        <v>647</v>
      </c>
      <c r="D855" s="20" t="s">
        <v>720</v>
      </c>
      <c r="E855" s="20" t="s">
        <v>3222</v>
      </c>
      <c r="F855" s="20" t="s">
        <v>3223</v>
      </c>
      <c r="G855" s="21">
        <v>10</v>
      </c>
      <c r="H855" s="16">
        <v>26</v>
      </c>
      <c r="I855" s="16">
        <v>3</v>
      </c>
      <c r="J8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230</v>
      </c>
      <c r="K855" s="22"/>
      <c r="L855" s="23"/>
      <c r="M855" s="23">
        <f>SUM(Tabela174681012142230322681619252731333624210121416182426283038402481012141620222628303234362426810121424610122426244262628262681026286236[[#This Row],[Saldo no cartão]:[Recarga Pendente]])</f>
        <v>0</v>
      </c>
      <c r="N855" s="19">
        <f>Tabela174681012142230322681619252731333624210121416182426283038402481012141620222628303234362426810121424610122426244262628262681026286236[[#This Row],[Uso diário]]*2</f>
        <v>20</v>
      </c>
      <c r="O855" s="19">
        <f>Tabela174681012142230322681619252731333624210121416182426283038402481012141620222628303234362426810121424610122426244262628262681026286236[[#This Row],[Total Acumulado]]-P855</f>
        <v>-50</v>
      </c>
      <c r="P855" s="48">
        <f>Tabela174681012142230322681619252731333624210121416182426283038402481012141620222628303234362426810121424610122426244262628262681026286236[[#This Row],[Uso diário]]*5</f>
        <v>50</v>
      </c>
      <c r="Q8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230</v>
      </c>
      <c r="S8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5" s="25">
        <v>21</v>
      </c>
    </row>
    <row r="856" spans="1:20" s="26" customFormat="1" x14ac:dyDescent="0.25">
      <c r="A856" s="16">
        <v>228704</v>
      </c>
      <c r="B856" s="30" t="s">
        <v>1092</v>
      </c>
      <c r="C856" s="20" t="s">
        <v>647</v>
      </c>
      <c r="D856" s="20" t="s">
        <v>720</v>
      </c>
      <c r="E856" s="20" t="s">
        <v>3224</v>
      </c>
      <c r="F856" s="20" t="s">
        <v>3225</v>
      </c>
      <c r="G856" s="21">
        <v>10</v>
      </c>
      <c r="H856" s="16">
        <v>26</v>
      </c>
      <c r="I856" s="16"/>
      <c r="J8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56" s="22"/>
      <c r="L856" s="23"/>
      <c r="M856" s="23">
        <f>SUM(Tabela174681012142230322681619252731333624210121416182426283038402481012141620222628303234362426810121424610122426244262628262681026286236[[#This Row],[Saldo no cartão]:[Recarga Pendente]])</f>
        <v>0</v>
      </c>
      <c r="N856" s="19">
        <f>Tabela174681012142230322681619252731333624210121416182426283038402481012141620222628303234362426810121424610122426244262628262681026286236[[#This Row],[Uso diário]]*2</f>
        <v>20</v>
      </c>
      <c r="O856" s="19">
        <f>Tabela174681012142230322681619252731333624210121416182426283038402481012141620222628303234362426810121424610122426244262628262681026286236[[#This Row],[Total Acumulado]]-P856</f>
        <v>-50</v>
      </c>
      <c r="P856" s="48">
        <f>Tabela174681012142230322681619252731333624210121416182426283038402481012141620222628303234362426810121424610122426244262628262681026286236[[#This Row],[Uso diário]]*5</f>
        <v>50</v>
      </c>
      <c r="Q8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6" s="25">
        <v>21</v>
      </c>
    </row>
    <row r="857" spans="1:20" s="26" customFormat="1" x14ac:dyDescent="0.25">
      <c r="A857" s="16">
        <v>219638</v>
      </c>
      <c r="B857" s="30" t="s">
        <v>1485</v>
      </c>
      <c r="C857" s="20" t="s">
        <v>629</v>
      </c>
      <c r="D857" s="20" t="s">
        <v>682</v>
      </c>
      <c r="E857" s="20" t="s">
        <v>3226</v>
      </c>
      <c r="F857" s="20" t="s">
        <v>3227</v>
      </c>
      <c r="G857" s="21">
        <v>18.8</v>
      </c>
      <c r="H857" s="16">
        <v>26</v>
      </c>
      <c r="I857" s="16">
        <v>1</v>
      </c>
      <c r="J8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57" s="22"/>
      <c r="L857" s="23"/>
      <c r="M857" s="23">
        <f>SUM(Tabela174681012142230322681619252731333624210121416182426283038402481012141620222628303234362426810121424610122426244262628262681026286236[[#This Row],[Saldo no cartão]:[Recarga Pendente]])</f>
        <v>0</v>
      </c>
      <c r="N857" s="19">
        <f>Tabela174681012142230322681619252731333624210121416182426283038402481012141620222628303234362426810121424610122426244262628262681026286236[[#This Row],[Uso diário]]*2</f>
        <v>37.6</v>
      </c>
      <c r="O857" s="19">
        <f>Tabela174681012142230322681619252731333624210121416182426283038402481012141620222628303234362426810121424610122426244262628262681026286236[[#This Row],[Total Acumulado]]-P857</f>
        <v>-94</v>
      </c>
      <c r="P857" s="48">
        <f>Tabela174681012142230322681619252731333624210121416182426283038402481012141620222628303234362426810121424610122426244262628262681026286236[[#This Row],[Uso diário]]*5</f>
        <v>94</v>
      </c>
      <c r="Q8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7" s="25">
        <v>21</v>
      </c>
    </row>
    <row r="858" spans="1:20" s="26" customFormat="1" x14ac:dyDescent="0.25">
      <c r="A858" s="16">
        <v>230669</v>
      </c>
      <c r="B858" s="30" t="s">
        <v>351</v>
      </c>
      <c r="C858" s="20" t="s">
        <v>651</v>
      </c>
      <c r="D858" s="20" t="s">
        <v>717</v>
      </c>
      <c r="E858" s="20" t="s">
        <v>3228</v>
      </c>
      <c r="F858" s="20" t="s">
        <v>3229</v>
      </c>
      <c r="G858" s="21">
        <v>10</v>
      </c>
      <c r="H858" s="16">
        <v>16</v>
      </c>
      <c r="I858" s="16"/>
      <c r="J8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858" s="22"/>
      <c r="L858" s="23"/>
      <c r="M858" s="23">
        <f>SUM(Tabela174681012142230322681619252731333624210121416182426283038402481012141620222628303234362426810121424610122426244262628262681026286236[[#This Row],[Saldo no cartão]:[Recarga Pendente]])</f>
        <v>0</v>
      </c>
      <c r="N858" s="19">
        <f>Tabela174681012142230322681619252731333624210121416182426283038402481012141620222628303234362426810121424610122426244262628262681026286236[[#This Row],[Uso diário]]*2</f>
        <v>20</v>
      </c>
      <c r="O858" s="19">
        <f>Tabela174681012142230322681619252731333624210121416182426283038402481012141620222628303234362426810121424610122426244262628262681026286236[[#This Row],[Total Acumulado]]-P858</f>
        <v>-50</v>
      </c>
      <c r="P858" s="48">
        <f>Tabela174681012142230322681619252731333624210121416182426283038402481012141620222628303234362426810121424610122426244262628262681026286236[[#This Row],[Uso diário]]*5</f>
        <v>50</v>
      </c>
      <c r="Q8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8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8" s="25">
        <v>21</v>
      </c>
    </row>
    <row r="859" spans="1:20" s="26" customFormat="1" x14ac:dyDescent="0.25">
      <c r="A859" s="16">
        <v>212411</v>
      </c>
      <c r="B859" s="30" t="s">
        <v>411</v>
      </c>
      <c r="C859" s="20" t="s">
        <v>635</v>
      </c>
      <c r="D859" s="20" t="s">
        <v>698</v>
      </c>
      <c r="E859" s="20" t="s">
        <v>3230</v>
      </c>
      <c r="F859" s="20" t="s">
        <v>3231</v>
      </c>
      <c r="G859" s="21">
        <v>18.8</v>
      </c>
      <c r="H859" s="16">
        <v>26</v>
      </c>
      <c r="I859" s="16"/>
      <c r="J8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59" s="22"/>
      <c r="L859" s="23"/>
      <c r="M859" s="23">
        <f>SUM(Tabela174681012142230322681619252731333624210121416182426283038402481012141620222628303234362426810121424610122426244262628262681026286236[[#This Row],[Saldo no cartão]:[Recarga Pendente]])</f>
        <v>0</v>
      </c>
      <c r="N859" s="19">
        <f>Tabela174681012142230322681619252731333624210121416182426283038402481012141620222628303234362426810121424610122426244262628262681026286236[[#This Row],[Uso diário]]*2</f>
        <v>37.6</v>
      </c>
      <c r="O859" s="19">
        <f>Tabela174681012142230322681619252731333624210121416182426283038402481012141620222628303234362426810121424610122426244262628262681026286236[[#This Row],[Total Acumulado]]-P859</f>
        <v>-94</v>
      </c>
      <c r="P859" s="48">
        <f>Tabela174681012142230322681619252731333624210121416182426283038402481012141620222628303234362426810121424610122426244262628262681026286236[[#This Row],[Uso diário]]*5</f>
        <v>94</v>
      </c>
      <c r="Q8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59" s="25">
        <v>21</v>
      </c>
    </row>
    <row r="860" spans="1:20" s="26" customFormat="1" x14ac:dyDescent="0.25">
      <c r="A860" s="16">
        <v>233225</v>
      </c>
      <c r="B860" s="30" t="s">
        <v>996</v>
      </c>
      <c r="C860" s="20" t="s">
        <v>636</v>
      </c>
      <c r="D860" s="20" t="s">
        <v>729</v>
      </c>
      <c r="E860" s="20" t="s">
        <v>3232</v>
      </c>
      <c r="F860" s="20" t="s">
        <v>3233</v>
      </c>
      <c r="G860" s="21">
        <v>10</v>
      </c>
      <c r="H860" s="16">
        <v>20</v>
      </c>
      <c r="I860" s="16"/>
      <c r="J8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200</v>
      </c>
      <c r="K860" s="22"/>
      <c r="L860" s="23"/>
      <c r="M860" s="23">
        <f>SUM(Tabela174681012142230322681619252731333624210121416182426283038402481012141620222628303234362426810121424610122426244262628262681026286236[[#This Row],[Saldo no cartão]:[Recarga Pendente]])</f>
        <v>0</v>
      </c>
      <c r="N860" s="19">
        <f>Tabela174681012142230322681619252731333624210121416182426283038402481012141620222628303234362426810121424610122426244262628262681026286236[[#This Row],[Uso diário]]*2</f>
        <v>20</v>
      </c>
      <c r="O860" s="19">
        <f>Tabela174681012142230322681619252731333624210121416182426283038402481012141620222628303234362426810121424610122426244262628262681026286236[[#This Row],[Total Acumulado]]-P860</f>
        <v>-50</v>
      </c>
      <c r="P860" s="48">
        <f>Tabela174681012142230322681619252731333624210121416182426283038402481012141620222628303234362426810121424610122426244262628262681026286236[[#This Row],[Uso diário]]*5</f>
        <v>50</v>
      </c>
      <c r="Q8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200</v>
      </c>
      <c r="S8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0" s="25">
        <v>21</v>
      </c>
    </row>
    <row r="861" spans="1:20" s="26" customFormat="1" x14ac:dyDescent="0.25">
      <c r="A861" s="16">
        <v>233226</v>
      </c>
      <c r="B861" s="30" t="s">
        <v>997</v>
      </c>
      <c r="C861" s="20" t="s">
        <v>636</v>
      </c>
      <c r="D861" s="20" t="s">
        <v>729</v>
      </c>
      <c r="E861" s="20" t="s">
        <v>3234</v>
      </c>
      <c r="F861" s="20" t="s">
        <v>3235</v>
      </c>
      <c r="G861" s="21">
        <v>10</v>
      </c>
      <c r="H861" s="16">
        <v>20</v>
      </c>
      <c r="I861" s="16">
        <v>1</v>
      </c>
      <c r="J8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190</v>
      </c>
      <c r="K861" s="22"/>
      <c r="L861" s="23"/>
      <c r="M861" s="23">
        <f>SUM(Tabela174681012142230322681619252731333624210121416182426283038402481012141620222628303234362426810121424610122426244262628262681026286236[[#This Row],[Saldo no cartão]:[Recarga Pendente]])</f>
        <v>0</v>
      </c>
      <c r="N861" s="19">
        <f>Tabela174681012142230322681619252731333624210121416182426283038402481012141620222628303234362426810121424610122426244262628262681026286236[[#This Row],[Uso diário]]*2</f>
        <v>20</v>
      </c>
      <c r="O861" s="19">
        <f>Tabela174681012142230322681619252731333624210121416182426283038402481012141620222628303234362426810121424610122426244262628262681026286236[[#This Row],[Total Acumulado]]-P861</f>
        <v>-50</v>
      </c>
      <c r="P861" s="48">
        <f>Tabela174681012142230322681619252731333624210121416182426283038402481012141620222628303234362426810121424610122426244262628262681026286236[[#This Row],[Uso diário]]*5</f>
        <v>50</v>
      </c>
      <c r="Q8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190</v>
      </c>
      <c r="S8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1" s="25">
        <v>21</v>
      </c>
    </row>
    <row r="862" spans="1:20" s="26" customFormat="1" x14ac:dyDescent="0.25">
      <c r="A862" s="16">
        <v>233227</v>
      </c>
      <c r="B862" s="30" t="s">
        <v>998</v>
      </c>
      <c r="C862" s="20" t="s">
        <v>636</v>
      </c>
      <c r="D862" s="20" t="s">
        <v>729</v>
      </c>
      <c r="E862" s="20" t="s">
        <v>3236</v>
      </c>
      <c r="F862" s="20" t="s">
        <v>3237</v>
      </c>
      <c r="G862" s="21">
        <v>5</v>
      </c>
      <c r="H862" s="16">
        <v>22</v>
      </c>
      <c r="I862" s="16"/>
      <c r="J8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110</v>
      </c>
      <c r="K862" s="22"/>
      <c r="L862" s="23"/>
      <c r="M862" s="23">
        <f>SUM(Tabela174681012142230322681619252731333624210121416182426283038402481012141620222628303234362426810121424610122426244262628262681026286236[[#This Row],[Saldo no cartão]:[Recarga Pendente]])</f>
        <v>0</v>
      </c>
      <c r="N862" s="19">
        <f>Tabela174681012142230322681619252731333624210121416182426283038402481012141620222628303234362426810121424610122426244262628262681026286236[[#This Row],[Uso diário]]*2</f>
        <v>10</v>
      </c>
      <c r="O862" s="19">
        <f>Tabela174681012142230322681619252731333624210121416182426283038402481012141620222628303234362426810121424610122426244262628262681026286236[[#This Row],[Total Acumulado]]-P862</f>
        <v>-25</v>
      </c>
      <c r="P862" s="48">
        <f>Tabela174681012142230322681619252731333624210121416182426283038402481012141620222628303234362426810121424610122426244262628262681026286236[[#This Row],[Uso diário]]*5</f>
        <v>25</v>
      </c>
      <c r="Q8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110</v>
      </c>
      <c r="S8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2" s="25">
        <v>21</v>
      </c>
    </row>
    <row r="863" spans="1:20" s="26" customFormat="1" x14ac:dyDescent="0.25">
      <c r="A863" s="16">
        <v>233228</v>
      </c>
      <c r="B863" s="30" t="s">
        <v>999</v>
      </c>
      <c r="C863" s="20" t="s">
        <v>636</v>
      </c>
      <c r="D863" s="20" t="s">
        <v>729</v>
      </c>
      <c r="E863" s="20" t="s">
        <v>3238</v>
      </c>
      <c r="F863" s="20" t="s">
        <v>3239</v>
      </c>
      <c r="G863" s="21">
        <v>10</v>
      </c>
      <c r="H863" s="16">
        <v>20</v>
      </c>
      <c r="I863" s="16">
        <v>1</v>
      </c>
      <c r="J8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190</v>
      </c>
      <c r="K863" s="22"/>
      <c r="L863" s="23"/>
      <c r="M863" s="23">
        <f>SUM(Tabela174681012142230322681619252731333624210121416182426283038402481012141620222628303234362426810121424610122426244262628262681026286236[[#This Row],[Saldo no cartão]:[Recarga Pendente]])</f>
        <v>0</v>
      </c>
      <c r="N863" s="19">
        <f>Tabela174681012142230322681619252731333624210121416182426283038402481012141620222628303234362426810121424610122426244262628262681026286236[[#This Row],[Uso diário]]*2</f>
        <v>20</v>
      </c>
      <c r="O863" s="19">
        <f>Tabela174681012142230322681619252731333624210121416182426283038402481012141620222628303234362426810121424610122426244262628262681026286236[[#This Row],[Total Acumulado]]-P863</f>
        <v>-50</v>
      </c>
      <c r="P863" s="48">
        <f>Tabela174681012142230322681619252731333624210121416182426283038402481012141620222628303234362426810121424610122426244262628262681026286236[[#This Row],[Uso diário]]*5</f>
        <v>50</v>
      </c>
      <c r="Q8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190</v>
      </c>
      <c r="S8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3" s="25">
        <v>21</v>
      </c>
    </row>
    <row r="864" spans="1:20" s="26" customFormat="1" x14ac:dyDescent="0.25">
      <c r="A864" s="16">
        <v>233229</v>
      </c>
      <c r="B864" s="30" t="s">
        <v>1000</v>
      </c>
      <c r="C864" s="20" t="s">
        <v>636</v>
      </c>
      <c r="D864" s="20" t="s">
        <v>729</v>
      </c>
      <c r="E864" s="20" t="s">
        <v>3240</v>
      </c>
      <c r="F864" s="20" t="s">
        <v>3241</v>
      </c>
      <c r="G864" s="21">
        <v>10</v>
      </c>
      <c r="H864" s="16">
        <v>20</v>
      </c>
      <c r="I864" s="16">
        <v>2</v>
      </c>
      <c r="J8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180</v>
      </c>
      <c r="K864" s="22"/>
      <c r="L864" s="23"/>
      <c r="M864" s="23">
        <f>SUM(Tabela174681012142230322681619252731333624210121416182426283038402481012141620222628303234362426810121424610122426244262628262681026286236[[#This Row],[Saldo no cartão]:[Recarga Pendente]])</f>
        <v>0</v>
      </c>
      <c r="N864" s="19">
        <f>Tabela174681012142230322681619252731333624210121416182426283038402481012141620222628303234362426810121424610122426244262628262681026286236[[#This Row],[Uso diário]]*2</f>
        <v>20</v>
      </c>
      <c r="O864" s="19">
        <f>Tabela174681012142230322681619252731333624210121416182426283038402481012141620222628303234362426810121424610122426244262628262681026286236[[#This Row],[Total Acumulado]]-P864</f>
        <v>-50</v>
      </c>
      <c r="P864" s="48">
        <f>Tabela174681012142230322681619252731333624210121416182426283038402481012141620222628303234362426810121424610122426244262628262681026286236[[#This Row],[Uso diário]]*5</f>
        <v>50</v>
      </c>
      <c r="Q8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180</v>
      </c>
      <c r="S8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4" s="25">
        <v>21</v>
      </c>
    </row>
    <row r="865" spans="1:20" s="26" customFormat="1" x14ac:dyDescent="0.25">
      <c r="A865" s="16">
        <v>233230</v>
      </c>
      <c r="B865" s="30" t="s">
        <v>1001</v>
      </c>
      <c r="C865" s="20" t="s">
        <v>636</v>
      </c>
      <c r="D865" s="20" t="s">
        <v>729</v>
      </c>
      <c r="E865" s="20" t="s">
        <v>3242</v>
      </c>
      <c r="F865" s="20" t="s">
        <v>3243</v>
      </c>
      <c r="G865" s="21">
        <v>5</v>
      </c>
      <c r="H865" s="16">
        <v>22</v>
      </c>
      <c r="I865" s="16">
        <v>1</v>
      </c>
      <c r="J8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105</v>
      </c>
      <c r="K865" s="22"/>
      <c r="L865" s="23"/>
      <c r="M865" s="23">
        <f>SUM(Tabela174681012142230322681619252731333624210121416182426283038402481012141620222628303234362426810121424610122426244262628262681026286236[[#This Row],[Saldo no cartão]:[Recarga Pendente]])</f>
        <v>0</v>
      </c>
      <c r="N865" s="19">
        <f>Tabela174681012142230322681619252731333624210121416182426283038402481012141620222628303234362426810121424610122426244262628262681026286236[[#This Row],[Uso diário]]*2</f>
        <v>10</v>
      </c>
      <c r="O865" s="19">
        <f>Tabela174681012142230322681619252731333624210121416182426283038402481012141620222628303234362426810121424610122426244262628262681026286236[[#This Row],[Total Acumulado]]-P865</f>
        <v>-25</v>
      </c>
      <c r="P865" s="48">
        <f>Tabela174681012142230322681619252731333624210121416182426283038402481012141620222628303234362426810121424610122426244262628262681026286236[[#This Row],[Uso diário]]*5</f>
        <v>25</v>
      </c>
      <c r="Q8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105</v>
      </c>
      <c r="S8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5" s="25">
        <v>21</v>
      </c>
    </row>
    <row r="866" spans="1:20" s="26" customFormat="1" x14ac:dyDescent="0.25">
      <c r="A866" s="16">
        <v>233231</v>
      </c>
      <c r="B866" s="30" t="s">
        <v>1002</v>
      </c>
      <c r="C866" s="20" t="s">
        <v>636</v>
      </c>
      <c r="D866" s="20" t="s">
        <v>729</v>
      </c>
      <c r="E866" s="20" t="s">
        <v>3244</v>
      </c>
      <c r="F866" s="20" t="s">
        <v>3245</v>
      </c>
      <c r="G866" s="21">
        <v>5</v>
      </c>
      <c r="H866" s="16">
        <v>20</v>
      </c>
      <c r="I866" s="16"/>
      <c r="J8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100</v>
      </c>
      <c r="K866" s="22"/>
      <c r="L866" s="23"/>
      <c r="M866" s="23">
        <f>SUM(Tabela174681012142230322681619252731333624210121416182426283038402481012141620222628303234362426810121424610122426244262628262681026286236[[#This Row],[Saldo no cartão]:[Recarga Pendente]])</f>
        <v>0</v>
      </c>
      <c r="N866" s="19">
        <f>Tabela174681012142230322681619252731333624210121416182426283038402481012141620222628303234362426810121424610122426244262628262681026286236[[#This Row],[Uso diário]]*2</f>
        <v>10</v>
      </c>
      <c r="O866" s="19">
        <f>Tabela174681012142230322681619252731333624210121416182426283038402481012141620222628303234362426810121424610122426244262628262681026286236[[#This Row],[Total Acumulado]]-P866</f>
        <v>-25</v>
      </c>
      <c r="P866" s="48">
        <f>Tabela174681012142230322681619252731333624210121416182426283038402481012141620222628303234362426810121424610122426244262628262681026286236[[#This Row],[Uso diário]]*5</f>
        <v>25</v>
      </c>
      <c r="Q8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100</v>
      </c>
      <c r="S8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6" s="25">
        <v>21</v>
      </c>
    </row>
    <row r="867" spans="1:20" s="26" customFormat="1" x14ac:dyDescent="0.25">
      <c r="A867" s="16">
        <v>233232</v>
      </c>
      <c r="B867" s="30" t="s">
        <v>1003</v>
      </c>
      <c r="C867" s="20" t="s">
        <v>636</v>
      </c>
      <c r="D867" s="20" t="s">
        <v>729</v>
      </c>
      <c r="E867" s="20" t="s">
        <v>3246</v>
      </c>
      <c r="F867" s="20" t="s">
        <v>3247</v>
      </c>
      <c r="G867" s="21">
        <v>5</v>
      </c>
      <c r="H867" s="16">
        <v>22</v>
      </c>
      <c r="I867" s="16">
        <v>1</v>
      </c>
      <c r="J8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105</v>
      </c>
      <c r="K867" s="22"/>
      <c r="L867" s="23"/>
      <c r="M867" s="23">
        <f>SUM(Tabela174681012142230322681619252731333624210121416182426283038402481012141620222628303234362426810121424610122426244262628262681026286236[[#This Row],[Saldo no cartão]:[Recarga Pendente]])</f>
        <v>0</v>
      </c>
      <c r="N867" s="19">
        <f>Tabela174681012142230322681619252731333624210121416182426283038402481012141620222628303234362426810121424610122426244262628262681026286236[[#This Row],[Uso diário]]*2</f>
        <v>10</v>
      </c>
      <c r="O867" s="19">
        <f>Tabela174681012142230322681619252731333624210121416182426283038402481012141620222628303234362426810121424610122426244262628262681026286236[[#This Row],[Total Acumulado]]-P867</f>
        <v>-25</v>
      </c>
      <c r="P867" s="48">
        <f>Tabela174681012142230322681619252731333624210121416182426283038402481012141620222628303234362426810121424610122426244262628262681026286236[[#This Row],[Uso diário]]*5</f>
        <v>25</v>
      </c>
      <c r="Q8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105</v>
      </c>
      <c r="S8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7" s="25">
        <v>21</v>
      </c>
    </row>
    <row r="868" spans="1:20" s="26" customFormat="1" x14ac:dyDescent="0.25">
      <c r="A868" s="16">
        <v>233233</v>
      </c>
      <c r="B868" s="30" t="s">
        <v>1004</v>
      </c>
      <c r="C868" s="20" t="s">
        <v>636</v>
      </c>
      <c r="D868" s="20" t="s">
        <v>729</v>
      </c>
      <c r="E868" s="20" t="s">
        <v>3248</v>
      </c>
      <c r="F868" s="20" t="s">
        <v>3249</v>
      </c>
      <c r="G868" s="21">
        <v>10</v>
      </c>
      <c r="H868" s="16">
        <v>20</v>
      </c>
      <c r="I868" s="16">
        <v>4</v>
      </c>
      <c r="J8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160</v>
      </c>
      <c r="K868" s="22"/>
      <c r="L868" s="23"/>
      <c r="M868" s="23">
        <f>SUM(Tabela174681012142230322681619252731333624210121416182426283038402481012141620222628303234362426810121424610122426244262628262681026286236[[#This Row],[Saldo no cartão]:[Recarga Pendente]])</f>
        <v>0</v>
      </c>
      <c r="N868" s="19">
        <f>Tabela174681012142230322681619252731333624210121416182426283038402481012141620222628303234362426810121424610122426244262628262681026286236[[#This Row],[Uso diário]]*2</f>
        <v>20</v>
      </c>
      <c r="O868" s="19">
        <f>Tabela174681012142230322681619252731333624210121416182426283038402481012141620222628303234362426810121424610122426244262628262681026286236[[#This Row],[Total Acumulado]]-P868</f>
        <v>-50</v>
      </c>
      <c r="P868" s="48">
        <f>Tabela174681012142230322681619252731333624210121416182426283038402481012141620222628303234362426810121424610122426244262628262681026286236[[#This Row],[Uso diário]]*5</f>
        <v>50</v>
      </c>
      <c r="Q8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160</v>
      </c>
      <c r="S8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8" s="25">
        <v>21</v>
      </c>
    </row>
    <row r="869" spans="1:20" s="26" customFormat="1" x14ac:dyDescent="0.25">
      <c r="A869" s="16">
        <v>233234</v>
      </c>
      <c r="B869" s="30" t="s">
        <v>1005</v>
      </c>
      <c r="C869" s="20" t="s">
        <v>636</v>
      </c>
      <c r="D869" s="20" t="s">
        <v>729</v>
      </c>
      <c r="E869" s="20" t="s">
        <v>3250</v>
      </c>
      <c r="F869" s="20" t="s">
        <v>3251</v>
      </c>
      <c r="G869" s="21">
        <v>5</v>
      </c>
      <c r="H869" s="16">
        <v>22</v>
      </c>
      <c r="I869" s="16"/>
      <c r="J8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110</v>
      </c>
      <c r="K869" s="22"/>
      <c r="L869" s="23"/>
      <c r="M869" s="23">
        <f>SUM(Tabela174681012142230322681619252731333624210121416182426283038402481012141620222628303234362426810121424610122426244262628262681026286236[[#This Row],[Saldo no cartão]:[Recarga Pendente]])</f>
        <v>0</v>
      </c>
      <c r="N869" s="19">
        <f>Tabela174681012142230322681619252731333624210121416182426283038402481012141620222628303234362426810121424610122426244262628262681026286236[[#This Row],[Uso diário]]*2</f>
        <v>10</v>
      </c>
      <c r="O869" s="19">
        <f>Tabela174681012142230322681619252731333624210121416182426283038402481012141620222628303234362426810121424610122426244262628262681026286236[[#This Row],[Total Acumulado]]-P869</f>
        <v>-25</v>
      </c>
      <c r="P869" s="48">
        <f>Tabela174681012142230322681619252731333624210121416182426283038402481012141620222628303234362426810121424610122426244262628262681026286236[[#This Row],[Uso diário]]*5</f>
        <v>25</v>
      </c>
      <c r="Q8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110</v>
      </c>
      <c r="S8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69" s="25">
        <v>21</v>
      </c>
    </row>
    <row r="870" spans="1:20" s="26" customFormat="1" x14ac:dyDescent="0.25">
      <c r="A870" s="16">
        <v>231479</v>
      </c>
      <c r="B870" s="30" t="s">
        <v>793</v>
      </c>
      <c r="C870" s="20" t="s">
        <v>654</v>
      </c>
      <c r="D870" s="20" t="s">
        <v>715</v>
      </c>
      <c r="E870" s="20" t="s">
        <v>3252</v>
      </c>
      <c r="F870" s="20" t="s">
        <v>3253</v>
      </c>
      <c r="G870" s="21">
        <v>10</v>
      </c>
      <c r="H870" s="16">
        <v>26</v>
      </c>
      <c r="I870" s="16"/>
      <c r="J8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70" s="22"/>
      <c r="L870" s="23"/>
      <c r="M870" s="23">
        <f>SUM(Tabela174681012142230322681619252731333624210121416182426283038402481012141620222628303234362426810121424610122426244262628262681026286236[[#This Row],[Saldo no cartão]:[Recarga Pendente]])</f>
        <v>0</v>
      </c>
      <c r="N870" s="19">
        <f>Tabela174681012142230322681619252731333624210121416182426283038402481012141620222628303234362426810121424610122426244262628262681026286236[[#This Row],[Uso diário]]*2</f>
        <v>20</v>
      </c>
      <c r="O870" s="19">
        <f>Tabela174681012142230322681619252731333624210121416182426283038402481012141620222628303234362426810121424610122426244262628262681026286236[[#This Row],[Total Acumulado]]-P870</f>
        <v>-50</v>
      </c>
      <c r="P870" s="48">
        <f>Tabela174681012142230322681619252731333624210121416182426283038402481012141620222628303234362426810121424610122426244262628262681026286236[[#This Row],[Uso diário]]*5</f>
        <v>50</v>
      </c>
      <c r="Q8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0" s="25">
        <v>21</v>
      </c>
    </row>
    <row r="871" spans="1:20" s="26" customFormat="1" x14ac:dyDescent="0.25">
      <c r="A871" s="16">
        <v>223242</v>
      </c>
      <c r="B871" s="30" t="s">
        <v>412</v>
      </c>
      <c r="C871" s="20" t="s">
        <v>641</v>
      </c>
      <c r="D871" s="20" t="s">
        <v>704</v>
      </c>
      <c r="E871" s="20" t="s">
        <v>3254</v>
      </c>
      <c r="F871" s="20" t="s">
        <v>3255</v>
      </c>
      <c r="G871" s="21">
        <v>10</v>
      </c>
      <c r="H871" s="16">
        <v>26</v>
      </c>
      <c r="I871" s="16"/>
      <c r="J8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871" s="22"/>
      <c r="L871" s="23"/>
      <c r="M871" s="23">
        <f>SUM(Tabela174681012142230322681619252731333624210121416182426283038402481012141620222628303234362426810121424610122426244262628262681026286236[[#This Row],[Saldo no cartão]:[Recarga Pendente]])</f>
        <v>0</v>
      </c>
      <c r="N871" s="19">
        <f>Tabela174681012142230322681619252731333624210121416182426283038402481012141620222628303234362426810121424610122426244262628262681026286236[[#This Row],[Uso diário]]*2</f>
        <v>20</v>
      </c>
      <c r="O871" s="19">
        <f>Tabela174681012142230322681619252731333624210121416182426283038402481012141620222628303234362426810121424610122426244262628262681026286236[[#This Row],[Total Acumulado]]-P871</f>
        <v>-50</v>
      </c>
      <c r="P871" s="48">
        <f>Tabela174681012142230322681619252731333624210121416182426283038402481012141620222628303234362426810121424610122426244262628262681026286236[[#This Row],[Uso diário]]*5</f>
        <v>50</v>
      </c>
      <c r="Q8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8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1" s="25">
        <v>21</v>
      </c>
    </row>
    <row r="872" spans="1:20" s="26" customFormat="1" x14ac:dyDescent="0.25">
      <c r="A872" s="16">
        <v>222087</v>
      </c>
      <c r="B872" s="30" t="s">
        <v>413</v>
      </c>
      <c r="C872" s="20" t="s">
        <v>647</v>
      </c>
      <c r="D872" s="20" t="s">
        <v>722</v>
      </c>
      <c r="E872" s="20" t="s">
        <v>3256</v>
      </c>
      <c r="F872" s="20" t="s">
        <v>3257</v>
      </c>
      <c r="G872" s="21">
        <v>18.8</v>
      </c>
      <c r="H872" s="16">
        <v>26</v>
      </c>
      <c r="I872" s="16">
        <v>1</v>
      </c>
      <c r="J8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72" s="22"/>
      <c r="L872" s="23"/>
      <c r="M872" s="23">
        <f>SUM(Tabela174681012142230322681619252731333624210121416182426283038402481012141620222628303234362426810121424610122426244262628262681026286236[[#This Row],[Saldo no cartão]:[Recarga Pendente]])</f>
        <v>0</v>
      </c>
      <c r="N872" s="19">
        <f>Tabela174681012142230322681619252731333624210121416182426283038402481012141620222628303234362426810121424610122426244262628262681026286236[[#This Row],[Uso diário]]*2</f>
        <v>37.6</v>
      </c>
      <c r="O872" s="19">
        <f>Tabela174681012142230322681619252731333624210121416182426283038402481012141620222628303234362426810121424610122426244262628262681026286236[[#This Row],[Total Acumulado]]-P872</f>
        <v>-94</v>
      </c>
      <c r="P872" s="48">
        <f>Tabela174681012142230322681619252731333624210121416182426283038402481012141620222628303234362426810121424610122426244262628262681026286236[[#This Row],[Uso diário]]*5</f>
        <v>94</v>
      </c>
      <c r="Q8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2" s="25">
        <v>22</v>
      </c>
    </row>
    <row r="873" spans="1:20" s="26" customFormat="1" x14ac:dyDescent="0.25">
      <c r="A873" s="16">
        <v>222663</v>
      </c>
      <c r="B873" s="30" t="s">
        <v>414</v>
      </c>
      <c r="C873" s="20" t="s">
        <v>647</v>
      </c>
      <c r="D873" s="20" t="s">
        <v>720</v>
      </c>
      <c r="E873" s="20" t="s">
        <v>3258</v>
      </c>
      <c r="F873" s="20" t="s">
        <v>3259</v>
      </c>
      <c r="G873" s="21">
        <v>15.4</v>
      </c>
      <c r="H873" s="16">
        <v>26</v>
      </c>
      <c r="I873" s="16"/>
      <c r="J8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873" s="22"/>
      <c r="L873" s="23"/>
      <c r="M873" s="23">
        <f>SUM(Tabela174681012142230322681619252731333624210121416182426283038402481012141620222628303234362426810121424610122426244262628262681026286236[[#This Row],[Saldo no cartão]:[Recarga Pendente]])</f>
        <v>0</v>
      </c>
      <c r="N873" s="19">
        <f>Tabela174681012142230322681619252731333624210121416182426283038402481012141620222628303234362426810121424610122426244262628262681026286236[[#This Row],[Uso diário]]*2</f>
        <v>30.8</v>
      </c>
      <c r="O873" s="19">
        <f>Tabela174681012142230322681619252731333624210121416182426283038402481012141620222628303234362426810121424610122426244262628262681026286236[[#This Row],[Total Acumulado]]-P873</f>
        <v>-77</v>
      </c>
      <c r="P873" s="48">
        <f>Tabela174681012142230322681619252731333624210121416182426283038402481012141620222628303234362426810121424610122426244262628262681026286236[[#This Row],[Uso diário]]*5</f>
        <v>77</v>
      </c>
      <c r="Q8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8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3" s="25">
        <v>22</v>
      </c>
    </row>
    <row r="874" spans="1:20" s="26" customFormat="1" x14ac:dyDescent="0.25">
      <c r="A874" s="16">
        <v>223133</v>
      </c>
      <c r="B874" s="30" t="s">
        <v>415</v>
      </c>
      <c r="C874" s="20" t="s">
        <v>647</v>
      </c>
      <c r="D874" s="20" t="s">
        <v>720</v>
      </c>
      <c r="E874" s="20" t="s">
        <v>3260</v>
      </c>
      <c r="F874" s="20" t="s">
        <v>3261</v>
      </c>
      <c r="G874" s="21">
        <v>13.4</v>
      </c>
      <c r="H874" s="16">
        <v>26</v>
      </c>
      <c r="I874" s="16"/>
      <c r="J8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74" s="22"/>
      <c r="L874" s="23"/>
      <c r="M874" s="23">
        <f>SUM(Tabela174681012142230322681619252731333624210121416182426283038402481012141620222628303234362426810121424610122426244262628262681026286236[[#This Row],[Saldo no cartão]:[Recarga Pendente]])</f>
        <v>0</v>
      </c>
      <c r="N874" s="19">
        <f>Tabela174681012142230322681619252731333624210121416182426283038402481012141620222628303234362426810121424610122426244262628262681026286236[[#This Row],[Uso diário]]*2</f>
        <v>26.8</v>
      </c>
      <c r="O874" s="19">
        <f>Tabela174681012142230322681619252731333624210121416182426283038402481012141620222628303234362426810121424610122426244262628262681026286236[[#This Row],[Total Acumulado]]-P874</f>
        <v>-67</v>
      </c>
      <c r="P874" s="48">
        <f>Tabela174681012142230322681619252731333624210121416182426283038402481012141620222628303234362426810121424610122426244262628262681026286236[[#This Row],[Uso diário]]*5</f>
        <v>67</v>
      </c>
      <c r="Q8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4" s="25">
        <v>22</v>
      </c>
    </row>
    <row r="875" spans="1:20" s="26" customFormat="1" x14ac:dyDescent="0.25">
      <c r="A875" s="16">
        <v>223409</v>
      </c>
      <c r="B875" s="30" t="s">
        <v>416</v>
      </c>
      <c r="C875" s="20" t="s">
        <v>647</v>
      </c>
      <c r="D875" s="20" t="s">
        <v>721</v>
      </c>
      <c r="E875" s="20" t="s">
        <v>3262</v>
      </c>
      <c r="F875" s="20" t="s">
        <v>3263</v>
      </c>
      <c r="G875" s="21">
        <v>18.8</v>
      </c>
      <c r="H875" s="16">
        <v>26</v>
      </c>
      <c r="I875" s="16">
        <v>1</v>
      </c>
      <c r="J8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875" s="22"/>
      <c r="L875" s="23"/>
      <c r="M875" s="23">
        <f>SUM(Tabela174681012142230322681619252731333624210121416182426283038402481012141620222628303234362426810121424610122426244262628262681026286236[[#This Row],[Saldo no cartão]:[Recarga Pendente]])</f>
        <v>0</v>
      </c>
      <c r="N875" s="19">
        <f>Tabela174681012142230322681619252731333624210121416182426283038402481012141620222628303234362426810121424610122426244262628262681026286236[[#This Row],[Uso diário]]*2</f>
        <v>37.6</v>
      </c>
      <c r="O875" s="19">
        <f>Tabela174681012142230322681619252731333624210121416182426283038402481012141620222628303234362426810121424610122426244262628262681026286236[[#This Row],[Total Acumulado]]-P875</f>
        <v>-94</v>
      </c>
      <c r="P875" s="48">
        <f>Tabela174681012142230322681619252731333624210121416182426283038402481012141620222628303234362426810121424610122426244262628262681026286236[[#This Row],[Uso diário]]*5</f>
        <v>94</v>
      </c>
      <c r="Q8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8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5" s="25">
        <v>22</v>
      </c>
    </row>
    <row r="876" spans="1:20" s="26" customFormat="1" x14ac:dyDescent="0.25">
      <c r="A876" s="16">
        <v>223566</v>
      </c>
      <c r="B876" s="30" t="s">
        <v>321</v>
      </c>
      <c r="C876" s="20" t="s">
        <v>647</v>
      </c>
      <c r="D876" s="20" t="s">
        <v>723</v>
      </c>
      <c r="E876" s="20" t="s">
        <v>3264</v>
      </c>
      <c r="F876" s="20" t="s">
        <v>3265</v>
      </c>
      <c r="G876" s="21">
        <v>18.8</v>
      </c>
      <c r="H876" s="16">
        <v>26</v>
      </c>
      <c r="I876" s="16"/>
      <c r="J8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76" s="22"/>
      <c r="L876" s="23"/>
      <c r="M876" s="23">
        <f>SUM(Tabela174681012142230322681619252731333624210121416182426283038402481012141620222628303234362426810121424610122426244262628262681026286236[[#This Row],[Saldo no cartão]:[Recarga Pendente]])</f>
        <v>0</v>
      </c>
      <c r="N876" s="19">
        <f>Tabela174681012142230322681619252731333624210121416182426283038402481012141620222628303234362426810121424610122426244262628262681026286236[[#This Row],[Uso diário]]*2</f>
        <v>37.6</v>
      </c>
      <c r="O876" s="19">
        <f>Tabela174681012142230322681619252731333624210121416182426283038402481012141620222628303234362426810121424610122426244262628262681026286236[[#This Row],[Total Acumulado]]-P876</f>
        <v>-94</v>
      </c>
      <c r="P876" s="48">
        <f>Tabela174681012142230322681619252731333624210121416182426283038402481012141620222628303234362426810121424610122426244262628262681026286236[[#This Row],[Uso diário]]*5</f>
        <v>94</v>
      </c>
      <c r="Q8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6" s="25">
        <v>22</v>
      </c>
    </row>
    <row r="877" spans="1:20" s="26" customFormat="1" x14ac:dyDescent="0.25">
      <c r="A877" s="16">
        <v>224395</v>
      </c>
      <c r="B877" s="30" t="s">
        <v>417</v>
      </c>
      <c r="C877" s="20" t="s">
        <v>647</v>
      </c>
      <c r="D877" s="20" t="s">
        <v>720</v>
      </c>
      <c r="E877" s="20" t="s">
        <v>3266</v>
      </c>
      <c r="F877" s="20" t="s">
        <v>3267</v>
      </c>
      <c r="G877" s="21">
        <v>13.4</v>
      </c>
      <c r="H877" s="16">
        <v>26</v>
      </c>
      <c r="I877" s="16"/>
      <c r="J8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77" s="22"/>
      <c r="L877" s="23"/>
      <c r="M877" s="23">
        <f>SUM(Tabela174681012142230322681619252731333624210121416182426283038402481012141620222628303234362426810121424610122426244262628262681026286236[[#This Row],[Saldo no cartão]:[Recarga Pendente]])</f>
        <v>0</v>
      </c>
      <c r="N877" s="19">
        <f>Tabela174681012142230322681619252731333624210121416182426283038402481012141620222628303234362426810121424610122426244262628262681026286236[[#This Row],[Uso diário]]*2</f>
        <v>26.8</v>
      </c>
      <c r="O877" s="19">
        <f>Tabela174681012142230322681619252731333624210121416182426283038402481012141620222628303234362426810121424610122426244262628262681026286236[[#This Row],[Total Acumulado]]-P877</f>
        <v>-67</v>
      </c>
      <c r="P877" s="48">
        <f>Tabela174681012142230322681619252731333624210121416182426283038402481012141620222628303234362426810121424610122426244262628262681026286236[[#This Row],[Uso diário]]*5</f>
        <v>67</v>
      </c>
      <c r="Q8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7" s="25">
        <v>22</v>
      </c>
    </row>
    <row r="878" spans="1:20" s="26" customFormat="1" x14ac:dyDescent="0.25">
      <c r="A878" s="16">
        <v>229731</v>
      </c>
      <c r="B878" s="30" t="s">
        <v>1211</v>
      </c>
      <c r="C878" s="20" t="s">
        <v>647</v>
      </c>
      <c r="D878" s="20" t="s">
        <v>724</v>
      </c>
      <c r="E878" s="20" t="s">
        <v>3268</v>
      </c>
      <c r="F878" s="20" t="s">
        <v>3269</v>
      </c>
      <c r="G878" s="21">
        <v>13.4</v>
      </c>
      <c r="H878" s="16">
        <v>26</v>
      </c>
      <c r="I878" s="16"/>
      <c r="J8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78" s="22"/>
      <c r="L878" s="23"/>
      <c r="M878" s="23">
        <f>SUM(Tabela174681012142230322681619252731333624210121416182426283038402481012141620222628303234362426810121424610122426244262628262681026286236[[#This Row],[Saldo no cartão]:[Recarga Pendente]])</f>
        <v>0</v>
      </c>
      <c r="N878" s="19">
        <f>Tabela174681012142230322681619252731333624210121416182426283038402481012141620222628303234362426810121424610122426244262628262681026286236[[#This Row],[Uso diário]]*2</f>
        <v>26.8</v>
      </c>
      <c r="O878" s="19">
        <f>Tabela174681012142230322681619252731333624210121416182426283038402481012141620222628303234362426810121424610122426244262628262681026286236[[#This Row],[Total Acumulado]]-P878</f>
        <v>-67</v>
      </c>
      <c r="P878" s="48">
        <f>Tabela174681012142230322681619252731333624210121416182426283038402481012141620222628303234362426810121424610122426244262628262681026286236[[#This Row],[Uso diário]]*5</f>
        <v>67</v>
      </c>
      <c r="Q8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8" s="25">
        <v>22</v>
      </c>
    </row>
    <row r="879" spans="1:20" s="26" customFormat="1" x14ac:dyDescent="0.25">
      <c r="A879" s="16">
        <v>230091</v>
      </c>
      <c r="B879" s="30" t="s">
        <v>1486</v>
      </c>
      <c r="C879" s="20" t="s">
        <v>647</v>
      </c>
      <c r="D879" s="20" t="s">
        <v>721</v>
      </c>
      <c r="E879" s="20" t="s">
        <v>3270</v>
      </c>
      <c r="F879" s="20" t="s">
        <v>3271</v>
      </c>
      <c r="G879" s="21">
        <v>13.4</v>
      </c>
      <c r="H879" s="16">
        <v>26</v>
      </c>
      <c r="I879" s="16"/>
      <c r="J8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79" s="22"/>
      <c r="L879" s="23"/>
      <c r="M879" s="23">
        <f>SUM(Tabela174681012142230322681619252731333624210121416182426283038402481012141620222628303234362426810121424610122426244262628262681026286236[[#This Row],[Saldo no cartão]:[Recarga Pendente]])</f>
        <v>0</v>
      </c>
      <c r="N879" s="19">
        <f>Tabela174681012142230322681619252731333624210121416182426283038402481012141620222628303234362426810121424610122426244262628262681026286236[[#This Row],[Uso diário]]*2</f>
        <v>26.8</v>
      </c>
      <c r="O879" s="19">
        <f>Tabela174681012142230322681619252731333624210121416182426283038402481012141620222628303234362426810121424610122426244262628262681026286236[[#This Row],[Total Acumulado]]-P879</f>
        <v>-67</v>
      </c>
      <c r="P879" s="48">
        <f>Tabela174681012142230322681619252731333624210121416182426283038402481012141620222628303234362426810121424610122426244262628262681026286236[[#This Row],[Uso diário]]*5</f>
        <v>67</v>
      </c>
      <c r="Q8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79" s="25">
        <v>22</v>
      </c>
    </row>
    <row r="880" spans="1:20" s="26" customFormat="1" x14ac:dyDescent="0.25">
      <c r="A880" s="16">
        <v>230944</v>
      </c>
      <c r="B880" s="30" t="s">
        <v>418</v>
      </c>
      <c r="C880" s="20" t="s">
        <v>647</v>
      </c>
      <c r="D880" s="20" t="s">
        <v>721</v>
      </c>
      <c r="E880" s="20" t="s">
        <v>3272</v>
      </c>
      <c r="F880" s="20" t="s">
        <v>3273</v>
      </c>
      <c r="G880" s="21">
        <v>13.4</v>
      </c>
      <c r="H880" s="16">
        <v>26</v>
      </c>
      <c r="I880" s="16"/>
      <c r="J8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0" s="22"/>
      <c r="L880" s="23"/>
      <c r="M880" s="23">
        <f>SUM(Tabela174681012142230322681619252731333624210121416182426283038402481012141620222628303234362426810121424610122426244262628262681026286236[[#This Row],[Saldo no cartão]:[Recarga Pendente]])</f>
        <v>0</v>
      </c>
      <c r="N880" s="19">
        <f>Tabela174681012142230322681619252731333624210121416182426283038402481012141620222628303234362426810121424610122426244262628262681026286236[[#This Row],[Uso diário]]*2</f>
        <v>26.8</v>
      </c>
      <c r="O880" s="19">
        <f>Tabela174681012142230322681619252731333624210121416182426283038402481012141620222628303234362426810121424610122426244262628262681026286236[[#This Row],[Total Acumulado]]-P880</f>
        <v>-67</v>
      </c>
      <c r="P880" s="48">
        <f>Tabela174681012142230322681619252731333624210121416182426283038402481012141620222628303234362426810121424610122426244262628262681026286236[[#This Row],[Uso diário]]*5</f>
        <v>67</v>
      </c>
      <c r="Q8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0" s="25">
        <v>22</v>
      </c>
    </row>
    <row r="881" spans="1:20" s="26" customFormat="1" x14ac:dyDescent="0.25">
      <c r="A881" s="16">
        <v>230989</v>
      </c>
      <c r="B881" s="30" t="s">
        <v>1487</v>
      </c>
      <c r="C881" s="20" t="s">
        <v>647</v>
      </c>
      <c r="D881" s="20" t="s">
        <v>724</v>
      </c>
      <c r="E881" s="20" t="s">
        <v>3274</v>
      </c>
      <c r="F881" s="20" t="s">
        <v>3275</v>
      </c>
      <c r="G881" s="21">
        <v>13.4</v>
      </c>
      <c r="H881" s="16">
        <v>26</v>
      </c>
      <c r="I881" s="16"/>
      <c r="J8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1" s="22"/>
      <c r="L881" s="23"/>
      <c r="M881" s="23">
        <f>SUM(Tabela174681012142230322681619252731333624210121416182426283038402481012141620222628303234362426810121424610122426244262628262681026286236[[#This Row],[Saldo no cartão]:[Recarga Pendente]])</f>
        <v>0</v>
      </c>
      <c r="N881" s="19">
        <f>Tabela174681012142230322681619252731333624210121416182426283038402481012141620222628303234362426810121424610122426244262628262681026286236[[#This Row],[Uso diário]]*2</f>
        <v>26.8</v>
      </c>
      <c r="O881" s="19">
        <f>Tabela174681012142230322681619252731333624210121416182426283038402481012141620222628303234362426810121424610122426244262628262681026286236[[#This Row],[Total Acumulado]]-P881</f>
        <v>-67</v>
      </c>
      <c r="P881" s="48">
        <f>Tabela174681012142230322681619252731333624210121416182426283038402481012141620222628303234362426810121424610122426244262628262681026286236[[#This Row],[Uso diário]]*5</f>
        <v>67</v>
      </c>
      <c r="Q8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1" s="25">
        <v>22</v>
      </c>
    </row>
    <row r="882" spans="1:20" s="26" customFormat="1" x14ac:dyDescent="0.25">
      <c r="A882" s="16">
        <v>231198</v>
      </c>
      <c r="B882" s="30" t="s">
        <v>771</v>
      </c>
      <c r="C882" s="20" t="s">
        <v>647</v>
      </c>
      <c r="D882" s="20" t="s">
        <v>720</v>
      </c>
      <c r="E882" s="20" t="s">
        <v>3276</v>
      </c>
      <c r="F882" s="20" t="s">
        <v>3277</v>
      </c>
      <c r="G882" s="21">
        <v>13.4</v>
      </c>
      <c r="H882" s="16">
        <v>26</v>
      </c>
      <c r="I882" s="16"/>
      <c r="J8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2" s="22"/>
      <c r="L882" s="23"/>
      <c r="M882" s="23">
        <f>SUM(Tabela174681012142230322681619252731333624210121416182426283038402481012141620222628303234362426810121424610122426244262628262681026286236[[#This Row],[Saldo no cartão]:[Recarga Pendente]])</f>
        <v>0</v>
      </c>
      <c r="N882" s="19">
        <f>Tabela174681012142230322681619252731333624210121416182426283038402481012141620222628303234362426810121424610122426244262628262681026286236[[#This Row],[Uso diário]]*2</f>
        <v>26.8</v>
      </c>
      <c r="O882" s="19">
        <f>Tabela174681012142230322681619252731333624210121416182426283038402481012141620222628303234362426810121424610122426244262628262681026286236[[#This Row],[Total Acumulado]]-P882</f>
        <v>-67</v>
      </c>
      <c r="P882" s="48">
        <f>Tabela174681012142230322681619252731333624210121416182426283038402481012141620222628303234362426810121424610122426244262628262681026286236[[#This Row],[Uso diário]]*5</f>
        <v>67</v>
      </c>
      <c r="Q8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2" s="25">
        <v>22</v>
      </c>
    </row>
    <row r="883" spans="1:20" s="26" customFormat="1" x14ac:dyDescent="0.25">
      <c r="A883" s="16">
        <v>231614</v>
      </c>
      <c r="B883" s="30" t="s">
        <v>842</v>
      </c>
      <c r="C883" s="20" t="s">
        <v>647</v>
      </c>
      <c r="D883" s="20" t="s">
        <v>721</v>
      </c>
      <c r="E883" s="20" t="s">
        <v>3278</v>
      </c>
      <c r="F883" s="20" t="s">
        <v>3279</v>
      </c>
      <c r="G883" s="21">
        <v>13.4</v>
      </c>
      <c r="H883" s="16">
        <v>26</v>
      </c>
      <c r="I883" s="16"/>
      <c r="J8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3" s="22"/>
      <c r="L883" s="23"/>
      <c r="M883" s="23">
        <f>SUM(Tabela174681012142230322681619252731333624210121416182426283038402481012141620222628303234362426810121424610122426244262628262681026286236[[#This Row],[Saldo no cartão]:[Recarga Pendente]])</f>
        <v>0</v>
      </c>
      <c r="N883" s="19">
        <f>Tabela174681012142230322681619252731333624210121416182426283038402481012141620222628303234362426810121424610122426244262628262681026286236[[#This Row],[Uso diário]]*2</f>
        <v>26.8</v>
      </c>
      <c r="O883" s="19">
        <f>Tabela174681012142230322681619252731333624210121416182426283038402481012141620222628303234362426810121424610122426244262628262681026286236[[#This Row],[Total Acumulado]]-P883</f>
        <v>-67</v>
      </c>
      <c r="P883" s="48">
        <f>Tabela174681012142230322681619252731333624210121416182426283038402481012141620222628303234362426810121424610122426244262628262681026286236[[#This Row],[Uso diário]]*5</f>
        <v>67</v>
      </c>
      <c r="Q8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3" s="25">
        <v>22</v>
      </c>
    </row>
    <row r="884" spans="1:20" s="26" customFormat="1" x14ac:dyDescent="0.25">
      <c r="A884" s="16">
        <v>231775</v>
      </c>
      <c r="B884" s="30" t="s">
        <v>843</v>
      </c>
      <c r="C884" s="20" t="s">
        <v>647</v>
      </c>
      <c r="D884" s="20" t="s">
        <v>721</v>
      </c>
      <c r="E884" s="20" t="s">
        <v>3280</v>
      </c>
      <c r="F884" s="20" t="s">
        <v>3281</v>
      </c>
      <c r="G884" s="21">
        <v>13.4</v>
      </c>
      <c r="H884" s="16">
        <v>26</v>
      </c>
      <c r="I884" s="16"/>
      <c r="J8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4" s="22"/>
      <c r="L884" s="23"/>
      <c r="M884" s="23">
        <f>SUM(Tabela174681012142230322681619252731333624210121416182426283038402481012141620222628303234362426810121424610122426244262628262681026286236[[#This Row],[Saldo no cartão]:[Recarga Pendente]])</f>
        <v>0</v>
      </c>
      <c r="N884" s="19">
        <f>Tabela174681012142230322681619252731333624210121416182426283038402481012141620222628303234362426810121424610122426244262628262681026286236[[#This Row],[Uso diário]]*2</f>
        <v>26.8</v>
      </c>
      <c r="O884" s="19">
        <f>Tabela174681012142230322681619252731333624210121416182426283038402481012141620222628303234362426810121424610122426244262628262681026286236[[#This Row],[Total Acumulado]]-P884</f>
        <v>-67</v>
      </c>
      <c r="P884" s="48">
        <f>Tabela174681012142230322681619252731333624210121416182426283038402481012141620222628303234362426810121424610122426244262628262681026286236[[#This Row],[Uso diário]]*5</f>
        <v>67</v>
      </c>
      <c r="Q8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4" s="25">
        <v>22</v>
      </c>
    </row>
    <row r="885" spans="1:20" s="26" customFormat="1" x14ac:dyDescent="0.25">
      <c r="A885" s="16">
        <v>234152</v>
      </c>
      <c r="B885" s="30" t="s">
        <v>1212</v>
      </c>
      <c r="C885" s="20" t="s">
        <v>647</v>
      </c>
      <c r="D885" s="20" t="s">
        <v>721</v>
      </c>
      <c r="E885" s="20" t="s">
        <v>3282</v>
      </c>
      <c r="F885" s="20" t="s">
        <v>3283</v>
      </c>
      <c r="G885" s="21">
        <v>13.4</v>
      </c>
      <c r="H885" s="16">
        <v>26</v>
      </c>
      <c r="I885" s="16"/>
      <c r="J8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5" s="22"/>
      <c r="L885" s="23"/>
      <c r="M885" s="23">
        <f>SUM(Tabela174681012142230322681619252731333624210121416182426283038402481012141620222628303234362426810121424610122426244262628262681026286236[[#This Row],[Saldo no cartão]:[Recarga Pendente]])</f>
        <v>0</v>
      </c>
      <c r="N885" s="19">
        <f>Tabela174681012142230322681619252731333624210121416182426283038402481012141620222628303234362426810121424610122426244262628262681026286236[[#This Row],[Uso diário]]*2</f>
        <v>26.8</v>
      </c>
      <c r="O885" s="19">
        <f>Tabela174681012142230322681619252731333624210121416182426283038402481012141620222628303234362426810121424610122426244262628262681026286236[[#This Row],[Total Acumulado]]-P885</f>
        <v>-67</v>
      </c>
      <c r="P885" s="48">
        <f>Tabela174681012142230322681619252731333624210121416182426283038402481012141620222628303234362426810121424610122426244262628262681026286236[[#This Row],[Uso diário]]*5</f>
        <v>67</v>
      </c>
      <c r="Q8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5" s="25">
        <v>22</v>
      </c>
    </row>
    <row r="886" spans="1:20" s="26" customFormat="1" x14ac:dyDescent="0.25">
      <c r="A886" s="16">
        <v>234587</v>
      </c>
      <c r="B886" s="30" t="s">
        <v>1325</v>
      </c>
      <c r="C886" s="20" t="s">
        <v>647</v>
      </c>
      <c r="D886" s="20" t="s">
        <v>721</v>
      </c>
      <c r="E886" s="20" t="s">
        <v>3284</v>
      </c>
      <c r="F886" s="20" t="s">
        <v>3285</v>
      </c>
      <c r="G886" s="21">
        <v>13.4</v>
      </c>
      <c r="H886" s="16">
        <v>26</v>
      </c>
      <c r="I886" s="16"/>
      <c r="J8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86" s="22"/>
      <c r="L886" s="23"/>
      <c r="M886" s="23">
        <f>SUM(Tabela174681012142230322681619252731333624210121416182426283038402481012141620222628303234362426810121424610122426244262628262681026286236[[#This Row],[Saldo no cartão]:[Recarga Pendente]])</f>
        <v>0</v>
      </c>
      <c r="N886" s="19">
        <f>Tabela174681012142230322681619252731333624210121416182426283038402481012141620222628303234362426810121424610122426244262628262681026286236[[#This Row],[Uso diário]]*2</f>
        <v>26.8</v>
      </c>
      <c r="O886" s="19">
        <f>Tabela174681012142230322681619252731333624210121416182426283038402481012141620222628303234362426810121424610122426244262628262681026286236[[#This Row],[Total Acumulado]]-P886</f>
        <v>-67</v>
      </c>
      <c r="P886" s="48">
        <f>Tabela174681012142230322681619252731333624210121416182426283038402481012141620222628303234362426810121424610122426244262628262681026286236[[#This Row],[Uso diário]]*5</f>
        <v>67</v>
      </c>
      <c r="Q8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6" s="25">
        <v>22</v>
      </c>
    </row>
    <row r="887" spans="1:20" s="26" customFormat="1" x14ac:dyDescent="0.25">
      <c r="A887" s="16">
        <v>222311</v>
      </c>
      <c r="B887" s="30" t="s">
        <v>419</v>
      </c>
      <c r="C887" s="20" t="s">
        <v>658</v>
      </c>
      <c r="D887" s="20" t="s">
        <v>752</v>
      </c>
      <c r="E887" s="20" t="s">
        <v>3286</v>
      </c>
      <c r="F887" s="20" t="s">
        <v>3287</v>
      </c>
      <c r="G887" s="21">
        <v>13.7</v>
      </c>
      <c r="H887" s="16">
        <v>26</v>
      </c>
      <c r="I887" s="16"/>
      <c r="J8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356.2</v>
      </c>
      <c r="K887" s="22"/>
      <c r="L887" s="23"/>
      <c r="M887" s="23">
        <f>SUM(Tabela174681012142230322681619252731333624210121416182426283038402481012141620222628303234362426810121424610122426244262628262681026286236[[#This Row],[Saldo no cartão]:[Recarga Pendente]])</f>
        <v>0</v>
      </c>
      <c r="N887" s="19">
        <f>Tabela174681012142230322681619252731333624210121416182426283038402481012141620222628303234362426810121424610122426244262628262681026286236[[#This Row],[Uso diário]]*2</f>
        <v>27.4</v>
      </c>
      <c r="O887" s="19">
        <f>Tabela174681012142230322681619252731333624210121416182426283038402481012141620222628303234362426810121424610122426244262628262681026286236[[#This Row],[Total Acumulado]]-P887</f>
        <v>-68.5</v>
      </c>
      <c r="P887" s="48">
        <f>Tabela174681012142230322681619252731333624210121416182426283038402481012141620222628303234362426810121424610122426244262628262681026286236[[#This Row],[Uso diário]]*5</f>
        <v>68.5</v>
      </c>
      <c r="Q8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356.2</v>
      </c>
      <c r="S8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7" s="25">
        <v>22</v>
      </c>
    </row>
    <row r="888" spans="1:20" s="26" customFormat="1" x14ac:dyDescent="0.25">
      <c r="A888" s="16">
        <v>220673</v>
      </c>
      <c r="B888" s="30" t="s">
        <v>420</v>
      </c>
      <c r="C888" s="20" t="s">
        <v>630</v>
      </c>
      <c r="D888" s="20" t="s">
        <v>736</v>
      </c>
      <c r="E888" s="20" t="s">
        <v>3288</v>
      </c>
      <c r="F888" s="20" t="s">
        <v>3289</v>
      </c>
      <c r="G888" s="21">
        <v>18.8</v>
      </c>
      <c r="H888" s="16">
        <v>22</v>
      </c>
      <c r="I888" s="16">
        <v>1</v>
      </c>
      <c r="J8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888" s="22"/>
      <c r="L888" s="23">
        <v>219.45</v>
      </c>
      <c r="M888" s="23">
        <f>SUM(Tabela174681012142230322681619252731333624210121416182426283038402481012141620222628303234362426810121424610122426244262628262681026286236[[#This Row],[Saldo no cartão]:[Recarga Pendente]])</f>
        <v>219.45</v>
      </c>
      <c r="N888" s="19">
        <f>Tabela174681012142230322681619252731333624210121416182426283038402481012141620222628303234362426810121424610122426244262628262681026286236[[#This Row],[Uso diário]]*2</f>
        <v>37.6</v>
      </c>
      <c r="O888" s="19">
        <f>Tabela174681012142230322681619252731333624210121416182426283038402481012141620222628303234362426810121424610122426244262628262681026286236[[#This Row],[Total Acumulado]]-P888</f>
        <v>125.44999999999999</v>
      </c>
      <c r="P888" s="48">
        <f>Tabela174681012142230322681619252731333624210121416182426283038402481012141620222628303234362426810121424610122426244262628262681026286236[[#This Row],[Uso diário]]*5</f>
        <v>94</v>
      </c>
      <c r="Q8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125.44999999999999</v>
      </c>
      <c r="R8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269.35000000000002</v>
      </c>
      <c r="S888" s="18" t="s">
        <v>11</v>
      </c>
      <c r="T888" s="25">
        <v>22</v>
      </c>
    </row>
    <row r="889" spans="1:20" s="26" customFormat="1" x14ac:dyDescent="0.25">
      <c r="A889" s="16">
        <v>213598</v>
      </c>
      <c r="B889" s="30" t="s">
        <v>421</v>
      </c>
      <c r="C889" s="20" t="s">
        <v>648</v>
      </c>
      <c r="D889" s="20" t="s">
        <v>737</v>
      </c>
      <c r="E889" s="20" t="s">
        <v>3290</v>
      </c>
      <c r="F889" s="20" t="s">
        <v>3291</v>
      </c>
      <c r="G889" s="21">
        <v>14.2</v>
      </c>
      <c r="H889" s="16">
        <v>26</v>
      </c>
      <c r="I889" s="16"/>
      <c r="J8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889" s="22"/>
      <c r="L889" s="23"/>
      <c r="M889" s="23">
        <f>SUM(Tabela174681012142230322681619252731333624210121416182426283038402481012141620222628303234362426810121424610122426244262628262681026286236[[#This Row],[Saldo no cartão]:[Recarga Pendente]])</f>
        <v>0</v>
      </c>
      <c r="N889" s="19">
        <f>Tabela174681012142230322681619252731333624210121416182426283038402481012141620222628303234362426810121424610122426244262628262681026286236[[#This Row],[Uso diário]]*2</f>
        <v>28.4</v>
      </c>
      <c r="O889" s="19">
        <f>Tabela174681012142230322681619252731333624210121416182426283038402481012141620222628303234362426810121424610122426244262628262681026286236[[#This Row],[Total Acumulado]]-P889</f>
        <v>-71</v>
      </c>
      <c r="P889" s="48">
        <f>Tabela174681012142230322681619252731333624210121416182426283038402481012141620222628303234362426810121424610122426244262628262681026286236[[#This Row],[Uso diário]]*5</f>
        <v>71</v>
      </c>
      <c r="Q8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8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89" s="25">
        <v>22</v>
      </c>
    </row>
    <row r="890" spans="1:20" s="26" customFormat="1" x14ac:dyDescent="0.25">
      <c r="A890" s="16">
        <v>222511</v>
      </c>
      <c r="B890" s="30" t="s">
        <v>440</v>
      </c>
      <c r="C890" s="20" t="s">
        <v>648</v>
      </c>
      <c r="D890" s="20" t="s">
        <v>718</v>
      </c>
      <c r="E890" s="20" t="s">
        <v>3292</v>
      </c>
      <c r="F890" s="20" t="s">
        <v>3293</v>
      </c>
      <c r="G890" s="21">
        <v>13.4</v>
      </c>
      <c r="H890" s="16">
        <v>26</v>
      </c>
      <c r="I890" s="16">
        <v>1</v>
      </c>
      <c r="J8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890" s="22"/>
      <c r="L890" s="23"/>
      <c r="M890" s="23">
        <f>SUM(Tabela174681012142230322681619252731333624210121416182426283038402481012141620222628303234362426810121424610122426244262628262681026286236[[#This Row],[Saldo no cartão]:[Recarga Pendente]])</f>
        <v>0</v>
      </c>
      <c r="N890" s="19">
        <f>Tabela174681012142230322681619252731333624210121416182426283038402481012141620222628303234362426810121424610122426244262628262681026286236[[#This Row],[Uso diário]]*2</f>
        <v>26.8</v>
      </c>
      <c r="O890" s="19">
        <f>Tabela174681012142230322681619252731333624210121416182426283038402481012141620222628303234362426810121424610122426244262628262681026286236[[#This Row],[Total Acumulado]]-P890</f>
        <v>-67</v>
      </c>
      <c r="P890" s="48">
        <f>Tabela174681012142230322681619252731333624210121416182426283038402481012141620222628303234362426810121424610122426244262628262681026286236[[#This Row],[Uso diário]]*5</f>
        <v>67</v>
      </c>
      <c r="Q8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8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0" s="25">
        <v>22</v>
      </c>
    </row>
    <row r="891" spans="1:20" s="26" customFormat="1" x14ac:dyDescent="0.25">
      <c r="A891" s="16">
        <v>225664</v>
      </c>
      <c r="B891" s="30" t="s">
        <v>1488</v>
      </c>
      <c r="C891" s="20" t="s">
        <v>648</v>
      </c>
      <c r="D891" s="20" t="s">
        <v>718</v>
      </c>
      <c r="E891" s="20" t="s">
        <v>3294</v>
      </c>
      <c r="F891" s="20" t="s">
        <v>3295</v>
      </c>
      <c r="G891" s="21">
        <v>13.4</v>
      </c>
      <c r="H891" s="16">
        <v>26</v>
      </c>
      <c r="I891" s="16"/>
      <c r="J8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91" s="22"/>
      <c r="L891" s="23"/>
      <c r="M891" s="23">
        <f>SUM(Tabela174681012142230322681619252731333624210121416182426283038402481012141620222628303234362426810121424610122426244262628262681026286236[[#This Row],[Saldo no cartão]:[Recarga Pendente]])</f>
        <v>0</v>
      </c>
      <c r="N891" s="19">
        <f>Tabela174681012142230322681619252731333624210121416182426283038402481012141620222628303234362426810121424610122426244262628262681026286236[[#This Row],[Uso diário]]*2</f>
        <v>26.8</v>
      </c>
      <c r="O891" s="19">
        <f>Tabela174681012142230322681619252731333624210121416182426283038402481012141620222628303234362426810121424610122426244262628262681026286236[[#This Row],[Total Acumulado]]-P891</f>
        <v>-67</v>
      </c>
      <c r="P891" s="48">
        <f>Tabela174681012142230322681619252731333624210121416182426283038402481012141620222628303234362426810121424610122426244262628262681026286236[[#This Row],[Uso diário]]*5</f>
        <v>67</v>
      </c>
      <c r="Q8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1" s="25">
        <v>22</v>
      </c>
    </row>
    <row r="892" spans="1:20" s="26" customFormat="1" x14ac:dyDescent="0.25">
      <c r="A892" s="16">
        <v>229502</v>
      </c>
      <c r="B892" s="30" t="s">
        <v>422</v>
      </c>
      <c r="C892" s="20" t="s">
        <v>648</v>
      </c>
      <c r="D892" s="20" t="s">
        <v>718</v>
      </c>
      <c r="E892" s="20" t="s">
        <v>3296</v>
      </c>
      <c r="F892" s="20" t="s">
        <v>3297</v>
      </c>
      <c r="G892" s="21">
        <v>13.4</v>
      </c>
      <c r="H892" s="16">
        <v>26</v>
      </c>
      <c r="I892" s="16"/>
      <c r="J8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92" s="22"/>
      <c r="L892" s="23"/>
      <c r="M892" s="23">
        <f>SUM(Tabela174681012142230322681619252731333624210121416182426283038402481012141620222628303234362426810121424610122426244262628262681026286236[[#This Row],[Saldo no cartão]:[Recarga Pendente]])</f>
        <v>0</v>
      </c>
      <c r="N892" s="19">
        <f>Tabela174681012142230322681619252731333624210121416182426283038402481012141620222628303234362426810121424610122426244262628262681026286236[[#This Row],[Uso diário]]*2</f>
        <v>26.8</v>
      </c>
      <c r="O892" s="19">
        <f>Tabela174681012142230322681619252731333624210121416182426283038402481012141620222628303234362426810121424610122426244262628262681026286236[[#This Row],[Total Acumulado]]-P892</f>
        <v>-67</v>
      </c>
      <c r="P892" s="48">
        <f>Tabela174681012142230322681619252731333624210121416182426283038402481012141620222628303234362426810121424610122426244262628262681026286236[[#This Row],[Uso diário]]*5</f>
        <v>67</v>
      </c>
      <c r="Q8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2" s="25">
        <v>22</v>
      </c>
    </row>
    <row r="893" spans="1:20" s="26" customFormat="1" x14ac:dyDescent="0.25">
      <c r="A893" s="16">
        <v>231826</v>
      </c>
      <c r="B893" s="30" t="s">
        <v>844</v>
      </c>
      <c r="C893" s="20" t="s">
        <v>648</v>
      </c>
      <c r="D893" s="20" t="s">
        <v>718</v>
      </c>
      <c r="E893" s="20" t="s">
        <v>3298</v>
      </c>
      <c r="F893" s="20" t="s">
        <v>3299</v>
      </c>
      <c r="G893" s="21">
        <v>13.4</v>
      </c>
      <c r="H893" s="16">
        <v>26</v>
      </c>
      <c r="I893" s="16">
        <v>1</v>
      </c>
      <c r="J8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893" s="22"/>
      <c r="L893" s="23"/>
      <c r="M893" s="23">
        <f>SUM(Tabela174681012142230322681619252731333624210121416182426283038402481012141620222628303234362426810121424610122426244262628262681026286236[[#This Row],[Saldo no cartão]:[Recarga Pendente]])</f>
        <v>0</v>
      </c>
      <c r="N893" s="19">
        <f>Tabela174681012142230322681619252731333624210121416182426283038402481012141620222628303234362426810121424610122426244262628262681026286236[[#This Row],[Uso diário]]*2</f>
        <v>26.8</v>
      </c>
      <c r="O893" s="19">
        <f>Tabela174681012142230322681619252731333624210121416182426283038402481012141620222628303234362426810121424610122426244262628262681026286236[[#This Row],[Total Acumulado]]-P893</f>
        <v>-67</v>
      </c>
      <c r="P893" s="48">
        <f>Tabela174681012142230322681619252731333624210121416182426283038402481012141620222628303234362426810121424610122426244262628262681026286236[[#This Row],[Uso diário]]*5</f>
        <v>67</v>
      </c>
      <c r="Q8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8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3" s="25">
        <v>22</v>
      </c>
    </row>
    <row r="894" spans="1:20" s="26" customFormat="1" x14ac:dyDescent="0.25">
      <c r="A894" s="16">
        <v>234119</v>
      </c>
      <c r="B894" s="30" t="s">
        <v>1213</v>
      </c>
      <c r="C894" s="20" t="s">
        <v>648</v>
      </c>
      <c r="D894" s="20" t="s">
        <v>718</v>
      </c>
      <c r="E894" s="20" t="s">
        <v>3300</v>
      </c>
      <c r="F894" s="20" t="s">
        <v>3301</v>
      </c>
      <c r="G894" s="21">
        <v>13.4</v>
      </c>
      <c r="H894" s="16">
        <v>26</v>
      </c>
      <c r="I894" s="16"/>
      <c r="J8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94" s="22"/>
      <c r="L894" s="23"/>
      <c r="M894" s="23">
        <f>SUM(Tabela174681012142230322681619252731333624210121416182426283038402481012141620222628303234362426810121424610122426244262628262681026286236[[#This Row],[Saldo no cartão]:[Recarga Pendente]])</f>
        <v>0</v>
      </c>
      <c r="N894" s="19">
        <f>Tabela174681012142230322681619252731333624210121416182426283038402481012141620222628303234362426810121424610122426244262628262681026286236[[#This Row],[Uso diário]]*2</f>
        <v>26.8</v>
      </c>
      <c r="O894" s="19">
        <f>Tabela174681012142230322681619252731333624210121416182426283038402481012141620222628303234362426810121424610122426244262628262681026286236[[#This Row],[Total Acumulado]]-P894</f>
        <v>-67</v>
      </c>
      <c r="P894" s="48">
        <f>Tabela174681012142230322681619252731333624210121416182426283038402481012141620222628303234362426810121424610122426244262628262681026286236[[#This Row],[Uso diário]]*5</f>
        <v>67</v>
      </c>
      <c r="Q8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4" s="25">
        <v>22</v>
      </c>
    </row>
    <row r="895" spans="1:20" s="26" customFormat="1" x14ac:dyDescent="0.25">
      <c r="A895" s="16">
        <v>234996</v>
      </c>
      <c r="B895" s="30" t="s">
        <v>1489</v>
      </c>
      <c r="C895" s="20" t="s">
        <v>648</v>
      </c>
      <c r="D895" s="20" t="s">
        <v>718</v>
      </c>
      <c r="E895" s="20" t="s">
        <v>3302</v>
      </c>
      <c r="F895" s="20" t="s">
        <v>3303</v>
      </c>
      <c r="G895" s="21">
        <v>13.4</v>
      </c>
      <c r="H895" s="16">
        <v>26</v>
      </c>
      <c r="I895" s="16"/>
      <c r="J8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95" s="22"/>
      <c r="L895" s="23">
        <v>11.9</v>
      </c>
      <c r="M895" s="23">
        <f>SUM(Tabela174681012142230322681619252731333624210121416182426283038402481012141620222628303234362426810121424610122426244262628262681026286236[[#This Row],[Saldo no cartão]:[Recarga Pendente]])</f>
        <v>11.9</v>
      </c>
      <c r="N895" s="19">
        <f>Tabela174681012142230322681619252731333624210121416182426283038402481012141620222628303234362426810121424610122426244262628262681026286236[[#This Row],[Uso diário]]*2</f>
        <v>26.8</v>
      </c>
      <c r="O895" s="19">
        <f>Tabela174681012142230322681619252731333624210121416182426283038402481012141620222628303234362426810121424610122426244262628262681026286236[[#This Row],[Total Acumulado]]-P895</f>
        <v>-55.1</v>
      </c>
      <c r="P895" s="48">
        <f>Tabela174681012142230322681619252731333624210121416182426283038402481012141620222628303234362426810121424610122426244262628262681026286236[[#This Row],[Uso diário]]*5</f>
        <v>67</v>
      </c>
      <c r="Q8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8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5" s="25">
        <v>22</v>
      </c>
    </row>
    <row r="896" spans="1:20" s="26" customFormat="1" x14ac:dyDescent="0.25">
      <c r="A896" s="16">
        <v>221013</v>
      </c>
      <c r="B896" s="30" t="s">
        <v>434</v>
      </c>
      <c r="C896" s="20" t="s">
        <v>649</v>
      </c>
      <c r="D896" s="20" t="s">
        <v>725</v>
      </c>
      <c r="E896" s="20" t="s">
        <v>3304</v>
      </c>
      <c r="F896" s="20" t="s">
        <v>3305</v>
      </c>
      <c r="G896" s="21">
        <v>14.2</v>
      </c>
      <c r="H896" s="16">
        <v>26</v>
      </c>
      <c r="I896" s="16"/>
      <c r="J8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896" s="22"/>
      <c r="L896" s="23"/>
      <c r="M896" s="23">
        <f>SUM(Tabela174681012142230322681619252731333624210121416182426283038402481012141620222628303234362426810121424610122426244262628262681026286236[[#This Row],[Saldo no cartão]:[Recarga Pendente]])</f>
        <v>0</v>
      </c>
      <c r="N896" s="19">
        <f>Tabela174681012142230322681619252731333624210121416182426283038402481012141620222628303234362426810121424610122426244262628262681026286236[[#This Row],[Uso diário]]*2</f>
        <v>28.4</v>
      </c>
      <c r="O896" s="19">
        <f>Tabela174681012142230322681619252731333624210121416182426283038402481012141620222628303234362426810121424610122426244262628262681026286236[[#This Row],[Total Acumulado]]-P896</f>
        <v>-71</v>
      </c>
      <c r="P896" s="48">
        <f>Tabela174681012142230322681619252731333624210121416182426283038402481012141620222628303234362426810121424610122426244262628262681026286236[[#This Row],[Uso diário]]*5</f>
        <v>71</v>
      </c>
      <c r="Q8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8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6" s="25">
        <v>22</v>
      </c>
    </row>
    <row r="897" spans="1:20" s="26" customFormat="1" x14ac:dyDescent="0.25">
      <c r="A897" s="16">
        <v>226325</v>
      </c>
      <c r="B897" s="30" t="s">
        <v>423</v>
      </c>
      <c r="C897" s="20" t="s">
        <v>649</v>
      </c>
      <c r="D897" s="20" t="s">
        <v>725</v>
      </c>
      <c r="E897" s="20" t="s">
        <v>3306</v>
      </c>
      <c r="F897" s="20" t="s">
        <v>3307</v>
      </c>
      <c r="G897" s="21">
        <v>18.8</v>
      </c>
      <c r="H897" s="16">
        <v>26</v>
      </c>
      <c r="I897" s="16"/>
      <c r="J8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97" s="22"/>
      <c r="L897" s="23"/>
      <c r="M897" s="23">
        <f>SUM(Tabela174681012142230322681619252731333624210121416182426283038402481012141620222628303234362426810121424610122426244262628262681026286236[[#This Row],[Saldo no cartão]:[Recarga Pendente]])</f>
        <v>0</v>
      </c>
      <c r="N897" s="19">
        <f>Tabela174681012142230322681619252731333624210121416182426283038402481012141620222628303234362426810121424610122426244262628262681026286236[[#This Row],[Uso diário]]*2</f>
        <v>37.6</v>
      </c>
      <c r="O897" s="19">
        <f>Tabela174681012142230322681619252731333624210121416182426283038402481012141620222628303234362426810121424610122426244262628262681026286236[[#This Row],[Total Acumulado]]-P897</f>
        <v>-94</v>
      </c>
      <c r="P897" s="48">
        <f>Tabela174681012142230322681619252731333624210121416182426283038402481012141620222628303234362426810121424610122426244262628262681026286236[[#This Row],[Uso diário]]*5</f>
        <v>94</v>
      </c>
      <c r="Q8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7" s="25">
        <v>22</v>
      </c>
    </row>
    <row r="898" spans="1:20" s="26" customFormat="1" x14ac:dyDescent="0.25">
      <c r="A898" s="16">
        <v>226336</v>
      </c>
      <c r="B898" s="30" t="s">
        <v>424</v>
      </c>
      <c r="C898" s="20" t="s">
        <v>649</v>
      </c>
      <c r="D898" s="20" t="s">
        <v>725</v>
      </c>
      <c r="E898" s="20" t="s">
        <v>3308</v>
      </c>
      <c r="F898" s="20" t="s">
        <v>3309</v>
      </c>
      <c r="G898" s="21">
        <v>18.8</v>
      </c>
      <c r="H898" s="16">
        <v>26</v>
      </c>
      <c r="I898" s="16"/>
      <c r="J8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898" s="22"/>
      <c r="L898" s="23"/>
      <c r="M898" s="23">
        <f>SUM(Tabela174681012142230322681619252731333624210121416182426283038402481012141620222628303234362426810121424610122426244262628262681026286236[[#This Row],[Saldo no cartão]:[Recarga Pendente]])</f>
        <v>0</v>
      </c>
      <c r="N898" s="19">
        <f>Tabela174681012142230322681619252731333624210121416182426283038402481012141620222628303234362426810121424610122426244262628262681026286236[[#This Row],[Uso diário]]*2</f>
        <v>37.6</v>
      </c>
      <c r="O898" s="19">
        <f>Tabela174681012142230322681619252731333624210121416182426283038402481012141620222628303234362426810121424610122426244262628262681026286236[[#This Row],[Total Acumulado]]-P898</f>
        <v>-94</v>
      </c>
      <c r="P898" s="48">
        <f>Tabela174681012142230322681619252731333624210121416182426283038402481012141620222628303234362426810121424610122426244262628262681026286236[[#This Row],[Uso diário]]*5</f>
        <v>94</v>
      </c>
      <c r="Q8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8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8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898" s="25">
        <v>22</v>
      </c>
    </row>
    <row r="899" spans="1:20" s="26" customFormat="1" x14ac:dyDescent="0.25">
      <c r="A899" s="16">
        <v>226370</v>
      </c>
      <c r="B899" s="30" t="s">
        <v>426</v>
      </c>
      <c r="C899" s="20" t="s">
        <v>649</v>
      </c>
      <c r="D899" s="20" t="s">
        <v>725</v>
      </c>
      <c r="E899" s="20" t="s">
        <v>3310</v>
      </c>
      <c r="F899" s="20" t="s">
        <v>3311</v>
      </c>
      <c r="G899" s="21">
        <v>13.4</v>
      </c>
      <c r="H899" s="16">
        <v>26</v>
      </c>
      <c r="I899" s="16"/>
      <c r="J8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899" s="22"/>
      <c r="L899" s="23">
        <v>164.5</v>
      </c>
      <c r="M899" s="23">
        <f>SUM(Tabela174681012142230322681619252731333624210121416182426283038402481012141620222628303234362426810121424610122426244262628262681026286236[[#This Row],[Saldo no cartão]:[Recarga Pendente]])</f>
        <v>164.5</v>
      </c>
      <c r="N899" s="19">
        <f>Tabela174681012142230322681619252731333624210121416182426283038402481012141620222628303234362426810121424610122426244262628262681026286236[[#This Row],[Uso diário]]*2</f>
        <v>26.8</v>
      </c>
      <c r="O899" s="19">
        <f>Tabela174681012142230322681619252731333624210121416182426283038402481012141620222628303234362426810121424610122426244262628262681026286236[[#This Row],[Total Acumulado]]-P899</f>
        <v>97.5</v>
      </c>
      <c r="P899" s="48">
        <f>Tabela174681012142230322681619252731333624210121416182426283038402481012141620222628303234362426810121424610122426244262628262681026286236[[#This Row],[Uso diário]]*5</f>
        <v>67</v>
      </c>
      <c r="Q8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97.5</v>
      </c>
      <c r="R8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250.90000000000003</v>
      </c>
      <c r="S899" s="18" t="s">
        <v>11</v>
      </c>
      <c r="T899" s="25">
        <v>22</v>
      </c>
    </row>
    <row r="900" spans="1:20" s="26" customFormat="1" x14ac:dyDescent="0.25">
      <c r="A900" s="16">
        <v>226420</v>
      </c>
      <c r="B900" s="30" t="s">
        <v>427</v>
      </c>
      <c r="C900" s="20" t="s">
        <v>649</v>
      </c>
      <c r="D900" s="20" t="s">
        <v>750</v>
      </c>
      <c r="E900" s="20" t="s">
        <v>3312</v>
      </c>
      <c r="F900" s="20" t="s">
        <v>3313</v>
      </c>
      <c r="G900" s="21">
        <v>13.4</v>
      </c>
      <c r="H900" s="16">
        <v>26</v>
      </c>
      <c r="I900" s="16"/>
      <c r="J9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00" s="22"/>
      <c r="L900" s="23"/>
      <c r="M900" s="23">
        <f>SUM(Tabela174681012142230322681619252731333624210121416182426283038402481012141620222628303234362426810121424610122426244262628262681026286236[[#This Row],[Saldo no cartão]:[Recarga Pendente]])</f>
        <v>0</v>
      </c>
      <c r="N900" s="19">
        <f>Tabela174681012142230322681619252731333624210121416182426283038402481012141620222628303234362426810121424610122426244262628262681026286236[[#This Row],[Uso diário]]*2</f>
        <v>26.8</v>
      </c>
      <c r="O900" s="19">
        <f>Tabela174681012142230322681619252731333624210121416182426283038402481012141620222628303234362426810121424610122426244262628262681026286236[[#This Row],[Total Acumulado]]-P900</f>
        <v>-67</v>
      </c>
      <c r="P900" s="48">
        <f>Tabela174681012142230322681619252731333624210121416182426283038402481012141620222628303234362426810121424610122426244262628262681026286236[[#This Row],[Uso diário]]*5</f>
        <v>67</v>
      </c>
      <c r="Q9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0" s="25">
        <v>22</v>
      </c>
    </row>
    <row r="901" spans="1:20" s="26" customFormat="1" x14ac:dyDescent="0.25">
      <c r="A901" s="16">
        <v>227015</v>
      </c>
      <c r="B901" s="30" t="s">
        <v>1490</v>
      </c>
      <c r="C901" s="20" t="s">
        <v>649</v>
      </c>
      <c r="D901" s="20" t="s">
        <v>725</v>
      </c>
      <c r="E901" s="20" t="s">
        <v>3314</v>
      </c>
      <c r="F901" s="20" t="s">
        <v>3315</v>
      </c>
      <c r="G901" s="21">
        <v>18.8</v>
      </c>
      <c r="H901" s="16">
        <v>26</v>
      </c>
      <c r="I901" s="16"/>
      <c r="J9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901" s="22"/>
      <c r="L901" s="23"/>
      <c r="M901" s="23">
        <f>SUM(Tabela174681012142230322681619252731333624210121416182426283038402481012141620222628303234362426810121424610122426244262628262681026286236[[#This Row],[Saldo no cartão]:[Recarga Pendente]])</f>
        <v>0</v>
      </c>
      <c r="N901" s="19">
        <f>Tabela174681012142230322681619252731333624210121416182426283038402481012141620222628303234362426810121424610122426244262628262681026286236[[#This Row],[Uso diário]]*2</f>
        <v>37.6</v>
      </c>
      <c r="O901" s="19">
        <f>Tabela174681012142230322681619252731333624210121416182426283038402481012141620222628303234362426810121424610122426244262628262681026286236[[#This Row],[Total Acumulado]]-P901</f>
        <v>-94</v>
      </c>
      <c r="P901" s="48">
        <f>Tabela174681012142230322681619252731333624210121416182426283038402481012141620222628303234362426810121424610122426244262628262681026286236[[#This Row],[Uso diário]]*5</f>
        <v>94</v>
      </c>
      <c r="Q9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9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1" s="25">
        <v>22</v>
      </c>
    </row>
    <row r="902" spans="1:20" s="26" customFormat="1" x14ac:dyDescent="0.25">
      <c r="A902" s="16">
        <v>228782</v>
      </c>
      <c r="B902" s="30" t="s">
        <v>429</v>
      </c>
      <c r="C902" s="20" t="s">
        <v>649</v>
      </c>
      <c r="D902" s="20" t="s">
        <v>725</v>
      </c>
      <c r="E902" s="20" t="s">
        <v>3316</v>
      </c>
      <c r="F902" s="20" t="s">
        <v>3317</v>
      </c>
      <c r="G902" s="21">
        <v>13.4</v>
      </c>
      <c r="H902" s="16">
        <v>26</v>
      </c>
      <c r="I902" s="16"/>
      <c r="J9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02" s="22"/>
      <c r="L902" s="23"/>
      <c r="M902" s="23">
        <f>SUM(Tabela174681012142230322681619252731333624210121416182426283038402481012141620222628303234362426810121424610122426244262628262681026286236[[#This Row],[Saldo no cartão]:[Recarga Pendente]])</f>
        <v>0</v>
      </c>
      <c r="N902" s="19">
        <f>Tabela174681012142230322681619252731333624210121416182426283038402481012141620222628303234362426810121424610122426244262628262681026286236[[#This Row],[Uso diário]]*2</f>
        <v>26.8</v>
      </c>
      <c r="O902" s="19">
        <f>Tabela174681012142230322681619252731333624210121416182426283038402481012141620222628303234362426810121424610122426244262628262681026286236[[#This Row],[Total Acumulado]]-P902</f>
        <v>-67</v>
      </c>
      <c r="P902" s="48">
        <f>Tabela174681012142230322681619252731333624210121416182426283038402481012141620222628303234362426810121424610122426244262628262681026286236[[#This Row],[Uso diário]]*5</f>
        <v>67</v>
      </c>
      <c r="Q9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2" s="25">
        <v>22</v>
      </c>
    </row>
    <row r="903" spans="1:20" s="26" customFormat="1" x14ac:dyDescent="0.25">
      <c r="A903" s="16">
        <v>230873</v>
      </c>
      <c r="B903" s="30" t="s">
        <v>538</v>
      </c>
      <c r="C903" s="20" t="s">
        <v>649</v>
      </c>
      <c r="D903" s="20" t="s">
        <v>725</v>
      </c>
      <c r="E903" s="20" t="s">
        <v>3318</v>
      </c>
      <c r="F903" s="20" t="s">
        <v>3319</v>
      </c>
      <c r="G903" s="21">
        <v>13.4</v>
      </c>
      <c r="H903" s="16">
        <v>26</v>
      </c>
      <c r="I903" s="16">
        <v>1</v>
      </c>
      <c r="J9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903" s="22"/>
      <c r="L903" s="23"/>
      <c r="M903" s="23">
        <f>SUM(Tabela174681012142230322681619252731333624210121416182426283038402481012141620222628303234362426810121424610122426244262628262681026286236[[#This Row],[Saldo no cartão]:[Recarga Pendente]])</f>
        <v>0</v>
      </c>
      <c r="N903" s="19">
        <f>Tabela174681012142230322681619252731333624210121416182426283038402481012141620222628303234362426810121424610122426244262628262681026286236[[#This Row],[Uso diário]]*2</f>
        <v>26.8</v>
      </c>
      <c r="O903" s="19">
        <f>Tabela174681012142230322681619252731333624210121416182426283038402481012141620222628303234362426810121424610122426244262628262681026286236[[#This Row],[Total Acumulado]]-P903</f>
        <v>-67</v>
      </c>
      <c r="P903" s="48">
        <f>Tabela174681012142230322681619252731333624210121416182426283038402481012141620222628303234362426810121424610122426244262628262681026286236[[#This Row],[Uso diário]]*5</f>
        <v>67</v>
      </c>
      <c r="Q9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9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3" s="25">
        <v>22</v>
      </c>
    </row>
    <row r="904" spans="1:20" s="26" customFormat="1" x14ac:dyDescent="0.25">
      <c r="A904" s="16">
        <v>231456</v>
      </c>
      <c r="B904" s="30" t="s">
        <v>794</v>
      </c>
      <c r="C904" s="20" t="s">
        <v>649</v>
      </c>
      <c r="D904" s="20" t="s">
        <v>725</v>
      </c>
      <c r="E904" s="20" t="s">
        <v>3320</v>
      </c>
      <c r="F904" s="20" t="s">
        <v>3321</v>
      </c>
      <c r="G904" s="21">
        <v>13.4</v>
      </c>
      <c r="H904" s="16">
        <v>26</v>
      </c>
      <c r="I904" s="16">
        <v>1</v>
      </c>
      <c r="J9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904" s="22"/>
      <c r="L904" s="23"/>
      <c r="M904" s="23">
        <f>SUM(Tabela174681012142230322681619252731333624210121416182426283038402481012141620222628303234362426810121424610122426244262628262681026286236[[#This Row],[Saldo no cartão]:[Recarga Pendente]])</f>
        <v>0</v>
      </c>
      <c r="N904" s="19">
        <f>Tabela174681012142230322681619252731333624210121416182426283038402481012141620222628303234362426810121424610122426244262628262681026286236[[#This Row],[Uso diário]]*2</f>
        <v>26.8</v>
      </c>
      <c r="O904" s="19">
        <f>Tabela174681012142230322681619252731333624210121416182426283038402481012141620222628303234362426810121424610122426244262628262681026286236[[#This Row],[Total Acumulado]]-P904</f>
        <v>-67</v>
      </c>
      <c r="P904" s="48">
        <f>Tabela174681012142230322681619252731333624210121416182426283038402481012141620222628303234362426810121424610122426244262628262681026286236[[#This Row],[Uso diário]]*5</f>
        <v>67</v>
      </c>
      <c r="Q9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9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4" s="25">
        <v>22</v>
      </c>
    </row>
    <row r="905" spans="1:20" s="26" customFormat="1" x14ac:dyDescent="0.25">
      <c r="A905" s="16">
        <v>231994</v>
      </c>
      <c r="B905" s="30" t="s">
        <v>845</v>
      </c>
      <c r="C905" s="20" t="s">
        <v>649</v>
      </c>
      <c r="D905" s="20" t="s">
        <v>725</v>
      </c>
      <c r="E905" s="20" t="s">
        <v>3322</v>
      </c>
      <c r="F905" s="20" t="s">
        <v>3323</v>
      </c>
      <c r="G905" s="21">
        <v>13.4</v>
      </c>
      <c r="H905" s="16">
        <v>26</v>
      </c>
      <c r="I905" s="16">
        <v>1</v>
      </c>
      <c r="J9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905" s="22"/>
      <c r="L905" s="23"/>
      <c r="M905" s="23">
        <f>SUM(Tabela174681012142230322681619252731333624210121416182426283038402481012141620222628303234362426810121424610122426244262628262681026286236[[#This Row],[Saldo no cartão]:[Recarga Pendente]])</f>
        <v>0</v>
      </c>
      <c r="N905" s="19">
        <f>Tabela174681012142230322681619252731333624210121416182426283038402481012141620222628303234362426810121424610122426244262628262681026286236[[#This Row],[Uso diário]]*2</f>
        <v>26.8</v>
      </c>
      <c r="O905" s="19">
        <f>Tabela174681012142230322681619252731333624210121416182426283038402481012141620222628303234362426810121424610122426244262628262681026286236[[#This Row],[Total Acumulado]]-P905</f>
        <v>-67</v>
      </c>
      <c r="P905" s="48">
        <f>Tabela174681012142230322681619252731333624210121416182426283038402481012141620222628303234362426810121424610122426244262628262681026286236[[#This Row],[Uso diário]]*5</f>
        <v>67</v>
      </c>
      <c r="Q9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9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5" s="25">
        <v>22</v>
      </c>
    </row>
    <row r="906" spans="1:20" s="26" customFormat="1" x14ac:dyDescent="0.25">
      <c r="A906" s="16">
        <v>234228</v>
      </c>
      <c r="B906" s="30" t="s">
        <v>1214</v>
      </c>
      <c r="C906" s="20" t="s">
        <v>649</v>
      </c>
      <c r="D906" s="20" t="s">
        <v>725</v>
      </c>
      <c r="E906" s="20" t="s">
        <v>3324</v>
      </c>
      <c r="F906" s="20" t="s">
        <v>3325</v>
      </c>
      <c r="G906" s="21">
        <v>13.4</v>
      </c>
      <c r="H906" s="16">
        <v>26</v>
      </c>
      <c r="I906" s="16"/>
      <c r="J9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06" s="22"/>
      <c r="L906" s="23"/>
      <c r="M906" s="23">
        <f>SUM(Tabela174681012142230322681619252731333624210121416182426283038402481012141620222628303234362426810121424610122426244262628262681026286236[[#This Row],[Saldo no cartão]:[Recarga Pendente]])</f>
        <v>0</v>
      </c>
      <c r="N906" s="19">
        <f>Tabela174681012142230322681619252731333624210121416182426283038402481012141620222628303234362426810121424610122426244262628262681026286236[[#This Row],[Uso diário]]*2</f>
        <v>26.8</v>
      </c>
      <c r="O906" s="19">
        <f>Tabela174681012142230322681619252731333624210121416182426283038402481012141620222628303234362426810121424610122426244262628262681026286236[[#This Row],[Total Acumulado]]-P906</f>
        <v>-67</v>
      </c>
      <c r="P906" s="48">
        <f>Tabela174681012142230322681619252731333624210121416182426283038402481012141620222628303234362426810121424610122426244262628262681026286236[[#This Row],[Uso diário]]*5</f>
        <v>67</v>
      </c>
      <c r="Q9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6" s="25">
        <v>22</v>
      </c>
    </row>
    <row r="907" spans="1:20" s="26" customFormat="1" x14ac:dyDescent="0.25">
      <c r="A907" s="16">
        <v>229280</v>
      </c>
      <c r="B907" s="30" t="s">
        <v>1215</v>
      </c>
      <c r="C907" s="20" t="s">
        <v>650</v>
      </c>
      <c r="D907" s="20" t="s">
        <v>726</v>
      </c>
      <c r="E907" s="20" t="s">
        <v>3326</v>
      </c>
      <c r="F907" s="20" t="s">
        <v>3327</v>
      </c>
      <c r="G907" s="21">
        <v>13.4</v>
      </c>
      <c r="H907" s="16">
        <v>26</v>
      </c>
      <c r="I907" s="16"/>
      <c r="J9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07" s="22"/>
      <c r="L907" s="23"/>
      <c r="M907" s="23">
        <f>SUM(Tabela174681012142230322681619252731333624210121416182426283038402481012141620222628303234362426810121424610122426244262628262681026286236[[#This Row],[Saldo no cartão]:[Recarga Pendente]])</f>
        <v>0</v>
      </c>
      <c r="N907" s="19">
        <f>Tabela174681012142230322681619252731333624210121416182426283038402481012141620222628303234362426810121424610122426244262628262681026286236[[#This Row],[Uso diário]]*2</f>
        <v>26.8</v>
      </c>
      <c r="O907" s="19">
        <f>Tabela174681012142230322681619252731333624210121416182426283038402481012141620222628303234362426810121424610122426244262628262681026286236[[#This Row],[Total Acumulado]]-P907</f>
        <v>-67</v>
      </c>
      <c r="P907" s="48">
        <f>Tabela174681012142230322681619252731333624210121416182426283038402481012141620222628303234362426810121424610122426244262628262681026286236[[#This Row],[Uso diário]]*5</f>
        <v>67</v>
      </c>
      <c r="Q9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7" s="25">
        <v>22</v>
      </c>
    </row>
    <row r="908" spans="1:20" s="26" customFormat="1" x14ac:dyDescent="0.25">
      <c r="A908" s="16">
        <v>231825</v>
      </c>
      <c r="B908" s="30" t="s">
        <v>846</v>
      </c>
      <c r="C908" s="20" t="s">
        <v>650</v>
      </c>
      <c r="D908" s="20" t="s">
        <v>726</v>
      </c>
      <c r="E908" s="20" t="s">
        <v>3328</v>
      </c>
      <c r="F908" s="20" t="s">
        <v>3329</v>
      </c>
      <c r="G908" s="21">
        <v>13.4</v>
      </c>
      <c r="H908" s="16">
        <v>26</v>
      </c>
      <c r="I908" s="16"/>
      <c r="J9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08" s="22"/>
      <c r="L908" s="23"/>
      <c r="M908" s="23">
        <f>SUM(Tabela174681012142230322681619252731333624210121416182426283038402481012141620222628303234362426810121424610122426244262628262681026286236[[#This Row],[Saldo no cartão]:[Recarga Pendente]])</f>
        <v>0</v>
      </c>
      <c r="N908" s="19">
        <f>Tabela174681012142230322681619252731333624210121416182426283038402481012141620222628303234362426810121424610122426244262628262681026286236[[#This Row],[Uso diário]]*2</f>
        <v>26.8</v>
      </c>
      <c r="O908" s="19">
        <f>Tabela174681012142230322681619252731333624210121416182426283038402481012141620222628303234362426810121424610122426244262628262681026286236[[#This Row],[Total Acumulado]]-P908</f>
        <v>-67</v>
      </c>
      <c r="P908" s="48">
        <f>Tabela174681012142230322681619252731333624210121416182426283038402481012141620222628303234362426810121424610122426244262628262681026286236[[#This Row],[Uso diário]]*5</f>
        <v>67</v>
      </c>
      <c r="Q9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8" s="25">
        <v>22</v>
      </c>
    </row>
    <row r="909" spans="1:20" s="26" customFormat="1" x14ac:dyDescent="0.25">
      <c r="A909" s="16">
        <v>231899</v>
      </c>
      <c r="B909" s="30" t="s">
        <v>847</v>
      </c>
      <c r="C909" s="20" t="s">
        <v>650</v>
      </c>
      <c r="D909" s="20" t="s">
        <v>726</v>
      </c>
      <c r="E909" s="20" t="s">
        <v>3330</v>
      </c>
      <c r="F909" s="20" t="s">
        <v>3331</v>
      </c>
      <c r="G909" s="21">
        <v>13.4</v>
      </c>
      <c r="H909" s="16">
        <v>26</v>
      </c>
      <c r="I909" s="16">
        <v>3</v>
      </c>
      <c r="J9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909" s="22"/>
      <c r="L909" s="23"/>
      <c r="M909" s="23">
        <f>SUM(Tabela174681012142230322681619252731333624210121416182426283038402481012141620222628303234362426810121424610122426244262628262681026286236[[#This Row],[Saldo no cartão]:[Recarga Pendente]])</f>
        <v>0</v>
      </c>
      <c r="N909" s="19">
        <f>Tabela174681012142230322681619252731333624210121416182426283038402481012141620222628303234362426810121424610122426244262628262681026286236[[#This Row],[Uso diário]]*2</f>
        <v>26.8</v>
      </c>
      <c r="O909" s="19">
        <f>Tabela174681012142230322681619252731333624210121416182426283038402481012141620222628303234362426810121424610122426244262628262681026286236[[#This Row],[Total Acumulado]]-P909</f>
        <v>-67</v>
      </c>
      <c r="P909" s="48">
        <f>Tabela174681012142230322681619252731333624210121416182426283038402481012141620222628303234362426810121424610122426244262628262681026286236[[#This Row],[Uso diário]]*5</f>
        <v>67</v>
      </c>
      <c r="Q9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9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09" s="25">
        <v>22</v>
      </c>
    </row>
    <row r="910" spans="1:20" s="26" customFormat="1" x14ac:dyDescent="0.25">
      <c r="A910" s="16">
        <v>232818</v>
      </c>
      <c r="B910" s="30" t="s">
        <v>945</v>
      </c>
      <c r="C910" s="20" t="s">
        <v>650</v>
      </c>
      <c r="D910" s="20" t="s">
        <v>726</v>
      </c>
      <c r="E910" s="20" t="s">
        <v>3332</v>
      </c>
      <c r="F910" s="20" t="s">
        <v>3333</v>
      </c>
      <c r="G910" s="21">
        <v>13.4</v>
      </c>
      <c r="H910" s="16">
        <v>26</v>
      </c>
      <c r="I910" s="16"/>
      <c r="J9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10" s="22"/>
      <c r="L910" s="23"/>
      <c r="M910" s="23">
        <f>SUM(Tabela174681012142230322681619252731333624210121416182426283038402481012141620222628303234362426810121424610122426244262628262681026286236[[#This Row],[Saldo no cartão]:[Recarga Pendente]])</f>
        <v>0</v>
      </c>
      <c r="N910" s="19">
        <f>Tabela174681012142230322681619252731333624210121416182426283038402481012141620222628303234362426810121424610122426244262628262681026286236[[#This Row],[Uso diário]]*2</f>
        <v>26.8</v>
      </c>
      <c r="O910" s="19">
        <f>Tabela174681012142230322681619252731333624210121416182426283038402481012141620222628303234362426810121424610122426244262628262681026286236[[#This Row],[Total Acumulado]]-P910</f>
        <v>-67</v>
      </c>
      <c r="P910" s="48">
        <f>Tabela174681012142230322681619252731333624210121416182426283038402481012141620222628303234362426810121424610122426244262628262681026286236[[#This Row],[Uso diário]]*5</f>
        <v>67</v>
      </c>
      <c r="Q9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0" s="25">
        <v>22</v>
      </c>
    </row>
    <row r="911" spans="1:20" s="26" customFormat="1" x14ac:dyDescent="0.25">
      <c r="A911" s="16">
        <v>234588</v>
      </c>
      <c r="B911" s="30" t="s">
        <v>1326</v>
      </c>
      <c r="C911" s="20" t="s">
        <v>650</v>
      </c>
      <c r="D911" s="20" t="s">
        <v>726</v>
      </c>
      <c r="E911" s="20" t="s">
        <v>3334</v>
      </c>
      <c r="F911" s="20" t="s">
        <v>3335</v>
      </c>
      <c r="G911" s="21">
        <v>13.4</v>
      </c>
      <c r="H911" s="16">
        <v>26</v>
      </c>
      <c r="I911" s="16"/>
      <c r="J9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11" s="22"/>
      <c r="L911" s="23"/>
      <c r="M911" s="23">
        <f>SUM(Tabela174681012142230322681619252731333624210121416182426283038402481012141620222628303234362426810121424610122426244262628262681026286236[[#This Row],[Saldo no cartão]:[Recarga Pendente]])</f>
        <v>0</v>
      </c>
      <c r="N911" s="19">
        <f>Tabela174681012142230322681619252731333624210121416182426283038402481012141620222628303234362426810121424610122426244262628262681026286236[[#This Row],[Uso diário]]*2</f>
        <v>26.8</v>
      </c>
      <c r="O911" s="19">
        <f>Tabela174681012142230322681619252731333624210121416182426283038402481012141620222628303234362426810121424610122426244262628262681026286236[[#This Row],[Total Acumulado]]-P911</f>
        <v>-67</v>
      </c>
      <c r="P911" s="48">
        <f>Tabela174681012142230322681619252731333624210121416182426283038402481012141620222628303234362426810121424610122426244262628262681026286236[[#This Row],[Uso diário]]*5</f>
        <v>67</v>
      </c>
      <c r="Q9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1" s="25">
        <v>22</v>
      </c>
    </row>
    <row r="912" spans="1:20" s="26" customFormat="1" x14ac:dyDescent="0.25">
      <c r="A912" s="16">
        <v>234919</v>
      </c>
      <c r="B912" s="30" t="s">
        <v>1491</v>
      </c>
      <c r="C912" s="20" t="s">
        <v>650</v>
      </c>
      <c r="D912" s="20" t="s">
        <v>726</v>
      </c>
      <c r="E912" s="20" t="s">
        <v>3336</v>
      </c>
      <c r="F912" s="20" t="s">
        <v>3337</v>
      </c>
      <c r="G912" s="21">
        <v>13.4</v>
      </c>
      <c r="H912" s="16">
        <v>26</v>
      </c>
      <c r="I912" s="16">
        <v>1</v>
      </c>
      <c r="J9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912" s="22"/>
      <c r="L912" s="23"/>
      <c r="M912" s="23">
        <f>SUM(Tabela174681012142230322681619252731333624210121416182426283038402481012141620222628303234362426810121424610122426244262628262681026286236[[#This Row],[Saldo no cartão]:[Recarga Pendente]])</f>
        <v>0</v>
      </c>
      <c r="N912" s="19">
        <f>Tabela174681012142230322681619252731333624210121416182426283038402481012141620222628303234362426810121424610122426244262628262681026286236[[#This Row],[Uso diário]]*2</f>
        <v>26.8</v>
      </c>
      <c r="O912" s="19">
        <f>Tabela174681012142230322681619252731333624210121416182426283038402481012141620222628303234362426810121424610122426244262628262681026286236[[#This Row],[Total Acumulado]]-P912</f>
        <v>-67</v>
      </c>
      <c r="P912" s="48">
        <f>Tabela174681012142230322681619252731333624210121416182426283038402481012141620222628303234362426810121424610122426244262628262681026286236[[#This Row],[Uso diário]]*5</f>
        <v>67</v>
      </c>
      <c r="Q9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9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2" s="25">
        <v>22</v>
      </c>
    </row>
    <row r="913" spans="1:20" s="26" customFormat="1" x14ac:dyDescent="0.25">
      <c r="A913" s="16">
        <v>234920</v>
      </c>
      <c r="B913" s="30" t="s">
        <v>1492</v>
      </c>
      <c r="C913" s="20" t="s">
        <v>650</v>
      </c>
      <c r="D913" s="20" t="s">
        <v>726</v>
      </c>
      <c r="E913" s="20" t="s">
        <v>3338</v>
      </c>
      <c r="F913" s="20" t="s">
        <v>3339</v>
      </c>
      <c r="G913" s="21">
        <v>13.4</v>
      </c>
      <c r="H913" s="16">
        <v>26</v>
      </c>
      <c r="I913" s="16"/>
      <c r="J9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13" s="22"/>
      <c r="L913" s="23">
        <v>11.9</v>
      </c>
      <c r="M913" s="23">
        <f>SUM(Tabela174681012142230322681619252731333624210121416182426283038402481012141620222628303234362426810121424610122426244262628262681026286236[[#This Row],[Saldo no cartão]:[Recarga Pendente]])</f>
        <v>11.9</v>
      </c>
      <c r="N913" s="19">
        <f>Tabela174681012142230322681619252731333624210121416182426283038402481012141620222628303234362426810121424610122426244262628262681026286236[[#This Row],[Uso diário]]*2</f>
        <v>26.8</v>
      </c>
      <c r="O913" s="19">
        <f>Tabela174681012142230322681619252731333624210121416182426283038402481012141620222628303234362426810121424610122426244262628262681026286236[[#This Row],[Total Acumulado]]-P913</f>
        <v>-55.1</v>
      </c>
      <c r="P913" s="48">
        <f>Tabela174681012142230322681619252731333624210121416182426283038402481012141620222628303234362426810121424610122426244262628262681026286236[[#This Row],[Uso diário]]*5</f>
        <v>67</v>
      </c>
      <c r="Q9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3" s="25">
        <v>22</v>
      </c>
    </row>
    <row r="914" spans="1:20" s="26" customFormat="1" x14ac:dyDescent="0.25">
      <c r="A914" s="16">
        <v>234960</v>
      </c>
      <c r="B914" s="30" t="s">
        <v>1493</v>
      </c>
      <c r="C914" s="20" t="s">
        <v>650</v>
      </c>
      <c r="D914" s="20" t="s">
        <v>726</v>
      </c>
      <c r="E914" s="20" t="s">
        <v>3340</v>
      </c>
      <c r="F914" s="20" t="s">
        <v>3341</v>
      </c>
      <c r="G914" s="21">
        <v>13.4</v>
      </c>
      <c r="H914" s="16">
        <v>26</v>
      </c>
      <c r="I914" s="16"/>
      <c r="J9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14" s="22"/>
      <c r="L914" s="23">
        <v>35.700000000000003</v>
      </c>
      <c r="M914" s="23">
        <f>SUM(Tabela174681012142230322681619252731333624210121416182426283038402481012141620222628303234362426810121424610122426244262628262681026286236[[#This Row],[Saldo no cartão]:[Recarga Pendente]])</f>
        <v>35.700000000000003</v>
      </c>
      <c r="N914" s="19">
        <f>Tabela174681012142230322681619252731333624210121416182426283038402481012141620222628303234362426810121424610122426244262628262681026286236[[#This Row],[Uso diário]]*2</f>
        <v>26.8</v>
      </c>
      <c r="O914" s="19">
        <f>Tabela174681012142230322681619252731333624210121416182426283038402481012141620222628303234362426810121424610122426244262628262681026286236[[#This Row],[Total Acumulado]]-P914</f>
        <v>-31.299999999999997</v>
      </c>
      <c r="P914" s="48">
        <f>Tabela174681012142230322681619252731333624210121416182426283038402481012141620222628303234362426810121424610122426244262628262681026286236[[#This Row],[Uso diário]]*5</f>
        <v>67</v>
      </c>
      <c r="Q9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4" s="25">
        <v>22</v>
      </c>
    </row>
    <row r="915" spans="1:20" s="26" customFormat="1" x14ac:dyDescent="0.25">
      <c r="A915" s="16">
        <v>208792</v>
      </c>
      <c r="B915" s="30" t="s">
        <v>431</v>
      </c>
      <c r="C915" s="20" t="s">
        <v>651</v>
      </c>
      <c r="D915" s="20" t="s">
        <v>717</v>
      </c>
      <c r="E915" s="20" t="s">
        <v>3342</v>
      </c>
      <c r="F915" s="20" t="s">
        <v>3343</v>
      </c>
      <c r="G915" s="21">
        <v>13.4</v>
      </c>
      <c r="H915" s="16">
        <v>16</v>
      </c>
      <c r="I915" s="16"/>
      <c r="J9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15" s="22"/>
      <c r="L915" s="23"/>
      <c r="M915" s="23">
        <f>SUM(Tabela174681012142230322681619252731333624210121416182426283038402481012141620222628303234362426810121424610122426244262628262681026286236[[#This Row],[Saldo no cartão]:[Recarga Pendente]])</f>
        <v>0</v>
      </c>
      <c r="N915" s="19">
        <f>Tabela174681012142230322681619252731333624210121416182426283038402481012141620222628303234362426810121424610122426244262628262681026286236[[#This Row],[Uso diário]]*2</f>
        <v>26.8</v>
      </c>
      <c r="O915" s="19">
        <f>Tabela174681012142230322681619252731333624210121416182426283038402481012141620222628303234362426810121424610122426244262628262681026286236[[#This Row],[Total Acumulado]]-P915</f>
        <v>-67</v>
      </c>
      <c r="P915" s="48">
        <f>Tabela174681012142230322681619252731333624210121416182426283038402481012141620222628303234362426810121424610122426244262628262681026286236[[#This Row],[Uso diário]]*5</f>
        <v>67</v>
      </c>
      <c r="Q9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5" s="25">
        <v>22</v>
      </c>
    </row>
    <row r="916" spans="1:20" s="26" customFormat="1" x14ac:dyDescent="0.25">
      <c r="A916" s="16">
        <v>212791</v>
      </c>
      <c r="B916" s="30" t="s">
        <v>432</v>
      </c>
      <c r="C916" s="20" t="s">
        <v>651</v>
      </c>
      <c r="D916" s="20" t="s">
        <v>719</v>
      </c>
      <c r="E916" s="20" t="s">
        <v>3344</v>
      </c>
      <c r="F916" s="20" t="s">
        <v>3345</v>
      </c>
      <c r="G916" s="21">
        <v>13.4</v>
      </c>
      <c r="H916" s="16">
        <v>16</v>
      </c>
      <c r="I916" s="16"/>
      <c r="J9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16" s="22"/>
      <c r="L916" s="23"/>
      <c r="M916" s="23">
        <f>SUM(Tabela174681012142230322681619252731333624210121416182426283038402481012141620222628303234362426810121424610122426244262628262681026286236[[#This Row],[Saldo no cartão]:[Recarga Pendente]])</f>
        <v>0</v>
      </c>
      <c r="N916" s="19">
        <f>Tabela174681012142230322681619252731333624210121416182426283038402481012141620222628303234362426810121424610122426244262628262681026286236[[#This Row],[Uso diário]]*2</f>
        <v>26.8</v>
      </c>
      <c r="O916" s="19">
        <f>Tabela174681012142230322681619252731333624210121416182426283038402481012141620222628303234362426810121424610122426244262628262681026286236[[#This Row],[Total Acumulado]]-P916</f>
        <v>-67</v>
      </c>
      <c r="P916" s="48">
        <f>Tabela174681012142230322681619252731333624210121416182426283038402481012141620222628303234362426810121424610122426244262628262681026286236[[#This Row],[Uso diário]]*5</f>
        <v>67</v>
      </c>
      <c r="Q9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6" s="25">
        <v>22</v>
      </c>
    </row>
    <row r="917" spans="1:20" s="26" customFormat="1" x14ac:dyDescent="0.25">
      <c r="A917" s="16">
        <v>220885</v>
      </c>
      <c r="B917" s="30" t="s">
        <v>433</v>
      </c>
      <c r="C917" s="20" t="s">
        <v>651</v>
      </c>
      <c r="D917" s="20" t="s">
        <v>717</v>
      </c>
      <c r="E917" s="20" t="s">
        <v>3346</v>
      </c>
      <c r="F917" s="20" t="s">
        <v>3347</v>
      </c>
      <c r="G917" s="21">
        <v>13.4</v>
      </c>
      <c r="H917" s="16">
        <v>16</v>
      </c>
      <c r="I917" s="16"/>
      <c r="J9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17" s="22"/>
      <c r="L917" s="23"/>
      <c r="M917" s="23">
        <f>SUM(Tabela174681012142230322681619252731333624210121416182426283038402481012141620222628303234362426810121424610122426244262628262681026286236[[#This Row],[Saldo no cartão]:[Recarga Pendente]])</f>
        <v>0</v>
      </c>
      <c r="N917" s="19">
        <f>Tabela174681012142230322681619252731333624210121416182426283038402481012141620222628303234362426810121424610122426244262628262681026286236[[#This Row],[Uso diário]]*2</f>
        <v>26.8</v>
      </c>
      <c r="O917" s="19">
        <f>Tabela174681012142230322681619252731333624210121416182426283038402481012141620222628303234362426810121424610122426244262628262681026286236[[#This Row],[Total Acumulado]]-P917</f>
        <v>-67</v>
      </c>
      <c r="P917" s="48">
        <f>Tabela174681012142230322681619252731333624210121416182426283038402481012141620222628303234362426810121424610122426244262628262681026286236[[#This Row],[Uso diário]]*5</f>
        <v>67</v>
      </c>
      <c r="Q9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7" s="25">
        <v>22</v>
      </c>
    </row>
    <row r="918" spans="1:20" s="26" customFormat="1" x14ac:dyDescent="0.25">
      <c r="A918" s="16">
        <v>221015</v>
      </c>
      <c r="B918" s="30" t="s">
        <v>435</v>
      </c>
      <c r="C918" s="20" t="s">
        <v>651</v>
      </c>
      <c r="D918" s="20" t="s">
        <v>719</v>
      </c>
      <c r="E918" s="20" t="s">
        <v>3348</v>
      </c>
      <c r="F918" s="20" t="s">
        <v>3349</v>
      </c>
      <c r="G918" s="21">
        <v>18.8</v>
      </c>
      <c r="H918" s="16">
        <v>16</v>
      </c>
      <c r="I918" s="16"/>
      <c r="J9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918" s="22"/>
      <c r="L918" s="23"/>
      <c r="M918" s="23">
        <f>SUM(Tabela174681012142230322681619252731333624210121416182426283038402481012141620222628303234362426810121424610122426244262628262681026286236[[#This Row],[Saldo no cartão]:[Recarga Pendente]])</f>
        <v>0</v>
      </c>
      <c r="N918" s="19">
        <f>Tabela174681012142230322681619252731333624210121416182426283038402481012141620222628303234362426810121424610122426244262628262681026286236[[#This Row],[Uso diário]]*2</f>
        <v>37.6</v>
      </c>
      <c r="O918" s="19">
        <f>Tabela174681012142230322681619252731333624210121416182426283038402481012141620222628303234362426810121424610122426244262628262681026286236[[#This Row],[Total Acumulado]]-P918</f>
        <v>-94</v>
      </c>
      <c r="P918" s="48">
        <f>Tabela174681012142230322681619252731333624210121416182426283038402481012141620222628303234362426810121424610122426244262628262681026286236[[#This Row],[Uso diário]]*5</f>
        <v>94</v>
      </c>
      <c r="Q9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9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8" s="25">
        <v>22</v>
      </c>
    </row>
    <row r="919" spans="1:20" s="26" customFormat="1" x14ac:dyDescent="0.25">
      <c r="A919" s="16">
        <v>221745</v>
      </c>
      <c r="B919" s="30" t="s">
        <v>1216</v>
      </c>
      <c r="C919" s="20" t="s">
        <v>651</v>
      </c>
      <c r="D919" s="20" t="s">
        <v>727</v>
      </c>
      <c r="E919" s="20" t="s">
        <v>3350</v>
      </c>
      <c r="F919" s="20" t="s">
        <v>3351</v>
      </c>
      <c r="G919" s="21">
        <v>13.4</v>
      </c>
      <c r="H919" s="16">
        <v>26</v>
      </c>
      <c r="I919" s="16"/>
      <c r="J9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19" s="22"/>
      <c r="L919" s="23"/>
      <c r="M919" s="23">
        <f>SUM(Tabela174681012142230322681619252731333624210121416182426283038402481012141620222628303234362426810121424610122426244262628262681026286236[[#This Row],[Saldo no cartão]:[Recarga Pendente]])</f>
        <v>0</v>
      </c>
      <c r="N919" s="19">
        <f>Tabela174681012142230322681619252731333624210121416182426283038402481012141620222628303234362426810121424610122426244262628262681026286236[[#This Row],[Uso diário]]*2</f>
        <v>26.8</v>
      </c>
      <c r="O919" s="19">
        <f>Tabela174681012142230322681619252731333624210121416182426283038402481012141620222628303234362426810121424610122426244262628262681026286236[[#This Row],[Total Acumulado]]-P919</f>
        <v>-67</v>
      </c>
      <c r="P919" s="48">
        <f>Tabela174681012142230322681619252731333624210121416182426283038402481012141620222628303234362426810121424610122426244262628262681026286236[[#This Row],[Uso diário]]*5</f>
        <v>67</v>
      </c>
      <c r="Q9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19" s="25">
        <v>22</v>
      </c>
    </row>
    <row r="920" spans="1:20" s="26" customFormat="1" x14ac:dyDescent="0.25">
      <c r="A920" s="16">
        <v>222046</v>
      </c>
      <c r="B920" s="30" t="s">
        <v>436</v>
      </c>
      <c r="C920" s="20" t="s">
        <v>651</v>
      </c>
      <c r="D920" s="20" t="s">
        <v>719</v>
      </c>
      <c r="E920" s="20" t="s">
        <v>3352</v>
      </c>
      <c r="F920" s="20" t="s">
        <v>3353</v>
      </c>
      <c r="G920" s="21">
        <v>13.4</v>
      </c>
      <c r="H920" s="16">
        <v>16</v>
      </c>
      <c r="I920" s="16"/>
      <c r="J9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20" s="22"/>
      <c r="L920" s="23"/>
      <c r="M920" s="23">
        <f>SUM(Tabela174681012142230322681619252731333624210121416182426283038402481012141620222628303234362426810121424610122426244262628262681026286236[[#This Row],[Saldo no cartão]:[Recarga Pendente]])</f>
        <v>0</v>
      </c>
      <c r="N920" s="19">
        <f>Tabela174681012142230322681619252731333624210121416182426283038402481012141620222628303234362426810121424610122426244262628262681026286236[[#This Row],[Uso diário]]*2</f>
        <v>26.8</v>
      </c>
      <c r="O920" s="19">
        <f>Tabela174681012142230322681619252731333624210121416182426283038402481012141620222628303234362426810121424610122426244262628262681026286236[[#This Row],[Total Acumulado]]-P920</f>
        <v>-67</v>
      </c>
      <c r="P920" s="48">
        <f>Tabela174681012142230322681619252731333624210121416182426283038402481012141620222628303234362426810121424610122426244262628262681026286236[[#This Row],[Uso diário]]*5</f>
        <v>67</v>
      </c>
      <c r="Q9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0" s="25">
        <v>22</v>
      </c>
    </row>
    <row r="921" spans="1:20" s="26" customFormat="1" x14ac:dyDescent="0.25">
      <c r="A921" s="16">
        <v>222103</v>
      </c>
      <c r="B921" s="30" t="s">
        <v>1494</v>
      </c>
      <c r="C921" s="20" t="s">
        <v>651</v>
      </c>
      <c r="D921" s="20" t="s">
        <v>719</v>
      </c>
      <c r="E921" s="20" t="s">
        <v>3354</v>
      </c>
      <c r="F921" s="20" t="s">
        <v>3355</v>
      </c>
      <c r="G921" s="21">
        <v>13.4</v>
      </c>
      <c r="H921" s="16">
        <v>16</v>
      </c>
      <c r="I921" s="16"/>
      <c r="J9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21" s="22"/>
      <c r="L921" s="23"/>
      <c r="M921" s="23">
        <f>SUM(Tabela174681012142230322681619252731333624210121416182426283038402481012141620222628303234362426810121424610122426244262628262681026286236[[#This Row],[Saldo no cartão]:[Recarga Pendente]])</f>
        <v>0</v>
      </c>
      <c r="N921" s="19">
        <f>Tabela174681012142230322681619252731333624210121416182426283038402481012141620222628303234362426810121424610122426244262628262681026286236[[#This Row],[Uso diário]]*2</f>
        <v>26.8</v>
      </c>
      <c r="O921" s="19">
        <f>Tabela174681012142230322681619252731333624210121416182426283038402481012141620222628303234362426810121424610122426244262628262681026286236[[#This Row],[Total Acumulado]]-P921</f>
        <v>-67</v>
      </c>
      <c r="P921" s="48">
        <f>Tabela174681012142230322681619252731333624210121416182426283038402481012141620222628303234362426810121424610122426244262628262681026286236[[#This Row],[Uso diário]]*5</f>
        <v>67</v>
      </c>
      <c r="Q9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1" s="25">
        <v>22</v>
      </c>
    </row>
    <row r="922" spans="1:20" s="26" customFormat="1" x14ac:dyDescent="0.25">
      <c r="A922" s="16">
        <v>222157</v>
      </c>
      <c r="B922" s="30" t="s">
        <v>1495</v>
      </c>
      <c r="C922" s="20" t="s">
        <v>651</v>
      </c>
      <c r="D922" s="20" t="s">
        <v>719</v>
      </c>
      <c r="E922" s="20" t="s">
        <v>3356</v>
      </c>
      <c r="F922" s="20" t="s">
        <v>3357</v>
      </c>
      <c r="G922" s="21">
        <v>13.4</v>
      </c>
      <c r="H922" s="16">
        <v>16</v>
      </c>
      <c r="I922" s="16">
        <v>1</v>
      </c>
      <c r="J9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22" s="22"/>
      <c r="L922" s="23"/>
      <c r="M922" s="23">
        <f>SUM(Tabela174681012142230322681619252731333624210121416182426283038402481012141620222628303234362426810121424610122426244262628262681026286236[[#This Row],[Saldo no cartão]:[Recarga Pendente]])</f>
        <v>0</v>
      </c>
      <c r="N922" s="19">
        <f>Tabela174681012142230322681619252731333624210121416182426283038402481012141620222628303234362426810121424610122426244262628262681026286236[[#This Row],[Uso diário]]*2</f>
        <v>26.8</v>
      </c>
      <c r="O922" s="19">
        <f>Tabela174681012142230322681619252731333624210121416182426283038402481012141620222628303234362426810121424610122426244262628262681026286236[[#This Row],[Total Acumulado]]-P922</f>
        <v>-67</v>
      </c>
      <c r="P922" s="48">
        <f>Tabela174681012142230322681619252731333624210121416182426283038402481012141620222628303234362426810121424610122426244262628262681026286236[[#This Row],[Uso diário]]*5</f>
        <v>67</v>
      </c>
      <c r="Q9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2" s="25">
        <v>22</v>
      </c>
    </row>
    <row r="923" spans="1:20" s="26" customFormat="1" x14ac:dyDescent="0.25">
      <c r="A923" s="16">
        <v>222205</v>
      </c>
      <c r="B923" s="30" t="s">
        <v>1217</v>
      </c>
      <c r="C923" s="20" t="s">
        <v>651</v>
      </c>
      <c r="D923" s="20" t="s">
        <v>719</v>
      </c>
      <c r="E923" s="20" t="s">
        <v>3358</v>
      </c>
      <c r="F923" s="20" t="s">
        <v>3359</v>
      </c>
      <c r="G923" s="21">
        <v>18.8</v>
      </c>
      <c r="H923" s="16">
        <v>16</v>
      </c>
      <c r="I923" s="16"/>
      <c r="J9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923" s="22"/>
      <c r="L923" s="23"/>
      <c r="M923" s="23">
        <f>SUM(Tabela174681012142230322681619252731333624210121416182426283038402481012141620222628303234362426810121424610122426244262628262681026286236[[#This Row],[Saldo no cartão]:[Recarga Pendente]])</f>
        <v>0</v>
      </c>
      <c r="N923" s="19">
        <f>Tabela174681012142230322681619252731333624210121416182426283038402481012141620222628303234362426810121424610122426244262628262681026286236[[#This Row],[Uso diário]]*2</f>
        <v>37.6</v>
      </c>
      <c r="O923" s="19">
        <f>Tabela174681012142230322681619252731333624210121416182426283038402481012141620222628303234362426810121424610122426244262628262681026286236[[#This Row],[Total Acumulado]]-P923</f>
        <v>-94</v>
      </c>
      <c r="P923" s="48">
        <f>Tabela174681012142230322681619252731333624210121416182426283038402481012141620222628303234362426810121424610122426244262628262681026286236[[#This Row],[Uso diário]]*5</f>
        <v>94</v>
      </c>
      <c r="Q9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9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3" s="25">
        <v>22</v>
      </c>
    </row>
    <row r="924" spans="1:20" s="26" customFormat="1" x14ac:dyDescent="0.25">
      <c r="A924" s="16">
        <v>222208</v>
      </c>
      <c r="B924" s="30" t="s">
        <v>437</v>
      </c>
      <c r="C924" s="20" t="s">
        <v>651</v>
      </c>
      <c r="D924" s="20" t="s">
        <v>747</v>
      </c>
      <c r="E924" s="20" t="s">
        <v>3360</v>
      </c>
      <c r="F924" s="20" t="s">
        <v>3361</v>
      </c>
      <c r="G924" s="21">
        <v>13.7</v>
      </c>
      <c r="H924" s="16">
        <v>16</v>
      </c>
      <c r="I924" s="16"/>
      <c r="J9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219.2</v>
      </c>
      <c r="K924" s="22"/>
      <c r="L924" s="23"/>
      <c r="M924" s="23">
        <f>SUM(Tabela174681012142230322681619252731333624210121416182426283038402481012141620222628303234362426810121424610122426244262628262681026286236[[#This Row],[Saldo no cartão]:[Recarga Pendente]])</f>
        <v>0</v>
      </c>
      <c r="N924" s="19">
        <f>Tabela174681012142230322681619252731333624210121416182426283038402481012141620222628303234362426810121424610122426244262628262681026286236[[#This Row],[Uso diário]]*2</f>
        <v>27.4</v>
      </c>
      <c r="O924" s="19">
        <f>Tabela174681012142230322681619252731333624210121416182426283038402481012141620222628303234362426810121424610122426244262628262681026286236[[#This Row],[Total Acumulado]]-P924</f>
        <v>-68.5</v>
      </c>
      <c r="P924" s="48">
        <f>Tabela174681012142230322681619252731333624210121416182426283038402481012141620222628303234362426810121424610122426244262628262681026286236[[#This Row],[Uso diário]]*5</f>
        <v>68.5</v>
      </c>
      <c r="Q9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219.2</v>
      </c>
      <c r="S9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4" s="25">
        <v>22</v>
      </c>
    </row>
    <row r="925" spans="1:20" s="26" customFormat="1" x14ac:dyDescent="0.25">
      <c r="A925" s="16">
        <v>222236</v>
      </c>
      <c r="B925" s="30" t="s">
        <v>438</v>
      </c>
      <c r="C925" s="20" t="s">
        <v>651</v>
      </c>
      <c r="D925" s="20" t="s">
        <v>719</v>
      </c>
      <c r="E925" s="20" t="s">
        <v>3362</v>
      </c>
      <c r="F925" s="20" t="s">
        <v>3363</v>
      </c>
      <c r="G925" s="21">
        <v>13.7</v>
      </c>
      <c r="H925" s="16">
        <v>16</v>
      </c>
      <c r="I925" s="16"/>
      <c r="J9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219.2</v>
      </c>
      <c r="K925" s="22"/>
      <c r="L925" s="23"/>
      <c r="M925" s="23">
        <f>SUM(Tabela174681012142230322681619252731333624210121416182426283038402481012141620222628303234362426810121424610122426244262628262681026286236[[#This Row],[Saldo no cartão]:[Recarga Pendente]])</f>
        <v>0</v>
      </c>
      <c r="N925" s="19">
        <f>Tabela174681012142230322681619252731333624210121416182426283038402481012141620222628303234362426810121424610122426244262628262681026286236[[#This Row],[Uso diário]]*2</f>
        <v>27.4</v>
      </c>
      <c r="O925" s="19">
        <f>Tabela174681012142230322681619252731333624210121416182426283038402481012141620222628303234362426810121424610122426244262628262681026286236[[#This Row],[Total Acumulado]]-P925</f>
        <v>-68.5</v>
      </c>
      <c r="P925" s="48">
        <f>Tabela174681012142230322681619252731333624210121416182426283038402481012141620222628303234362426810121424610122426244262628262681026286236[[#This Row],[Uso diário]]*5</f>
        <v>68.5</v>
      </c>
      <c r="Q9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219.2</v>
      </c>
      <c r="S9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5" s="25">
        <v>22</v>
      </c>
    </row>
    <row r="926" spans="1:20" s="26" customFormat="1" x14ac:dyDescent="0.25">
      <c r="A926" s="16">
        <v>222406</v>
      </c>
      <c r="B926" s="30" t="s">
        <v>439</v>
      </c>
      <c r="C926" s="20" t="s">
        <v>651</v>
      </c>
      <c r="D926" s="20" t="s">
        <v>716</v>
      </c>
      <c r="E926" s="20" t="s">
        <v>3364</v>
      </c>
      <c r="F926" s="20" t="s">
        <v>3365</v>
      </c>
      <c r="G926" s="21">
        <v>13.4</v>
      </c>
      <c r="H926" s="16">
        <v>26</v>
      </c>
      <c r="I926" s="16"/>
      <c r="J9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26" s="22"/>
      <c r="L926" s="23"/>
      <c r="M926" s="23">
        <f>SUM(Tabela174681012142230322681619252731333624210121416182426283038402481012141620222628303234362426810121424610122426244262628262681026286236[[#This Row],[Saldo no cartão]:[Recarga Pendente]])</f>
        <v>0</v>
      </c>
      <c r="N926" s="19">
        <f>Tabela174681012142230322681619252731333624210121416182426283038402481012141620222628303234362426810121424610122426244262628262681026286236[[#This Row],[Uso diário]]*2</f>
        <v>26.8</v>
      </c>
      <c r="O926" s="19">
        <f>Tabela174681012142230322681619252731333624210121416182426283038402481012141620222628303234362426810121424610122426244262628262681026286236[[#This Row],[Total Acumulado]]-P926</f>
        <v>-67</v>
      </c>
      <c r="P926" s="48">
        <f>Tabela174681012142230322681619252731333624210121416182426283038402481012141620222628303234362426810121424610122426244262628262681026286236[[#This Row],[Uso diário]]*5</f>
        <v>67</v>
      </c>
      <c r="Q9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6" s="25">
        <v>22</v>
      </c>
    </row>
    <row r="927" spans="1:20" s="26" customFormat="1" x14ac:dyDescent="0.25">
      <c r="A927" s="16">
        <v>223023</v>
      </c>
      <c r="B927" s="30" t="s">
        <v>1218</v>
      </c>
      <c r="C927" s="20" t="s">
        <v>651</v>
      </c>
      <c r="D927" s="20" t="s">
        <v>719</v>
      </c>
      <c r="E927" s="20" t="s">
        <v>3366</v>
      </c>
      <c r="F927" s="20" t="s">
        <v>3367</v>
      </c>
      <c r="G927" s="21">
        <v>13.4</v>
      </c>
      <c r="H927" s="16">
        <v>16</v>
      </c>
      <c r="I927" s="16"/>
      <c r="J9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27" s="22"/>
      <c r="L927" s="23"/>
      <c r="M927" s="23">
        <f>SUM(Tabela174681012142230322681619252731333624210121416182426283038402481012141620222628303234362426810121424610122426244262628262681026286236[[#This Row],[Saldo no cartão]:[Recarga Pendente]])</f>
        <v>0</v>
      </c>
      <c r="N927" s="19">
        <f>Tabela174681012142230322681619252731333624210121416182426283038402481012141620222628303234362426810121424610122426244262628262681026286236[[#This Row],[Uso diário]]*2</f>
        <v>26.8</v>
      </c>
      <c r="O927" s="19">
        <f>Tabela174681012142230322681619252731333624210121416182426283038402481012141620222628303234362426810121424610122426244262628262681026286236[[#This Row],[Total Acumulado]]-P927</f>
        <v>-67</v>
      </c>
      <c r="P927" s="48">
        <f>Tabela174681012142230322681619252731333624210121416182426283038402481012141620222628303234362426810121424610122426244262628262681026286236[[#This Row],[Uso diário]]*5</f>
        <v>67</v>
      </c>
      <c r="Q9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7" s="25">
        <v>22</v>
      </c>
    </row>
    <row r="928" spans="1:20" s="26" customFormat="1" x14ac:dyDescent="0.25">
      <c r="A928" s="16">
        <v>223457</v>
      </c>
      <c r="B928" s="30" t="s">
        <v>1496</v>
      </c>
      <c r="C928" s="20" t="s">
        <v>651</v>
      </c>
      <c r="D928" s="20" t="s">
        <v>717</v>
      </c>
      <c r="E928" s="20" t="s">
        <v>3368</v>
      </c>
      <c r="F928" s="20" t="s">
        <v>3369</v>
      </c>
      <c r="G928" s="21">
        <v>13.4</v>
      </c>
      <c r="H928" s="16">
        <v>16</v>
      </c>
      <c r="I928" s="16"/>
      <c r="J9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28" s="22"/>
      <c r="L928" s="23"/>
      <c r="M928" s="23">
        <f>SUM(Tabela174681012142230322681619252731333624210121416182426283038402481012141620222628303234362426810121424610122426244262628262681026286236[[#This Row],[Saldo no cartão]:[Recarga Pendente]])</f>
        <v>0</v>
      </c>
      <c r="N928" s="19">
        <f>Tabela174681012142230322681619252731333624210121416182426283038402481012141620222628303234362426810121424610122426244262628262681026286236[[#This Row],[Uso diário]]*2</f>
        <v>26.8</v>
      </c>
      <c r="O928" s="19">
        <f>Tabela174681012142230322681619252731333624210121416182426283038402481012141620222628303234362426810121424610122426244262628262681026286236[[#This Row],[Total Acumulado]]-P928</f>
        <v>-67</v>
      </c>
      <c r="P928" s="48">
        <f>Tabela174681012142230322681619252731333624210121416182426283038402481012141620222628303234362426810121424610122426244262628262681026286236[[#This Row],[Uso diário]]*5</f>
        <v>67</v>
      </c>
      <c r="Q9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8" s="25">
        <v>22</v>
      </c>
    </row>
    <row r="929" spans="1:20" s="26" customFormat="1" x14ac:dyDescent="0.25">
      <c r="A929" s="16">
        <v>224379</v>
      </c>
      <c r="B929" s="30" t="s">
        <v>442</v>
      </c>
      <c r="C929" s="20" t="s">
        <v>651</v>
      </c>
      <c r="D929" s="20" t="s">
        <v>719</v>
      </c>
      <c r="E929" s="20" t="s">
        <v>3370</v>
      </c>
      <c r="F929" s="20" t="s">
        <v>3371</v>
      </c>
      <c r="G929" s="21">
        <v>13.4</v>
      </c>
      <c r="H929" s="16">
        <v>3</v>
      </c>
      <c r="I929" s="16"/>
      <c r="J9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40.200000000000003</v>
      </c>
      <c r="K929" s="22"/>
      <c r="L929" s="23"/>
      <c r="M929" s="23">
        <f>SUM(Tabela174681012142230322681619252731333624210121416182426283038402481012141620222628303234362426810121424610122426244262628262681026286236[[#This Row],[Saldo no cartão]:[Recarga Pendente]])</f>
        <v>0</v>
      </c>
      <c r="N929" s="19">
        <f>Tabela174681012142230322681619252731333624210121416182426283038402481012141620222628303234362426810121424610122426244262628262681026286236[[#This Row],[Uso diário]]*2</f>
        <v>26.8</v>
      </c>
      <c r="O929" s="19">
        <f>Tabela174681012142230322681619252731333624210121416182426283038402481012141620222628303234362426810121424610122426244262628262681026286236[[#This Row],[Total Acumulado]]-P929</f>
        <v>-67</v>
      </c>
      <c r="P929" s="48">
        <f>Tabela174681012142230322681619252731333624210121416182426283038402481012141620222628303234362426810121424610122426244262628262681026286236[[#This Row],[Uso diário]]*5</f>
        <v>67</v>
      </c>
      <c r="Q9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40.200000000000003</v>
      </c>
      <c r="S9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29" s="25">
        <v>22</v>
      </c>
    </row>
    <row r="930" spans="1:20" s="26" customFormat="1" x14ac:dyDescent="0.25">
      <c r="A930" s="16">
        <v>224572</v>
      </c>
      <c r="B930" s="30" t="s">
        <v>443</v>
      </c>
      <c r="C930" s="20" t="s">
        <v>651</v>
      </c>
      <c r="D930" s="20" t="s">
        <v>717</v>
      </c>
      <c r="E930" s="20" t="s">
        <v>3372</v>
      </c>
      <c r="F930" s="20" t="s">
        <v>3373</v>
      </c>
      <c r="G930" s="21">
        <v>13.4</v>
      </c>
      <c r="H930" s="16">
        <v>16</v>
      </c>
      <c r="I930" s="16"/>
      <c r="J9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30" s="22"/>
      <c r="L930" s="23"/>
      <c r="M930" s="23">
        <f>SUM(Tabela174681012142230322681619252731333624210121416182426283038402481012141620222628303234362426810121424610122426244262628262681026286236[[#This Row],[Saldo no cartão]:[Recarga Pendente]])</f>
        <v>0</v>
      </c>
      <c r="N930" s="19">
        <f>Tabela174681012142230322681619252731333624210121416182426283038402481012141620222628303234362426810121424610122426244262628262681026286236[[#This Row],[Uso diário]]*2</f>
        <v>26.8</v>
      </c>
      <c r="O930" s="19">
        <f>Tabela174681012142230322681619252731333624210121416182426283038402481012141620222628303234362426810121424610122426244262628262681026286236[[#This Row],[Total Acumulado]]-P930</f>
        <v>-67</v>
      </c>
      <c r="P930" s="48">
        <f>Tabela174681012142230322681619252731333624210121416182426283038402481012141620222628303234362426810121424610122426244262628262681026286236[[#This Row],[Uso diário]]*5</f>
        <v>67</v>
      </c>
      <c r="Q9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0" s="25">
        <v>22</v>
      </c>
    </row>
    <row r="931" spans="1:20" s="26" customFormat="1" x14ac:dyDescent="0.25">
      <c r="A931" s="16">
        <v>224924</v>
      </c>
      <c r="B931" s="30" t="s">
        <v>1219</v>
      </c>
      <c r="C931" s="20" t="s">
        <v>651</v>
      </c>
      <c r="D931" s="20" t="s">
        <v>719</v>
      </c>
      <c r="E931" s="20" t="s">
        <v>3374</v>
      </c>
      <c r="F931" s="20" t="s">
        <v>3375</v>
      </c>
      <c r="G931" s="21">
        <v>13.4</v>
      </c>
      <c r="H931" s="16">
        <v>16</v>
      </c>
      <c r="I931" s="16"/>
      <c r="J9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31" s="22"/>
      <c r="L931" s="23"/>
      <c r="M931" s="23">
        <f>SUM(Tabela174681012142230322681619252731333624210121416182426283038402481012141620222628303234362426810121424610122426244262628262681026286236[[#This Row],[Saldo no cartão]:[Recarga Pendente]])</f>
        <v>0</v>
      </c>
      <c r="N931" s="19">
        <f>Tabela174681012142230322681619252731333624210121416182426283038402481012141620222628303234362426810121424610122426244262628262681026286236[[#This Row],[Uso diário]]*2</f>
        <v>26.8</v>
      </c>
      <c r="O931" s="19">
        <f>Tabela174681012142230322681619252731333624210121416182426283038402481012141620222628303234362426810121424610122426244262628262681026286236[[#This Row],[Total Acumulado]]-P931</f>
        <v>-67</v>
      </c>
      <c r="P931" s="48">
        <f>Tabela174681012142230322681619252731333624210121416182426283038402481012141620222628303234362426810121424610122426244262628262681026286236[[#This Row],[Uso diário]]*5</f>
        <v>67</v>
      </c>
      <c r="Q9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1" s="25">
        <v>22</v>
      </c>
    </row>
    <row r="932" spans="1:20" s="26" customFormat="1" x14ac:dyDescent="0.25">
      <c r="A932" s="16">
        <v>224971</v>
      </c>
      <c r="B932" s="30" t="s">
        <v>444</v>
      </c>
      <c r="C932" s="20" t="s">
        <v>651</v>
      </c>
      <c r="D932" s="20" t="s">
        <v>719</v>
      </c>
      <c r="E932" s="20" t="s">
        <v>3376</v>
      </c>
      <c r="F932" s="20" t="s">
        <v>3377</v>
      </c>
      <c r="G932" s="21">
        <v>14.2</v>
      </c>
      <c r="H932" s="16">
        <v>16</v>
      </c>
      <c r="I932" s="16"/>
      <c r="J9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227.2</v>
      </c>
      <c r="K932" s="22"/>
      <c r="L932" s="23"/>
      <c r="M932" s="23">
        <f>SUM(Tabela174681012142230322681619252731333624210121416182426283038402481012141620222628303234362426810121424610122426244262628262681026286236[[#This Row],[Saldo no cartão]:[Recarga Pendente]])</f>
        <v>0</v>
      </c>
      <c r="N932" s="19">
        <f>Tabela174681012142230322681619252731333624210121416182426283038402481012141620222628303234362426810121424610122426244262628262681026286236[[#This Row],[Uso diário]]*2</f>
        <v>28.4</v>
      </c>
      <c r="O932" s="19">
        <f>Tabela174681012142230322681619252731333624210121416182426283038402481012141620222628303234362426810121424610122426244262628262681026286236[[#This Row],[Total Acumulado]]-P932</f>
        <v>-71</v>
      </c>
      <c r="P932" s="48">
        <f>Tabela174681012142230322681619252731333624210121416182426283038402481012141620222628303234362426810121424610122426244262628262681026286236[[#This Row],[Uso diário]]*5</f>
        <v>71</v>
      </c>
      <c r="Q9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227.2</v>
      </c>
      <c r="S9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2" s="25">
        <v>22</v>
      </c>
    </row>
    <row r="933" spans="1:20" s="26" customFormat="1" x14ac:dyDescent="0.25">
      <c r="A933" s="16">
        <v>225047</v>
      </c>
      <c r="B933" s="30" t="s">
        <v>445</v>
      </c>
      <c r="C933" s="20" t="s">
        <v>651</v>
      </c>
      <c r="D933" s="20" t="s">
        <v>717</v>
      </c>
      <c r="E933" s="20" t="s">
        <v>3378</v>
      </c>
      <c r="F933" s="20" t="s">
        <v>3379</v>
      </c>
      <c r="G933" s="21">
        <v>18.8</v>
      </c>
      <c r="H933" s="16">
        <v>16</v>
      </c>
      <c r="I933" s="16"/>
      <c r="J9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933" s="22"/>
      <c r="L933" s="23"/>
      <c r="M933" s="23">
        <f>SUM(Tabela174681012142230322681619252731333624210121416182426283038402481012141620222628303234362426810121424610122426244262628262681026286236[[#This Row],[Saldo no cartão]:[Recarga Pendente]])</f>
        <v>0</v>
      </c>
      <c r="N933" s="19">
        <f>Tabela174681012142230322681619252731333624210121416182426283038402481012141620222628303234362426810121424610122426244262628262681026286236[[#This Row],[Uso diário]]*2</f>
        <v>37.6</v>
      </c>
      <c r="O933" s="19">
        <f>Tabela174681012142230322681619252731333624210121416182426283038402481012141620222628303234362426810121424610122426244262628262681026286236[[#This Row],[Total Acumulado]]-P933</f>
        <v>-94</v>
      </c>
      <c r="P933" s="48">
        <f>Tabela174681012142230322681619252731333624210121416182426283038402481012141620222628303234362426810121424610122426244262628262681026286236[[#This Row],[Uso diário]]*5</f>
        <v>94</v>
      </c>
      <c r="Q9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9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3" s="25">
        <v>22</v>
      </c>
    </row>
    <row r="934" spans="1:20" s="26" customFormat="1" x14ac:dyDescent="0.25">
      <c r="A934" s="16">
        <v>225065</v>
      </c>
      <c r="B934" s="30" t="s">
        <v>1093</v>
      </c>
      <c r="C934" s="20" t="s">
        <v>651</v>
      </c>
      <c r="D934" s="20" t="s">
        <v>719</v>
      </c>
      <c r="E934" s="20" t="s">
        <v>3380</v>
      </c>
      <c r="F934" s="20" t="s">
        <v>3381</v>
      </c>
      <c r="G934" s="21">
        <v>13.7</v>
      </c>
      <c r="H934" s="16">
        <v>16</v>
      </c>
      <c r="I934" s="16"/>
      <c r="J9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219.2</v>
      </c>
      <c r="K934" s="22"/>
      <c r="L934" s="23"/>
      <c r="M934" s="23">
        <f>SUM(Tabela174681012142230322681619252731333624210121416182426283038402481012141620222628303234362426810121424610122426244262628262681026286236[[#This Row],[Saldo no cartão]:[Recarga Pendente]])</f>
        <v>0</v>
      </c>
      <c r="N934" s="19">
        <f>Tabela174681012142230322681619252731333624210121416182426283038402481012141620222628303234362426810121424610122426244262628262681026286236[[#This Row],[Uso diário]]*2</f>
        <v>27.4</v>
      </c>
      <c r="O934" s="19">
        <f>Tabela174681012142230322681619252731333624210121416182426283038402481012141620222628303234362426810121424610122426244262628262681026286236[[#This Row],[Total Acumulado]]-P934</f>
        <v>-68.5</v>
      </c>
      <c r="P934" s="48">
        <f>Tabela174681012142230322681619252731333624210121416182426283038402481012141620222628303234362426810121424610122426244262628262681026286236[[#This Row],[Uso diário]]*5</f>
        <v>68.5</v>
      </c>
      <c r="Q9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219.2</v>
      </c>
      <c r="S9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4" s="25">
        <v>22</v>
      </c>
    </row>
    <row r="935" spans="1:20" s="26" customFormat="1" x14ac:dyDescent="0.25">
      <c r="A935" s="16">
        <v>225816</v>
      </c>
      <c r="B935" s="30" t="s">
        <v>446</v>
      </c>
      <c r="C935" s="20" t="s">
        <v>651</v>
      </c>
      <c r="D935" s="20" t="s">
        <v>719</v>
      </c>
      <c r="E935" s="20" t="s">
        <v>3382</v>
      </c>
      <c r="F935" s="20" t="s">
        <v>3383</v>
      </c>
      <c r="G935" s="21">
        <v>13.4</v>
      </c>
      <c r="H935" s="16">
        <v>16</v>
      </c>
      <c r="I935" s="16"/>
      <c r="J9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35" s="22"/>
      <c r="L935" s="23"/>
      <c r="M935" s="23">
        <f>SUM(Tabela174681012142230322681619252731333624210121416182426283038402481012141620222628303234362426810121424610122426244262628262681026286236[[#This Row],[Saldo no cartão]:[Recarga Pendente]])</f>
        <v>0</v>
      </c>
      <c r="N935" s="19">
        <f>Tabela174681012142230322681619252731333624210121416182426283038402481012141620222628303234362426810121424610122426244262628262681026286236[[#This Row],[Uso diário]]*2</f>
        <v>26.8</v>
      </c>
      <c r="O935" s="19">
        <f>Tabela174681012142230322681619252731333624210121416182426283038402481012141620222628303234362426810121424610122426244262628262681026286236[[#This Row],[Total Acumulado]]-P935</f>
        <v>-67</v>
      </c>
      <c r="P935" s="48">
        <f>Tabela174681012142230322681619252731333624210121416182426283038402481012141620222628303234362426810121424610122426244262628262681026286236[[#This Row],[Uso diário]]*5</f>
        <v>67</v>
      </c>
      <c r="Q9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5" s="25">
        <v>22</v>
      </c>
    </row>
    <row r="936" spans="1:20" s="26" customFormat="1" x14ac:dyDescent="0.25">
      <c r="A936" s="16">
        <v>226160</v>
      </c>
      <c r="B936" s="30" t="s">
        <v>447</v>
      </c>
      <c r="C936" s="20" t="s">
        <v>651</v>
      </c>
      <c r="D936" s="20" t="s">
        <v>719</v>
      </c>
      <c r="E936" s="20" t="s">
        <v>3384</v>
      </c>
      <c r="F936" s="20" t="s">
        <v>3385</v>
      </c>
      <c r="G936" s="21">
        <v>13.4</v>
      </c>
      <c r="H936" s="16">
        <v>16</v>
      </c>
      <c r="I936" s="16"/>
      <c r="J9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36" s="22"/>
      <c r="L936" s="23"/>
      <c r="M936" s="23">
        <f>SUM(Tabela174681012142230322681619252731333624210121416182426283038402481012141620222628303234362426810121424610122426244262628262681026286236[[#This Row],[Saldo no cartão]:[Recarga Pendente]])</f>
        <v>0</v>
      </c>
      <c r="N936" s="19">
        <f>Tabela174681012142230322681619252731333624210121416182426283038402481012141620222628303234362426810121424610122426244262628262681026286236[[#This Row],[Uso diário]]*2</f>
        <v>26.8</v>
      </c>
      <c r="O936" s="19">
        <f>Tabela174681012142230322681619252731333624210121416182426283038402481012141620222628303234362426810121424610122426244262628262681026286236[[#This Row],[Total Acumulado]]-P936</f>
        <v>-67</v>
      </c>
      <c r="P936" s="48">
        <f>Tabela174681012142230322681619252731333624210121416182426283038402481012141620222628303234362426810121424610122426244262628262681026286236[[#This Row],[Uso diário]]*5</f>
        <v>67</v>
      </c>
      <c r="Q9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6" s="25">
        <v>22</v>
      </c>
    </row>
    <row r="937" spans="1:20" s="26" customFormat="1" x14ac:dyDescent="0.25">
      <c r="A937" s="16">
        <v>226883</v>
      </c>
      <c r="B937" s="30" t="s">
        <v>448</v>
      </c>
      <c r="C937" s="20" t="s">
        <v>651</v>
      </c>
      <c r="D937" s="20" t="s">
        <v>716</v>
      </c>
      <c r="E937" s="20" t="s">
        <v>3386</v>
      </c>
      <c r="F937" s="20" t="s">
        <v>3387</v>
      </c>
      <c r="G937" s="21">
        <v>15.4</v>
      </c>
      <c r="H937" s="16">
        <v>16</v>
      </c>
      <c r="I937" s="16"/>
      <c r="J9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246.4</v>
      </c>
      <c r="K937" s="22"/>
      <c r="L937" s="23"/>
      <c r="M937" s="23">
        <f>SUM(Tabela174681012142230322681619252731333624210121416182426283038402481012141620222628303234362426810121424610122426244262628262681026286236[[#This Row],[Saldo no cartão]:[Recarga Pendente]])</f>
        <v>0</v>
      </c>
      <c r="N937" s="19">
        <f>Tabela174681012142230322681619252731333624210121416182426283038402481012141620222628303234362426810121424610122426244262628262681026286236[[#This Row],[Uso diário]]*2</f>
        <v>30.8</v>
      </c>
      <c r="O937" s="19">
        <f>Tabela174681012142230322681619252731333624210121416182426283038402481012141620222628303234362426810121424610122426244262628262681026286236[[#This Row],[Total Acumulado]]-P937</f>
        <v>-77</v>
      </c>
      <c r="P937" s="48">
        <f>Tabela174681012142230322681619252731333624210121416182426283038402481012141620222628303234362426810121424610122426244262628262681026286236[[#This Row],[Uso diário]]*5</f>
        <v>77</v>
      </c>
      <c r="Q9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246.4</v>
      </c>
      <c r="S9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7" s="25">
        <v>22</v>
      </c>
    </row>
    <row r="938" spans="1:20" s="26" customFormat="1" x14ac:dyDescent="0.25">
      <c r="A938" s="16">
        <v>227049</v>
      </c>
      <c r="B938" s="30" t="s">
        <v>449</v>
      </c>
      <c r="C938" s="20" t="s">
        <v>651</v>
      </c>
      <c r="D938" s="20" t="s">
        <v>716</v>
      </c>
      <c r="E938" s="20" t="s">
        <v>3388</v>
      </c>
      <c r="F938" s="20" t="s">
        <v>3389</v>
      </c>
      <c r="G938" s="21">
        <v>13.4</v>
      </c>
      <c r="H938" s="16">
        <v>7</v>
      </c>
      <c r="I938" s="16">
        <v>4</v>
      </c>
      <c r="J9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40.200000000000003</v>
      </c>
      <c r="K938" s="22"/>
      <c r="L938" s="23"/>
      <c r="M938" s="23">
        <f>SUM(Tabela174681012142230322681619252731333624210121416182426283038402481012141620222628303234362426810121424610122426244262628262681026286236[[#This Row],[Saldo no cartão]:[Recarga Pendente]])</f>
        <v>0</v>
      </c>
      <c r="N938" s="19">
        <f>Tabela174681012142230322681619252731333624210121416182426283038402481012141620222628303234362426810121424610122426244262628262681026286236[[#This Row],[Uso diário]]*2</f>
        <v>26.8</v>
      </c>
      <c r="O938" s="19">
        <f>Tabela174681012142230322681619252731333624210121416182426283038402481012141620222628303234362426810121424610122426244262628262681026286236[[#This Row],[Total Acumulado]]-P938</f>
        <v>-67</v>
      </c>
      <c r="P938" s="48">
        <f>Tabela174681012142230322681619252731333624210121416182426283038402481012141620222628303234362426810121424610122426244262628262681026286236[[#This Row],[Uso diário]]*5</f>
        <v>67</v>
      </c>
      <c r="Q9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40.200000000000003</v>
      </c>
      <c r="S9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8" s="25">
        <v>22</v>
      </c>
    </row>
    <row r="939" spans="1:20" s="26" customFormat="1" x14ac:dyDescent="0.25">
      <c r="A939" s="16">
        <v>228154</v>
      </c>
      <c r="B939" s="30" t="s">
        <v>450</v>
      </c>
      <c r="C939" s="20" t="s">
        <v>651</v>
      </c>
      <c r="D939" s="20" t="s">
        <v>719</v>
      </c>
      <c r="E939" s="20" t="s">
        <v>3390</v>
      </c>
      <c r="F939" s="20" t="s">
        <v>3391</v>
      </c>
      <c r="G939" s="21">
        <v>13.4</v>
      </c>
      <c r="H939" s="16">
        <v>16</v>
      </c>
      <c r="I939" s="16"/>
      <c r="J9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39" s="22"/>
      <c r="L939" s="23"/>
      <c r="M939" s="23">
        <f>SUM(Tabela174681012142230322681619252731333624210121416182426283038402481012141620222628303234362426810121424610122426244262628262681026286236[[#This Row],[Saldo no cartão]:[Recarga Pendente]])</f>
        <v>0</v>
      </c>
      <c r="N939" s="19">
        <f>Tabela174681012142230322681619252731333624210121416182426283038402481012141620222628303234362426810121424610122426244262628262681026286236[[#This Row],[Uso diário]]*2</f>
        <v>26.8</v>
      </c>
      <c r="O939" s="19">
        <f>Tabela174681012142230322681619252731333624210121416182426283038402481012141620222628303234362426810121424610122426244262628262681026286236[[#This Row],[Total Acumulado]]-P939</f>
        <v>-67</v>
      </c>
      <c r="P939" s="48">
        <f>Tabela174681012142230322681619252731333624210121416182426283038402481012141620222628303234362426810121424610122426244262628262681026286236[[#This Row],[Uso diário]]*5</f>
        <v>67</v>
      </c>
      <c r="Q9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39" s="25">
        <v>22</v>
      </c>
    </row>
    <row r="940" spans="1:20" s="26" customFormat="1" x14ac:dyDescent="0.25">
      <c r="A940" s="16">
        <v>228416</v>
      </c>
      <c r="B940" s="30" t="s">
        <v>1094</v>
      </c>
      <c r="C940" s="20" t="s">
        <v>651</v>
      </c>
      <c r="D940" s="20" t="s">
        <v>719</v>
      </c>
      <c r="E940" s="20" t="s">
        <v>3392</v>
      </c>
      <c r="F940" s="20" t="s">
        <v>3393</v>
      </c>
      <c r="G940" s="21">
        <v>18.8</v>
      </c>
      <c r="H940" s="16">
        <v>16</v>
      </c>
      <c r="I940" s="16">
        <v>3</v>
      </c>
      <c r="J9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940" s="22"/>
      <c r="L940" s="23"/>
      <c r="M940" s="23">
        <f>SUM(Tabela174681012142230322681619252731333624210121416182426283038402481012141620222628303234362426810121424610122426244262628262681026286236[[#This Row],[Saldo no cartão]:[Recarga Pendente]])</f>
        <v>0</v>
      </c>
      <c r="N940" s="19">
        <f>Tabela174681012142230322681619252731333624210121416182426283038402481012141620222628303234362426810121424610122426244262628262681026286236[[#This Row],[Uso diário]]*2</f>
        <v>37.6</v>
      </c>
      <c r="O940" s="19">
        <f>Tabela174681012142230322681619252731333624210121416182426283038402481012141620222628303234362426810121424610122426244262628262681026286236[[#This Row],[Total Acumulado]]-P940</f>
        <v>-94</v>
      </c>
      <c r="P940" s="48">
        <f>Tabela174681012142230322681619252731333624210121416182426283038402481012141620222628303234362426810121424610122426244262628262681026286236[[#This Row],[Uso diário]]*5</f>
        <v>94</v>
      </c>
      <c r="Q9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9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0" s="25">
        <v>22</v>
      </c>
    </row>
    <row r="941" spans="1:20" s="26" customFormat="1" x14ac:dyDescent="0.25">
      <c r="A941" s="16">
        <v>228988</v>
      </c>
      <c r="B941" s="30" t="s">
        <v>451</v>
      </c>
      <c r="C941" s="20" t="s">
        <v>651</v>
      </c>
      <c r="D941" s="20" t="s">
        <v>719</v>
      </c>
      <c r="E941" s="20" t="s">
        <v>3394</v>
      </c>
      <c r="F941" s="20" t="s">
        <v>3395</v>
      </c>
      <c r="G941" s="21">
        <v>13.4</v>
      </c>
      <c r="H941" s="16">
        <v>16</v>
      </c>
      <c r="I941" s="16"/>
      <c r="J9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1" s="22"/>
      <c r="L941" s="23"/>
      <c r="M941" s="23">
        <f>SUM(Tabela174681012142230322681619252731333624210121416182426283038402481012141620222628303234362426810121424610122426244262628262681026286236[[#This Row],[Saldo no cartão]:[Recarga Pendente]])</f>
        <v>0</v>
      </c>
      <c r="N941" s="19">
        <f>Tabela174681012142230322681619252731333624210121416182426283038402481012141620222628303234362426810121424610122426244262628262681026286236[[#This Row],[Uso diário]]*2</f>
        <v>26.8</v>
      </c>
      <c r="O941" s="19">
        <f>Tabela174681012142230322681619252731333624210121416182426283038402481012141620222628303234362426810121424610122426244262628262681026286236[[#This Row],[Total Acumulado]]-P941</f>
        <v>-67</v>
      </c>
      <c r="P941" s="48">
        <f>Tabela174681012142230322681619252731333624210121416182426283038402481012141620222628303234362426810121424610122426244262628262681026286236[[#This Row],[Uso diário]]*5</f>
        <v>67</v>
      </c>
      <c r="Q9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1" s="25">
        <v>22</v>
      </c>
    </row>
    <row r="942" spans="1:20" s="26" customFormat="1" x14ac:dyDescent="0.25">
      <c r="A942" s="16">
        <v>229431</v>
      </c>
      <c r="B942" s="30" t="s">
        <v>1220</v>
      </c>
      <c r="C942" s="20" t="s">
        <v>651</v>
      </c>
      <c r="D942" s="20" t="s">
        <v>719</v>
      </c>
      <c r="E942" s="20" t="s">
        <v>3396</v>
      </c>
      <c r="F942" s="20" t="s">
        <v>3397</v>
      </c>
      <c r="G942" s="21">
        <v>13.4</v>
      </c>
      <c r="H942" s="16">
        <v>16</v>
      </c>
      <c r="I942" s="16"/>
      <c r="J9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2" s="22"/>
      <c r="L942" s="23"/>
      <c r="M942" s="23">
        <f>SUM(Tabela174681012142230322681619252731333624210121416182426283038402481012141620222628303234362426810121424610122426244262628262681026286236[[#This Row],[Saldo no cartão]:[Recarga Pendente]])</f>
        <v>0</v>
      </c>
      <c r="N942" s="19">
        <f>Tabela174681012142230322681619252731333624210121416182426283038402481012141620222628303234362426810121424610122426244262628262681026286236[[#This Row],[Uso diário]]*2</f>
        <v>26.8</v>
      </c>
      <c r="O942" s="19">
        <f>Tabela174681012142230322681619252731333624210121416182426283038402481012141620222628303234362426810121424610122426244262628262681026286236[[#This Row],[Total Acumulado]]-P942</f>
        <v>-67</v>
      </c>
      <c r="P942" s="48">
        <f>Tabela174681012142230322681619252731333624210121416182426283038402481012141620222628303234362426810121424610122426244262628262681026286236[[#This Row],[Uso diário]]*5</f>
        <v>67</v>
      </c>
      <c r="Q9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2" s="25">
        <v>22</v>
      </c>
    </row>
    <row r="943" spans="1:20" s="26" customFormat="1" x14ac:dyDescent="0.25">
      <c r="A943" s="16">
        <v>229448</v>
      </c>
      <c r="B943" s="30" t="s">
        <v>452</v>
      </c>
      <c r="C943" s="20" t="s">
        <v>651</v>
      </c>
      <c r="D943" s="20" t="s">
        <v>719</v>
      </c>
      <c r="E943" s="20" t="s">
        <v>3398</v>
      </c>
      <c r="F943" s="20" t="s">
        <v>3399</v>
      </c>
      <c r="G943" s="21">
        <v>13.4</v>
      </c>
      <c r="H943" s="16">
        <v>16</v>
      </c>
      <c r="I943" s="16"/>
      <c r="J9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3" s="22"/>
      <c r="L943" s="23"/>
      <c r="M943" s="23">
        <f>SUM(Tabela174681012142230322681619252731333624210121416182426283038402481012141620222628303234362426810121424610122426244262628262681026286236[[#This Row],[Saldo no cartão]:[Recarga Pendente]])</f>
        <v>0</v>
      </c>
      <c r="N943" s="19">
        <f>Tabela174681012142230322681619252731333624210121416182426283038402481012141620222628303234362426810121424610122426244262628262681026286236[[#This Row],[Uso diário]]*2</f>
        <v>26.8</v>
      </c>
      <c r="O943" s="19">
        <f>Tabela174681012142230322681619252731333624210121416182426283038402481012141620222628303234362426810121424610122426244262628262681026286236[[#This Row],[Total Acumulado]]-P943</f>
        <v>-67</v>
      </c>
      <c r="P943" s="48">
        <f>Tabela174681012142230322681619252731333624210121416182426283038402481012141620222628303234362426810121424610122426244262628262681026286236[[#This Row],[Uso diário]]*5</f>
        <v>67</v>
      </c>
      <c r="Q9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3" s="25">
        <v>22</v>
      </c>
    </row>
    <row r="944" spans="1:20" s="26" customFormat="1" x14ac:dyDescent="0.25">
      <c r="A944" s="16">
        <v>229576</v>
      </c>
      <c r="B944" s="30" t="s">
        <v>453</v>
      </c>
      <c r="C944" s="20" t="s">
        <v>651</v>
      </c>
      <c r="D944" s="20" t="s">
        <v>719</v>
      </c>
      <c r="E944" s="20" t="s">
        <v>3400</v>
      </c>
      <c r="F944" s="20" t="s">
        <v>3401</v>
      </c>
      <c r="G944" s="21">
        <v>13.4</v>
      </c>
      <c r="H944" s="16">
        <v>16</v>
      </c>
      <c r="I944" s="16"/>
      <c r="J9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4" s="22"/>
      <c r="L944" s="23"/>
      <c r="M944" s="23">
        <f>SUM(Tabela174681012142230322681619252731333624210121416182426283038402481012141620222628303234362426810121424610122426244262628262681026286236[[#This Row],[Saldo no cartão]:[Recarga Pendente]])</f>
        <v>0</v>
      </c>
      <c r="N944" s="19">
        <f>Tabela174681012142230322681619252731333624210121416182426283038402481012141620222628303234362426810121424610122426244262628262681026286236[[#This Row],[Uso diário]]*2</f>
        <v>26.8</v>
      </c>
      <c r="O944" s="19">
        <f>Tabela174681012142230322681619252731333624210121416182426283038402481012141620222628303234362426810121424610122426244262628262681026286236[[#This Row],[Total Acumulado]]-P944</f>
        <v>-67</v>
      </c>
      <c r="P944" s="48">
        <f>Tabela174681012142230322681619252731333624210121416182426283038402481012141620222628303234362426810121424610122426244262628262681026286236[[#This Row],[Uso diário]]*5</f>
        <v>67</v>
      </c>
      <c r="Q9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4" s="25">
        <v>22</v>
      </c>
    </row>
    <row r="945" spans="1:20" s="26" customFormat="1" ht="22.5" x14ac:dyDescent="0.25">
      <c r="A945" s="16">
        <v>229582</v>
      </c>
      <c r="B945" s="30" t="s">
        <v>1295</v>
      </c>
      <c r="C945" s="20" t="s">
        <v>651</v>
      </c>
      <c r="D945" s="20" t="s">
        <v>719</v>
      </c>
      <c r="E945" s="20" t="s">
        <v>3402</v>
      </c>
      <c r="F945" s="20" t="s">
        <v>3403</v>
      </c>
      <c r="G945" s="21">
        <v>13.4</v>
      </c>
      <c r="H945" s="16">
        <v>3</v>
      </c>
      <c r="I945" s="16">
        <v>6</v>
      </c>
      <c r="J945" s="17">
        <v>0</v>
      </c>
      <c r="K945" s="22"/>
      <c r="L945" s="23"/>
      <c r="M945" s="23">
        <f>SUM(Tabela174681012142230322681619252731333624210121416182426283038402481012141620222628303234362426810121424610122426244262628262681026286236[[#This Row],[Saldo no cartão]:[Recarga Pendente]])</f>
        <v>0</v>
      </c>
      <c r="N945" s="19">
        <f>Tabela174681012142230322681619252731333624210121416182426283038402481012141620222628303234362426810121424610122426244262628262681026286236[[#This Row],[Uso diário]]*2</f>
        <v>26.8</v>
      </c>
      <c r="O945" s="19">
        <f>Tabela174681012142230322681619252731333624210121416182426283038402481012141620222628303234362426810121424610122426244262628262681026286236[[#This Row],[Total Acumulado]]-P945</f>
        <v>-67</v>
      </c>
      <c r="P945" s="48">
        <f>Tabela174681012142230322681619252731333624210121416182426283038402481012141620222628303234362426810121424610122426244262628262681026286236[[#This Row],[Uso diário]]*5</f>
        <v>67</v>
      </c>
      <c r="Q9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945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945" s="25">
        <v>22</v>
      </c>
    </row>
    <row r="946" spans="1:20" s="26" customFormat="1" x14ac:dyDescent="0.25">
      <c r="A946" s="16">
        <v>229583</v>
      </c>
      <c r="B946" s="30" t="s">
        <v>1497</v>
      </c>
      <c r="C946" s="20" t="s">
        <v>651</v>
      </c>
      <c r="D946" s="20" t="s">
        <v>719</v>
      </c>
      <c r="E946" s="20" t="s">
        <v>3404</v>
      </c>
      <c r="F946" s="20" t="s">
        <v>3405</v>
      </c>
      <c r="G946" s="21">
        <v>13.4</v>
      </c>
      <c r="H946" s="16">
        <v>16</v>
      </c>
      <c r="I946" s="16"/>
      <c r="J9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6" s="22"/>
      <c r="L946" s="23"/>
      <c r="M946" s="23">
        <f>SUM(Tabela174681012142230322681619252731333624210121416182426283038402481012141620222628303234362426810121424610122426244262628262681026286236[[#This Row],[Saldo no cartão]:[Recarga Pendente]])</f>
        <v>0</v>
      </c>
      <c r="N946" s="19">
        <f>Tabela174681012142230322681619252731333624210121416182426283038402481012141620222628303234362426810121424610122426244262628262681026286236[[#This Row],[Uso diário]]*2</f>
        <v>26.8</v>
      </c>
      <c r="O946" s="19">
        <f>Tabela174681012142230322681619252731333624210121416182426283038402481012141620222628303234362426810121424610122426244262628262681026286236[[#This Row],[Total Acumulado]]-P946</f>
        <v>-67</v>
      </c>
      <c r="P946" s="48">
        <f>Tabela174681012142230322681619252731333624210121416182426283038402481012141620222628303234362426810121424610122426244262628262681026286236[[#This Row],[Uso diário]]*5</f>
        <v>67</v>
      </c>
      <c r="Q9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6" s="25">
        <v>22</v>
      </c>
    </row>
    <row r="947" spans="1:20" s="26" customFormat="1" x14ac:dyDescent="0.25">
      <c r="A947" s="16">
        <v>229634</v>
      </c>
      <c r="B947" s="30" t="s">
        <v>457</v>
      </c>
      <c r="C947" s="20" t="s">
        <v>651</v>
      </c>
      <c r="D947" s="20" t="s">
        <v>719</v>
      </c>
      <c r="E947" s="20" t="s">
        <v>3406</v>
      </c>
      <c r="F947" s="20" t="s">
        <v>3407</v>
      </c>
      <c r="G947" s="21">
        <v>13.4</v>
      </c>
      <c r="H947" s="16">
        <v>16</v>
      </c>
      <c r="I947" s="16"/>
      <c r="J9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7" s="22"/>
      <c r="L947" s="23"/>
      <c r="M947" s="23">
        <f>SUM(Tabela174681012142230322681619252731333624210121416182426283038402481012141620222628303234362426810121424610122426244262628262681026286236[[#This Row],[Saldo no cartão]:[Recarga Pendente]])</f>
        <v>0</v>
      </c>
      <c r="N947" s="19">
        <f>Tabela174681012142230322681619252731333624210121416182426283038402481012141620222628303234362426810121424610122426244262628262681026286236[[#This Row],[Uso diário]]*2</f>
        <v>26.8</v>
      </c>
      <c r="O947" s="19">
        <f>Tabela174681012142230322681619252731333624210121416182426283038402481012141620222628303234362426810121424610122426244262628262681026286236[[#This Row],[Total Acumulado]]-P947</f>
        <v>-67</v>
      </c>
      <c r="P947" s="48">
        <f>Tabela174681012142230322681619252731333624210121416182426283038402481012141620222628303234362426810121424610122426244262628262681026286236[[#This Row],[Uso diário]]*5</f>
        <v>67</v>
      </c>
      <c r="Q9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7" s="25">
        <v>22</v>
      </c>
    </row>
    <row r="948" spans="1:20" s="26" customFormat="1" x14ac:dyDescent="0.25">
      <c r="A948" s="16">
        <v>229635</v>
      </c>
      <c r="B948" s="30" t="s">
        <v>458</v>
      </c>
      <c r="C948" s="20" t="s">
        <v>651</v>
      </c>
      <c r="D948" s="20" t="s">
        <v>719</v>
      </c>
      <c r="E948" s="20" t="s">
        <v>3408</v>
      </c>
      <c r="F948" s="20" t="s">
        <v>3409</v>
      </c>
      <c r="G948" s="21">
        <v>13.4</v>
      </c>
      <c r="H948" s="16">
        <v>16</v>
      </c>
      <c r="I948" s="16"/>
      <c r="J9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8" s="22"/>
      <c r="L948" s="23"/>
      <c r="M948" s="23">
        <f>SUM(Tabela174681012142230322681619252731333624210121416182426283038402481012141620222628303234362426810121424610122426244262628262681026286236[[#This Row],[Saldo no cartão]:[Recarga Pendente]])</f>
        <v>0</v>
      </c>
      <c r="N948" s="19">
        <f>Tabela174681012142230322681619252731333624210121416182426283038402481012141620222628303234362426810121424610122426244262628262681026286236[[#This Row],[Uso diário]]*2</f>
        <v>26.8</v>
      </c>
      <c r="O948" s="19">
        <f>Tabela174681012142230322681619252731333624210121416182426283038402481012141620222628303234362426810121424610122426244262628262681026286236[[#This Row],[Total Acumulado]]-P948</f>
        <v>-67</v>
      </c>
      <c r="P948" s="48">
        <f>Tabela174681012142230322681619252731333624210121416182426283038402481012141620222628303234362426810121424610122426244262628262681026286236[[#This Row],[Uso diário]]*5</f>
        <v>67</v>
      </c>
      <c r="Q9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8" s="25">
        <v>22</v>
      </c>
    </row>
    <row r="949" spans="1:20" s="26" customFormat="1" x14ac:dyDescent="0.25">
      <c r="A949" s="16">
        <v>230251</v>
      </c>
      <c r="B949" s="30" t="s">
        <v>459</v>
      </c>
      <c r="C949" s="20" t="s">
        <v>651</v>
      </c>
      <c r="D949" s="20" t="s">
        <v>717</v>
      </c>
      <c r="E949" s="20" t="s">
        <v>3410</v>
      </c>
      <c r="F949" s="20" t="s">
        <v>3411</v>
      </c>
      <c r="G949" s="21">
        <v>13.4</v>
      </c>
      <c r="H949" s="16">
        <v>16</v>
      </c>
      <c r="I949" s="16"/>
      <c r="J9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49" s="22"/>
      <c r="L949" s="23"/>
      <c r="M949" s="23">
        <f>SUM(Tabela174681012142230322681619252731333624210121416182426283038402481012141620222628303234362426810121424610122426244262628262681026286236[[#This Row],[Saldo no cartão]:[Recarga Pendente]])</f>
        <v>0</v>
      </c>
      <c r="N949" s="19">
        <f>Tabela174681012142230322681619252731333624210121416182426283038402481012141620222628303234362426810121424610122426244262628262681026286236[[#This Row],[Uso diário]]*2</f>
        <v>26.8</v>
      </c>
      <c r="O949" s="19">
        <f>Tabela174681012142230322681619252731333624210121416182426283038402481012141620222628303234362426810121424610122426244262628262681026286236[[#This Row],[Total Acumulado]]-P949</f>
        <v>-67</v>
      </c>
      <c r="P949" s="48">
        <f>Tabela174681012142230322681619252731333624210121416182426283038402481012141620222628303234362426810121424610122426244262628262681026286236[[#This Row],[Uso diário]]*5</f>
        <v>67</v>
      </c>
      <c r="Q9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49" s="25">
        <v>22</v>
      </c>
    </row>
    <row r="950" spans="1:20" s="26" customFormat="1" x14ac:dyDescent="0.25">
      <c r="A950" s="16">
        <v>230408</v>
      </c>
      <c r="B950" s="30" t="s">
        <v>460</v>
      </c>
      <c r="C950" s="20" t="s">
        <v>651</v>
      </c>
      <c r="D950" s="20" t="s">
        <v>716</v>
      </c>
      <c r="E950" s="20" t="s">
        <v>3412</v>
      </c>
      <c r="F950" s="20" t="s">
        <v>3413</v>
      </c>
      <c r="G950" s="21">
        <v>13.4</v>
      </c>
      <c r="H950" s="16">
        <v>16</v>
      </c>
      <c r="I950" s="16"/>
      <c r="J9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0" s="22"/>
      <c r="L950" s="23"/>
      <c r="M950" s="23">
        <f>SUM(Tabela174681012142230322681619252731333624210121416182426283038402481012141620222628303234362426810121424610122426244262628262681026286236[[#This Row],[Saldo no cartão]:[Recarga Pendente]])</f>
        <v>0</v>
      </c>
      <c r="N950" s="19">
        <f>Tabela174681012142230322681619252731333624210121416182426283038402481012141620222628303234362426810121424610122426244262628262681026286236[[#This Row],[Uso diário]]*2</f>
        <v>26.8</v>
      </c>
      <c r="O950" s="19">
        <f>Tabela174681012142230322681619252731333624210121416182426283038402481012141620222628303234362426810121424610122426244262628262681026286236[[#This Row],[Total Acumulado]]-P950</f>
        <v>-67</v>
      </c>
      <c r="P950" s="48">
        <f>Tabela174681012142230322681619252731333624210121416182426283038402481012141620222628303234362426810121424610122426244262628262681026286236[[#This Row],[Uso diário]]*5</f>
        <v>67</v>
      </c>
      <c r="Q9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0" s="25">
        <v>22</v>
      </c>
    </row>
    <row r="951" spans="1:20" s="26" customFormat="1" x14ac:dyDescent="0.25">
      <c r="A951" s="16">
        <v>230410</v>
      </c>
      <c r="B951" s="30" t="s">
        <v>461</v>
      </c>
      <c r="C951" s="20" t="s">
        <v>651</v>
      </c>
      <c r="D951" s="20" t="s">
        <v>719</v>
      </c>
      <c r="E951" s="20" t="s">
        <v>3414</v>
      </c>
      <c r="F951" s="20" t="s">
        <v>3415</v>
      </c>
      <c r="G951" s="21">
        <v>13.4</v>
      </c>
      <c r="H951" s="16">
        <v>16</v>
      </c>
      <c r="I951" s="16"/>
      <c r="J9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1" s="22"/>
      <c r="L951" s="23"/>
      <c r="M951" s="23">
        <f>SUM(Tabela174681012142230322681619252731333624210121416182426283038402481012141620222628303234362426810121424610122426244262628262681026286236[[#This Row],[Saldo no cartão]:[Recarga Pendente]])</f>
        <v>0</v>
      </c>
      <c r="N951" s="19">
        <f>Tabela174681012142230322681619252731333624210121416182426283038402481012141620222628303234362426810121424610122426244262628262681026286236[[#This Row],[Uso diário]]*2</f>
        <v>26.8</v>
      </c>
      <c r="O951" s="19">
        <f>Tabela174681012142230322681619252731333624210121416182426283038402481012141620222628303234362426810121424610122426244262628262681026286236[[#This Row],[Total Acumulado]]-P951</f>
        <v>-67</v>
      </c>
      <c r="P951" s="48">
        <f>Tabela174681012142230322681619252731333624210121416182426283038402481012141620222628303234362426810121424610122426244262628262681026286236[[#This Row],[Uso diário]]*5</f>
        <v>67</v>
      </c>
      <c r="Q9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1" s="25">
        <v>22</v>
      </c>
    </row>
    <row r="952" spans="1:20" s="26" customFormat="1" x14ac:dyDescent="0.25">
      <c r="A952" s="16">
        <v>230542</v>
      </c>
      <c r="B952" s="30" t="s">
        <v>462</v>
      </c>
      <c r="C952" s="20" t="s">
        <v>651</v>
      </c>
      <c r="D952" s="20" t="s">
        <v>716</v>
      </c>
      <c r="E952" s="20" t="s">
        <v>3416</v>
      </c>
      <c r="F952" s="20" t="s">
        <v>3417</v>
      </c>
      <c r="G952" s="21">
        <v>13.4</v>
      </c>
      <c r="H952" s="16">
        <v>16</v>
      </c>
      <c r="I952" s="16"/>
      <c r="J9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2" s="22"/>
      <c r="L952" s="23"/>
      <c r="M952" s="23">
        <f>SUM(Tabela174681012142230322681619252731333624210121416182426283038402481012141620222628303234362426810121424610122426244262628262681026286236[[#This Row],[Saldo no cartão]:[Recarga Pendente]])</f>
        <v>0</v>
      </c>
      <c r="N952" s="19">
        <f>Tabela174681012142230322681619252731333624210121416182426283038402481012141620222628303234362426810121424610122426244262628262681026286236[[#This Row],[Uso diário]]*2</f>
        <v>26.8</v>
      </c>
      <c r="O952" s="19">
        <f>Tabela174681012142230322681619252731333624210121416182426283038402481012141620222628303234362426810121424610122426244262628262681026286236[[#This Row],[Total Acumulado]]-P952</f>
        <v>-67</v>
      </c>
      <c r="P952" s="48">
        <f>Tabela174681012142230322681619252731333624210121416182426283038402481012141620222628303234362426810121424610122426244262628262681026286236[[#This Row],[Uso diário]]*5</f>
        <v>67</v>
      </c>
      <c r="Q9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2" s="25">
        <v>22</v>
      </c>
    </row>
    <row r="953" spans="1:20" s="26" customFormat="1" x14ac:dyDescent="0.25">
      <c r="A953" s="16">
        <v>230585</v>
      </c>
      <c r="B953" s="30" t="s">
        <v>1095</v>
      </c>
      <c r="C953" s="20" t="s">
        <v>651</v>
      </c>
      <c r="D953" s="20" t="s">
        <v>716</v>
      </c>
      <c r="E953" s="20" t="s">
        <v>3418</v>
      </c>
      <c r="F953" s="20" t="s">
        <v>3419</v>
      </c>
      <c r="G953" s="21">
        <v>13.4</v>
      </c>
      <c r="H953" s="16">
        <v>16</v>
      </c>
      <c r="I953" s="16">
        <v>8</v>
      </c>
      <c r="J9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107.2</v>
      </c>
      <c r="K953" s="22"/>
      <c r="L953" s="23"/>
      <c r="M953" s="23">
        <f>SUM(Tabela174681012142230322681619252731333624210121416182426283038402481012141620222628303234362426810121424610122426244262628262681026286236[[#This Row],[Saldo no cartão]:[Recarga Pendente]])</f>
        <v>0</v>
      </c>
      <c r="N953" s="19">
        <f>Tabela174681012142230322681619252731333624210121416182426283038402481012141620222628303234362426810121424610122426244262628262681026286236[[#This Row],[Uso diário]]*2</f>
        <v>26.8</v>
      </c>
      <c r="O953" s="19">
        <f>Tabela174681012142230322681619252731333624210121416182426283038402481012141620222628303234362426810121424610122426244262628262681026286236[[#This Row],[Total Acumulado]]-P953</f>
        <v>-67</v>
      </c>
      <c r="P953" s="48">
        <f>Tabela174681012142230322681619252731333624210121416182426283038402481012141620222628303234362426810121424610122426244262628262681026286236[[#This Row],[Uso diário]]*5</f>
        <v>67</v>
      </c>
      <c r="Q9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107.2</v>
      </c>
      <c r="S9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3" s="25">
        <v>22</v>
      </c>
    </row>
    <row r="954" spans="1:20" s="26" customFormat="1" x14ac:dyDescent="0.25">
      <c r="A954" s="16">
        <v>230618</v>
      </c>
      <c r="B954" s="30" t="s">
        <v>463</v>
      </c>
      <c r="C954" s="20" t="s">
        <v>651</v>
      </c>
      <c r="D954" s="20" t="s">
        <v>719</v>
      </c>
      <c r="E954" s="20" t="s">
        <v>3420</v>
      </c>
      <c r="F954" s="20" t="s">
        <v>3421</v>
      </c>
      <c r="G954" s="21">
        <v>13.4</v>
      </c>
      <c r="H954" s="16">
        <v>16</v>
      </c>
      <c r="I954" s="16">
        <v>1</v>
      </c>
      <c r="J9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54" s="22"/>
      <c r="L954" s="23">
        <v>35.700000000000003</v>
      </c>
      <c r="M954" s="23">
        <f>SUM(Tabela174681012142230322681619252731333624210121416182426283038402481012141620222628303234362426810121424610122426244262628262681026286236[[#This Row],[Saldo no cartão]:[Recarga Pendente]])</f>
        <v>35.700000000000003</v>
      </c>
      <c r="N954" s="19">
        <f>Tabela174681012142230322681619252731333624210121416182426283038402481012141620222628303234362426810121424610122426244262628262681026286236[[#This Row],[Uso diário]]*2</f>
        <v>26.8</v>
      </c>
      <c r="O954" s="19">
        <f>Tabela174681012142230322681619252731333624210121416182426283038402481012141620222628303234362426810121424610122426244262628262681026286236[[#This Row],[Total Acumulado]]-P954</f>
        <v>-31.299999999999997</v>
      </c>
      <c r="P954" s="48">
        <f>Tabela174681012142230322681619252731333624210121416182426283038402481012141620222628303234362426810121424610122426244262628262681026286236[[#This Row],[Uso diário]]*5</f>
        <v>67</v>
      </c>
      <c r="Q9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4" s="25">
        <v>22</v>
      </c>
    </row>
    <row r="955" spans="1:20" s="26" customFormat="1" x14ac:dyDescent="0.25">
      <c r="A955" s="16">
        <v>230619</v>
      </c>
      <c r="B955" s="30" t="s">
        <v>464</v>
      </c>
      <c r="C955" s="20" t="s">
        <v>651</v>
      </c>
      <c r="D955" s="20" t="s">
        <v>719</v>
      </c>
      <c r="E955" s="20" t="s">
        <v>3422</v>
      </c>
      <c r="F955" s="20" t="s">
        <v>3423</v>
      </c>
      <c r="G955" s="21">
        <v>13.4</v>
      </c>
      <c r="H955" s="16">
        <v>16</v>
      </c>
      <c r="I955" s="16"/>
      <c r="J9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5" s="22"/>
      <c r="L955" s="23"/>
      <c r="M955" s="23">
        <f>SUM(Tabela174681012142230322681619252731333624210121416182426283038402481012141620222628303234362426810121424610122426244262628262681026286236[[#This Row],[Saldo no cartão]:[Recarga Pendente]])</f>
        <v>0</v>
      </c>
      <c r="N955" s="19">
        <f>Tabela174681012142230322681619252731333624210121416182426283038402481012141620222628303234362426810121424610122426244262628262681026286236[[#This Row],[Uso diário]]*2</f>
        <v>26.8</v>
      </c>
      <c r="O955" s="19">
        <f>Tabela174681012142230322681619252731333624210121416182426283038402481012141620222628303234362426810121424610122426244262628262681026286236[[#This Row],[Total Acumulado]]-P955</f>
        <v>-67</v>
      </c>
      <c r="P955" s="48">
        <f>Tabela174681012142230322681619252731333624210121416182426283038402481012141620222628303234362426810121424610122426244262628262681026286236[[#This Row],[Uso diário]]*5</f>
        <v>67</v>
      </c>
      <c r="Q9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5" s="25">
        <v>22</v>
      </c>
    </row>
    <row r="956" spans="1:20" s="26" customFormat="1" x14ac:dyDescent="0.25">
      <c r="A956" s="16">
        <v>230642</v>
      </c>
      <c r="B956" s="30" t="s">
        <v>465</v>
      </c>
      <c r="C956" s="20" t="s">
        <v>651</v>
      </c>
      <c r="D956" s="20" t="s">
        <v>747</v>
      </c>
      <c r="E956" s="20" t="s">
        <v>3424</v>
      </c>
      <c r="F956" s="20" t="s">
        <v>3425</v>
      </c>
      <c r="G956" s="21">
        <v>13.4</v>
      </c>
      <c r="H956" s="16">
        <v>16</v>
      </c>
      <c r="I956" s="16"/>
      <c r="J9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6" s="22"/>
      <c r="L956" s="23">
        <v>11.9</v>
      </c>
      <c r="M956" s="23">
        <f>SUM(Tabela174681012142230322681619252731333624210121416182426283038402481012141620222628303234362426810121424610122426244262628262681026286236[[#This Row],[Saldo no cartão]:[Recarga Pendente]])</f>
        <v>11.9</v>
      </c>
      <c r="N956" s="19">
        <f>Tabela174681012142230322681619252731333624210121416182426283038402481012141620222628303234362426810121424610122426244262628262681026286236[[#This Row],[Uso diário]]*2</f>
        <v>26.8</v>
      </c>
      <c r="O956" s="19">
        <f>Tabela174681012142230322681619252731333624210121416182426283038402481012141620222628303234362426810121424610122426244262628262681026286236[[#This Row],[Total Acumulado]]-P956</f>
        <v>-55.1</v>
      </c>
      <c r="P956" s="48">
        <f>Tabela174681012142230322681619252731333624210121416182426283038402481012141620222628303234362426810121424610122426244262628262681026286236[[#This Row],[Uso diário]]*5</f>
        <v>67</v>
      </c>
      <c r="Q9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6" s="25">
        <v>22</v>
      </c>
    </row>
    <row r="957" spans="1:20" s="26" customFormat="1" x14ac:dyDescent="0.25">
      <c r="A957" s="16">
        <v>230718</v>
      </c>
      <c r="B957" s="30" t="s">
        <v>559</v>
      </c>
      <c r="C957" s="20" t="s">
        <v>651</v>
      </c>
      <c r="D957" s="20" t="s">
        <v>719</v>
      </c>
      <c r="E957" s="20" t="s">
        <v>3426</v>
      </c>
      <c r="F957" s="20" t="s">
        <v>3427</v>
      </c>
      <c r="G957" s="21">
        <v>13.4</v>
      </c>
      <c r="H957" s="16">
        <v>16</v>
      </c>
      <c r="I957" s="16"/>
      <c r="J9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7" s="22"/>
      <c r="L957" s="23"/>
      <c r="M957" s="23">
        <f>SUM(Tabela174681012142230322681619252731333624210121416182426283038402481012141620222628303234362426810121424610122426244262628262681026286236[[#This Row],[Saldo no cartão]:[Recarga Pendente]])</f>
        <v>0</v>
      </c>
      <c r="N957" s="19">
        <f>Tabela174681012142230322681619252731333624210121416182426283038402481012141620222628303234362426810121424610122426244262628262681026286236[[#This Row],[Uso diário]]*2</f>
        <v>26.8</v>
      </c>
      <c r="O957" s="19">
        <f>Tabela174681012142230322681619252731333624210121416182426283038402481012141620222628303234362426810121424610122426244262628262681026286236[[#This Row],[Total Acumulado]]-P957</f>
        <v>-67</v>
      </c>
      <c r="P957" s="48">
        <f>Tabela174681012142230322681619252731333624210121416182426283038402481012141620222628303234362426810121424610122426244262628262681026286236[[#This Row],[Uso diário]]*5</f>
        <v>67</v>
      </c>
      <c r="Q9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7" s="25">
        <v>22</v>
      </c>
    </row>
    <row r="958" spans="1:20" s="26" customFormat="1" x14ac:dyDescent="0.25">
      <c r="A958" s="16">
        <v>230748</v>
      </c>
      <c r="B958" s="30" t="s">
        <v>572</v>
      </c>
      <c r="C958" s="20" t="s">
        <v>651</v>
      </c>
      <c r="D958" s="20" t="s">
        <v>719</v>
      </c>
      <c r="E958" s="20" t="s">
        <v>3428</v>
      </c>
      <c r="F958" s="20" t="s">
        <v>3429</v>
      </c>
      <c r="G958" s="21">
        <v>13.4</v>
      </c>
      <c r="H958" s="16">
        <v>16</v>
      </c>
      <c r="I958" s="16">
        <v>1</v>
      </c>
      <c r="J9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58" s="22"/>
      <c r="L958" s="23"/>
      <c r="M958" s="23">
        <f>SUM(Tabela174681012142230322681619252731333624210121416182426283038402481012141620222628303234362426810121424610122426244262628262681026286236[[#This Row],[Saldo no cartão]:[Recarga Pendente]])</f>
        <v>0</v>
      </c>
      <c r="N958" s="19">
        <f>Tabela174681012142230322681619252731333624210121416182426283038402481012141620222628303234362426810121424610122426244262628262681026286236[[#This Row],[Uso diário]]*2</f>
        <v>26.8</v>
      </c>
      <c r="O958" s="19">
        <f>Tabela174681012142230322681619252731333624210121416182426283038402481012141620222628303234362426810121424610122426244262628262681026286236[[#This Row],[Total Acumulado]]-P958</f>
        <v>-67</v>
      </c>
      <c r="P958" s="48">
        <f>Tabela174681012142230322681619252731333624210121416182426283038402481012141620222628303234362426810121424610122426244262628262681026286236[[#This Row],[Uso diário]]*5</f>
        <v>67</v>
      </c>
      <c r="Q9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8" s="25">
        <v>22</v>
      </c>
    </row>
    <row r="959" spans="1:20" s="26" customFormat="1" x14ac:dyDescent="0.25">
      <c r="A959" s="16">
        <v>230826</v>
      </c>
      <c r="B959" s="30" t="s">
        <v>466</v>
      </c>
      <c r="C959" s="20" t="s">
        <v>651</v>
      </c>
      <c r="D959" s="20" t="s">
        <v>716</v>
      </c>
      <c r="E959" s="20" t="s">
        <v>3430</v>
      </c>
      <c r="F959" s="20" t="s">
        <v>3431</v>
      </c>
      <c r="G959" s="21">
        <v>13.4</v>
      </c>
      <c r="H959" s="16">
        <v>16</v>
      </c>
      <c r="I959" s="16"/>
      <c r="J9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59" s="22"/>
      <c r="L959" s="23"/>
      <c r="M959" s="23">
        <f>SUM(Tabela174681012142230322681619252731333624210121416182426283038402481012141620222628303234362426810121424610122426244262628262681026286236[[#This Row],[Saldo no cartão]:[Recarga Pendente]])</f>
        <v>0</v>
      </c>
      <c r="N959" s="19">
        <f>Tabela174681012142230322681619252731333624210121416182426283038402481012141620222628303234362426810121424610122426244262628262681026286236[[#This Row],[Uso diário]]*2</f>
        <v>26.8</v>
      </c>
      <c r="O959" s="19">
        <f>Tabela174681012142230322681619252731333624210121416182426283038402481012141620222628303234362426810121424610122426244262628262681026286236[[#This Row],[Total Acumulado]]-P959</f>
        <v>-67</v>
      </c>
      <c r="P959" s="48">
        <f>Tabela174681012142230322681619252731333624210121416182426283038402481012141620222628303234362426810121424610122426244262628262681026286236[[#This Row],[Uso diário]]*5</f>
        <v>67</v>
      </c>
      <c r="Q9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59" s="25">
        <v>22</v>
      </c>
    </row>
    <row r="960" spans="1:20" s="26" customFormat="1" x14ac:dyDescent="0.25">
      <c r="A960" s="16">
        <v>230938</v>
      </c>
      <c r="B960" s="30" t="s">
        <v>467</v>
      </c>
      <c r="C960" s="20" t="s">
        <v>651</v>
      </c>
      <c r="D960" s="20" t="s">
        <v>716</v>
      </c>
      <c r="E960" s="20" t="s">
        <v>3432</v>
      </c>
      <c r="F960" s="20" t="s">
        <v>3433</v>
      </c>
      <c r="G960" s="21">
        <v>13.4</v>
      </c>
      <c r="H960" s="16">
        <v>16</v>
      </c>
      <c r="I960" s="16">
        <v>1</v>
      </c>
      <c r="J9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60" s="22"/>
      <c r="L960" s="23"/>
      <c r="M960" s="23">
        <f>SUM(Tabela174681012142230322681619252731333624210121416182426283038402481012141620222628303234362426810121424610122426244262628262681026286236[[#This Row],[Saldo no cartão]:[Recarga Pendente]])</f>
        <v>0</v>
      </c>
      <c r="N960" s="19">
        <f>Tabela174681012142230322681619252731333624210121416182426283038402481012141620222628303234362426810121424610122426244262628262681026286236[[#This Row],[Uso diário]]*2</f>
        <v>26.8</v>
      </c>
      <c r="O960" s="19">
        <f>Tabela174681012142230322681619252731333624210121416182426283038402481012141620222628303234362426810121424610122426244262628262681026286236[[#This Row],[Total Acumulado]]-P960</f>
        <v>-67</v>
      </c>
      <c r="P960" s="48">
        <f>Tabela174681012142230322681619252731333624210121416182426283038402481012141620222628303234362426810121424610122426244262628262681026286236[[#This Row],[Uso diário]]*5</f>
        <v>67</v>
      </c>
      <c r="Q9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0" s="25">
        <v>22</v>
      </c>
    </row>
    <row r="961" spans="1:20" s="26" customFormat="1" x14ac:dyDescent="0.25">
      <c r="A961" s="16">
        <v>231007</v>
      </c>
      <c r="B961" s="30" t="s">
        <v>584</v>
      </c>
      <c r="C961" s="20" t="s">
        <v>651</v>
      </c>
      <c r="D961" s="20" t="s">
        <v>716</v>
      </c>
      <c r="E961" s="20" t="s">
        <v>3434</v>
      </c>
      <c r="F961" s="20" t="s">
        <v>3435</v>
      </c>
      <c r="G961" s="21">
        <v>13.4</v>
      </c>
      <c r="H961" s="16">
        <v>16</v>
      </c>
      <c r="I961" s="16">
        <v>9</v>
      </c>
      <c r="J9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93.8</v>
      </c>
      <c r="K961" s="22"/>
      <c r="L961" s="23"/>
      <c r="M961" s="23">
        <f>SUM(Tabela174681012142230322681619252731333624210121416182426283038402481012141620222628303234362426810121424610122426244262628262681026286236[[#This Row],[Saldo no cartão]:[Recarga Pendente]])</f>
        <v>0</v>
      </c>
      <c r="N961" s="19">
        <f>Tabela174681012142230322681619252731333624210121416182426283038402481012141620222628303234362426810121424610122426244262628262681026286236[[#This Row],[Uso diário]]*2</f>
        <v>26.8</v>
      </c>
      <c r="O961" s="19">
        <f>Tabela174681012142230322681619252731333624210121416182426283038402481012141620222628303234362426810121424610122426244262628262681026286236[[#This Row],[Total Acumulado]]-P961</f>
        <v>-67</v>
      </c>
      <c r="P961" s="48">
        <f>Tabela174681012142230322681619252731333624210121416182426283038402481012141620222628303234362426810121424610122426244262628262681026286236[[#This Row],[Uso diário]]*5</f>
        <v>67</v>
      </c>
      <c r="Q9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93.8</v>
      </c>
      <c r="S9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1" s="25">
        <v>22</v>
      </c>
    </row>
    <row r="962" spans="1:20" s="26" customFormat="1" x14ac:dyDescent="0.25">
      <c r="A962" s="16">
        <v>231137</v>
      </c>
      <c r="B962" s="30" t="s">
        <v>1221</v>
      </c>
      <c r="C962" s="20" t="s">
        <v>651</v>
      </c>
      <c r="D962" s="20" t="s">
        <v>719</v>
      </c>
      <c r="E962" s="20" t="s">
        <v>3436</v>
      </c>
      <c r="F962" s="20" t="s">
        <v>3437</v>
      </c>
      <c r="G962" s="21">
        <v>13.4</v>
      </c>
      <c r="H962" s="16">
        <v>16</v>
      </c>
      <c r="I962" s="16">
        <v>5</v>
      </c>
      <c r="J9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147.4</v>
      </c>
      <c r="K962" s="22"/>
      <c r="L962" s="23"/>
      <c r="M962" s="23">
        <f>SUM(Tabela174681012142230322681619252731333624210121416182426283038402481012141620222628303234362426810121424610122426244262628262681026286236[[#This Row],[Saldo no cartão]:[Recarga Pendente]])</f>
        <v>0</v>
      </c>
      <c r="N962" s="19">
        <f>Tabela174681012142230322681619252731333624210121416182426283038402481012141620222628303234362426810121424610122426244262628262681026286236[[#This Row],[Uso diário]]*2</f>
        <v>26.8</v>
      </c>
      <c r="O962" s="19">
        <f>Tabela174681012142230322681619252731333624210121416182426283038402481012141620222628303234362426810121424610122426244262628262681026286236[[#This Row],[Total Acumulado]]-P962</f>
        <v>-67</v>
      </c>
      <c r="P962" s="48">
        <f>Tabela174681012142230322681619252731333624210121416182426283038402481012141620222628303234362426810121424610122426244262628262681026286236[[#This Row],[Uso diário]]*5</f>
        <v>67</v>
      </c>
      <c r="Q9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147.4</v>
      </c>
      <c r="S9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2" s="25">
        <v>22</v>
      </c>
    </row>
    <row r="963" spans="1:20" s="26" customFormat="1" x14ac:dyDescent="0.25">
      <c r="A963" s="16">
        <v>231481</v>
      </c>
      <c r="B963" s="30" t="s">
        <v>795</v>
      </c>
      <c r="C963" s="20" t="s">
        <v>651</v>
      </c>
      <c r="D963" s="20" t="s">
        <v>716</v>
      </c>
      <c r="E963" s="20" t="s">
        <v>3438</v>
      </c>
      <c r="F963" s="20" t="s">
        <v>3439</v>
      </c>
      <c r="G963" s="21">
        <v>13.4</v>
      </c>
      <c r="H963" s="16">
        <v>16</v>
      </c>
      <c r="I963" s="16">
        <v>3</v>
      </c>
      <c r="J9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174.20000000000002</v>
      </c>
      <c r="K963" s="22"/>
      <c r="L963" s="23"/>
      <c r="M963" s="23">
        <f>SUM(Tabela174681012142230322681619252731333624210121416182426283038402481012141620222628303234362426810121424610122426244262628262681026286236[[#This Row],[Saldo no cartão]:[Recarga Pendente]])</f>
        <v>0</v>
      </c>
      <c r="N963" s="19">
        <f>Tabela174681012142230322681619252731333624210121416182426283038402481012141620222628303234362426810121424610122426244262628262681026286236[[#This Row],[Uso diário]]*2</f>
        <v>26.8</v>
      </c>
      <c r="O963" s="19">
        <f>Tabela174681012142230322681619252731333624210121416182426283038402481012141620222628303234362426810121424610122426244262628262681026286236[[#This Row],[Total Acumulado]]-P963</f>
        <v>-67</v>
      </c>
      <c r="P963" s="48">
        <f>Tabela174681012142230322681619252731333624210121416182426283038402481012141620222628303234362426810121424610122426244262628262681026286236[[#This Row],[Uso diário]]*5</f>
        <v>67</v>
      </c>
      <c r="Q9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174.20000000000002</v>
      </c>
      <c r="S9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3" s="25">
        <v>22</v>
      </c>
    </row>
    <row r="964" spans="1:20" s="26" customFormat="1" x14ac:dyDescent="0.25">
      <c r="A964" s="16">
        <v>231510</v>
      </c>
      <c r="B964" s="30" t="s">
        <v>796</v>
      </c>
      <c r="C964" s="20" t="s">
        <v>651</v>
      </c>
      <c r="D964" s="20" t="s">
        <v>716</v>
      </c>
      <c r="E964" s="20" t="s">
        <v>3440</v>
      </c>
      <c r="F964" s="20" t="s">
        <v>3441</v>
      </c>
      <c r="G964" s="21">
        <v>13.4</v>
      </c>
      <c r="H964" s="16">
        <v>16</v>
      </c>
      <c r="I964" s="16"/>
      <c r="J9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64" s="22"/>
      <c r="L964" s="23"/>
      <c r="M964" s="23">
        <f>SUM(Tabela174681012142230322681619252731333624210121416182426283038402481012141620222628303234362426810121424610122426244262628262681026286236[[#This Row],[Saldo no cartão]:[Recarga Pendente]])</f>
        <v>0</v>
      </c>
      <c r="N964" s="19">
        <f>Tabela174681012142230322681619252731333624210121416182426283038402481012141620222628303234362426810121424610122426244262628262681026286236[[#This Row],[Uso diário]]*2</f>
        <v>26.8</v>
      </c>
      <c r="O964" s="19">
        <f>Tabela174681012142230322681619252731333624210121416182426283038402481012141620222628303234362426810121424610122426244262628262681026286236[[#This Row],[Total Acumulado]]-P964</f>
        <v>-67</v>
      </c>
      <c r="P964" s="48">
        <f>Tabela174681012142230322681619252731333624210121416182426283038402481012141620222628303234362426810121424610122426244262628262681026286236[[#This Row],[Uso diário]]*5</f>
        <v>67</v>
      </c>
      <c r="Q9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4" s="25">
        <v>22</v>
      </c>
    </row>
    <row r="965" spans="1:20" s="26" customFormat="1" x14ac:dyDescent="0.25">
      <c r="A965" s="16">
        <v>231579</v>
      </c>
      <c r="B965" s="30" t="s">
        <v>917</v>
      </c>
      <c r="C965" s="20" t="s">
        <v>651</v>
      </c>
      <c r="D965" s="20" t="s">
        <v>716</v>
      </c>
      <c r="E965" s="20" t="s">
        <v>3442</v>
      </c>
      <c r="F965" s="20" t="s">
        <v>3443</v>
      </c>
      <c r="G965" s="21">
        <v>13.4</v>
      </c>
      <c r="H965" s="16">
        <v>16</v>
      </c>
      <c r="I965" s="16"/>
      <c r="J9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65" s="22"/>
      <c r="L965" s="23"/>
      <c r="M965" s="23">
        <f>SUM(Tabela174681012142230322681619252731333624210121416182426283038402481012141620222628303234362426810121424610122426244262628262681026286236[[#This Row],[Saldo no cartão]:[Recarga Pendente]])</f>
        <v>0</v>
      </c>
      <c r="N965" s="19">
        <f>Tabela174681012142230322681619252731333624210121416182426283038402481012141620222628303234362426810121424610122426244262628262681026286236[[#This Row],[Uso diário]]*2</f>
        <v>26.8</v>
      </c>
      <c r="O965" s="19">
        <f>Tabela174681012142230322681619252731333624210121416182426283038402481012141620222628303234362426810121424610122426244262628262681026286236[[#This Row],[Total Acumulado]]-P965</f>
        <v>-67</v>
      </c>
      <c r="P965" s="48">
        <f>Tabela174681012142230322681619252731333624210121416182426283038402481012141620222628303234362426810121424610122426244262628262681026286236[[#This Row],[Uso diário]]*5</f>
        <v>67</v>
      </c>
      <c r="Q9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5" s="25">
        <v>22</v>
      </c>
    </row>
    <row r="966" spans="1:20" s="26" customFormat="1" x14ac:dyDescent="0.25">
      <c r="A966" s="16">
        <v>231606</v>
      </c>
      <c r="B966" s="30" t="s">
        <v>848</v>
      </c>
      <c r="C966" s="20" t="s">
        <v>651</v>
      </c>
      <c r="D966" s="20" t="s">
        <v>719</v>
      </c>
      <c r="E966" s="20" t="s">
        <v>3444</v>
      </c>
      <c r="F966" s="20" t="s">
        <v>3445</v>
      </c>
      <c r="G966" s="21">
        <v>13.4</v>
      </c>
      <c r="H966" s="16">
        <v>16</v>
      </c>
      <c r="I966" s="16"/>
      <c r="J9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66" s="22"/>
      <c r="L966" s="23"/>
      <c r="M966" s="23">
        <f>SUM(Tabela174681012142230322681619252731333624210121416182426283038402481012141620222628303234362426810121424610122426244262628262681026286236[[#This Row],[Saldo no cartão]:[Recarga Pendente]])</f>
        <v>0</v>
      </c>
      <c r="N966" s="19">
        <f>Tabela174681012142230322681619252731333624210121416182426283038402481012141620222628303234362426810121424610122426244262628262681026286236[[#This Row],[Uso diário]]*2</f>
        <v>26.8</v>
      </c>
      <c r="O966" s="19">
        <f>Tabela174681012142230322681619252731333624210121416182426283038402481012141620222628303234362426810121424610122426244262628262681026286236[[#This Row],[Total Acumulado]]-P966</f>
        <v>-67</v>
      </c>
      <c r="P966" s="48">
        <f>Tabela174681012142230322681619252731333624210121416182426283038402481012141620222628303234362426810121424610122426244262628262681026286236[[#This Row],[Uso diário]]*5</f>
        <v>67</v>
      </c>
      <c r="Q9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6" s="25">
        <v>22</v>
      </c>
    </row>
    <row r="967" spans="1:20" s="26" customFormat="1" x14ac:dyDescent="0.25">
      <c r="A967" s="16">
        <v>231693</v>
      </c>
      <c r="B967" s="30" t="s">
        <v>849</v>
      </c>
      <c r="C967" s="20" t="s">
        <v>651</v>
      </c>
      <c r="D967" s="20" t="s">
        <v>716</v>
      </c>
      <c r="E967" s="20" t="s">
        <v>3446</v>
      </c>
      <c r="F967" s="20" t="s">
        <v>3447</v>
      </c>
      <c r="G967" s="21">
        <v>13.4</v>
      </c>
      <c r="H967" s="16">
        <v>16</v>
      </c>
      <c r="I967" s="16"/>
      <c r="J9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67" s="22"/>
      <c r="L967" s="23"/>
      <c r="M967" s="23">
        <f>SUM(Tabela174681012142230322681619252731333624210121416182426283038402481012141620222628303234362426810121424610122426244262628262681026286236[[#This Row],[Saldo no cartão]:[Recarga Pendente]])</f>
        <v>0</v>
      </c>
      <c r="N967" s="19">
        <f>Tabela174681012142230322681619252731333624210121416182426283038402481012141620222628303234362426810121424610122426244262628262681026286236[[#This Row],[Uso diário]]*2</f>
        <v>26.8</v>
      </c>
      <c r="O967" s="19">
        <f>Tabela174681012142230322681619252731333624210121416182426283038402481012141620222628303234362426810121424610122426244262628262681026286236[[#This Row],[Total Acumulado]]-P967</f>
        <v>-67</v>
      </c>
      <c r="P967" s="48">
        <f>Tabela174681012142230322681619252731333624210121416182426283038402481012141620222628303234362426810121424610122426244262628262681026286236[[#This Row],[Uso diário]]*5</f>
        <v>67</v>
      </c>
      <c r="Q9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7" s="25">
        <v>22</v>
      </c>
    </row>
    <row r="968" spans="1:20" s="26" customFormat="1" x14ac:dyDescent="0.25">
      <c r="A968" s="16">
        <v>231898</v>
      </c>
      <c r="B968" s="30" t="s">
        <v>850</v>
      </c>
      <c r="C968" s="20" t="s">
        <v>651</v>
      </c>
      <c r="D968" s="20" t="s">
        <v>716</v>
      </c>
      <c r="E968" s="20" t="s">
        <v>3448</v>
      </c>
      <c r="F968" s="20" t="s">
        <v>3449</v>
      </c>
      <c r="G968" s="21">
        <v>13.4</v>
      </c>
      <c r="H968" s="16">
        <v>26</v>
      </c>
      <c r="I968" s="16"/>
      <c r="J9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68" s="22"/>
      <c r="L968" s="23"/>
      <c r="M968" s="23">
        <f>SUM(Tabela174681012142230322681619252731333624210121416182426283038402481012141620222628303234362426810121424610122426244262628262681026286236[[#This Row],[Saldo no cartão]:[Recarga Pendente]])</f>
        <v>0</v>
      </c>
      <c r="N968" s="19">
        <f>Tabela174681012142230322681619252731333624210121416182426283038402481012141620222628303234362426810121424610122426244262628262681026286236[[#This Row],[Uso diário]]*2</f>
        <v>26.8</v>
      </c>
      <c r="O968" s="19">
        <f>Tabela174681012142230322681619252731333624210121416182426283038402481012141620222628303234362426810121424610122426244262628262681026286236[[#This Row],[Total Acumulado]]-P968</f>
        <v>-67</v>
      </c>
      <c r="P968" s="48">
        <f>Tabela174681012142230322681619252731333624210121416182426283038402481012141620222628303234362426810121424610122426244262628262681026286236[[#This Row],[Uso diário]]*5</f>
        <v>67</v>
      </c>
      <c r="Q9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8" s="25">
        <v>22</v>
      </c>
    </row>
    <row r="969" spans="1:20" s="26" customFormat="1" x14ac:dyDescent="0.25">
      <c r="A969" s="16">
        <v>231995</v>
      </c>
      <c r="B969" s="30" t="s">
        <v>851</v>
      </c>
      <c r="C969" s="20" t="s">
        <v>651</v>
      </c>
      <c r="D969" s="20" t="s">
        <v>719</v>
      </c>
      <c r="E969" s="20" t="s">
        <v>3450</v>
      </c>
      <c r="F969" s="20" t="s">
        <v>3451</v>
      </c>
      <c r="G969" s="21">
        <v>13.4</v>
      </c>
      <c r="H969" s="16">
        <v>16</v>
      </c>
      <c r="I969" s="16">
        <v>1</v>
      </c>
      <c r="J9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69" s="22"/>
      <c r="L969" s="23"/>
      <c r="M969" s="23">
        <f>SUM(Tabela174681012142230322681619252731333624210121416182426283038402481012141620222628303234362426810121424610122426244262628262681026286236[[#This Row],[Saldo no cartão]:[Recarga Pendente]])</f>
        <v>0</v>
      </c>
      <c r="N969" s="19">
        <f>Tabela174681012142230322681619252731333624210121416182426283038402481012141620222628303234362426810121424610122426244262628262681026286236[[#This Row],[Uso diário]]*2</f>
        <v>26.8</v>
      </c>
      <c r="O969" s="19">
        <f>Tabela174681012142230322681619252731333624210121416182426283038402481012141620222628303234362426810121424610122426244262628262681026286236[[#This Row],[Total Acumulado]]-P969</f>
        <v>-67</v>
      </c>
      <c r="P969" s="48">
        <f>Tabela174681012142230322681619252731333624210121416182426283038402481012141620222628303234362426810121424610122426244262628262681026286236[[#This Row],[Uso diário]]*5</f>
        <v>67</v>
      </c>
      <c r="Q9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69" s="25">
        <v>22</v>
      </c>
    </row>
    <row r="970" spans="1:20" s="26" customFormat="1" x14ac:dyDescent="0.25">
      <c r="A970" s="16">
        <v>232482</v>
      </c>
      <c r="B970" s="30" t="s">
        <v>918</v>
      </c>
      <c r="C970" s="20" t="s">
        <v>651</v>
      </c>
      <c r="D970" s="20" t="s">
        <v>716</v>
      </c>
      <c r="E970" s="20" t="s">
        <v>3452</v>
      </c>
      <c r="F970" s="20" t="s">
        <v>3453</v>
      </c>
      <c r="G970" s="21">
        <v>13.4</v>
      </c>
      <c r="H970" s="16">
        <v>16</v>
      </c>
      <c r="I970" s="16">
        <v>2</v>
      </c>
      <c r="J9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187.6</v>
      </c>
      <c r="K970" s="22"/>
      <c r="L970" s="23"/>
      <c r="M970" s="23">
        <f>SUM(Tabela174681012142230322681619252731333624210121416182426283038402481012141620222628303234362426810121424610122426244262628262681026286236[[#This Row],[Saldo no cartão]:[Recarga Pendente]])</f>
        <v>0</v>
      </c>
      <c r="N970" s="19">
        <f>Tabela174681012142230322681619252731333624210121416182426283038402481012141620222628303234362426810121424610122426244262628262681026286236[[#This Row],[Uso diário]]*2</f>
        <v>26.8</v>
      </c>
      <c r="O970" s="19">
        <f>Tabela174681012142230322681619252731333624210121416182426283038402481012141620222628303234362426810121424610122426244262628262681026286236[[#This Row],[Total Acumulado]]-P970</f>
        <v>-67</v>
      </c>
      <c r="P970" s="48">
        <f>Tabela174681012142230322681619252731333624210121416182426283038402481012141620222628303234362426810121424610122426244262628262681026286236[[#This Row],[Uso diário]]*5</f>
        <v>67</v>
      </c>
      <c r="Q9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187.6</v>
      </c>
      <c r="S9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0" s="25">
        <v>22</v>
      </c>
    </row>
    <row r="971" spans="1:20" s="26" customFormat="1" x14ac:dyDescent="0.25">
      <c r="A971" s="16">
        <v>232867</v>
      </c>
      <c r="B971" s="30" t="s">
        <v>946</v>
      </c>
      <c r="C971" s="20" t="s">
        <v>651</v>
      </c>
      <c r="D971" s="20" t="s">
        <v>716</v>
      </c>
      <c r="E971" s="20" t="s">
        <v>3454</v>
      </c>
      <c r="F971" s="20" t="s">
        <v>3455</v>
      </c>
      <c r="G971" s="21">
        <v>13.4</v>
      </c>
      <c r="H971" s="16">
        <v>16</v>
      </c>
      <c r="I971" s="16">
        <v>11</v>
      </c>
      <c r="J9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67</v>
      </c>
      <c r="K971" s="22"/>
      <c r="L971" s="23"/>
      <c r="M971" s="23">
        <f>SUM(Tabela174681012142230322681619252731333624210121416182426283038402481012141620222628303234362426810121424610122426244262628262681026286236[[#This Row],[Saldo no cartão]:[Recarga Pendente]])</f>
        <v>0</v>
      </c>
      <c r="N971" s="19">
        <f>Tabela174681012142230322681619252731333624210121416182426283038402481012141620222628303234362426810121424610122426244262628262681026286236[[#This Row],[Uso diário]]*2</f>
        <v>26.8</v>
      </c>
      <c r="O971" s="19">
        <f>Tabela174681012142230322681619252731333624210121416182426283038402481012141620222628303234362426810121424610122426244262628262681026286236[[#This Row],[Total Acumulado]]-P971</f>
        <v>-67</v>
      </c>
      <c r="P971" s="48">
        <f>Tabela174681012142230322681619252731333624210121416182426283038402481012141620222628303234362426810121424610122426244262628262681026286236[[#This Row],[Uso diário]]*5</f>
        <v>67</v>
      </c>
      <c r="Q9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67</v>
      </c>
      <c r="S9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1" s="25">
        <v>22</v>
      </c>
    </row>
    <row r="972" spans="1:20" s="26" customFormat="1" x14ac:dyDescent="0.25">
      <c r="A972" s="16">
        <v>233081</v>
      </c>
      <c r="B972" s="30" t="s">
        <v>1006</v>
      </c>
      <c r="C972" s="20" t="s">
        <v>651</v>
      </c>
      <c r="D972" s="20" t="s">
        <v>716</v>
      </c>
      <c r="E972" s="20" t="s">
        <v>3456</v>
      </c>
      <c r="F972" s="20" t="s">
        <v>3457</v>
      </c>
      <c r="G972" s="21">
        <v>13.4</v>
      </c>
      <c r="H972" s="16">
        <v>26</v>
      </c>
      <c r="I972" s="16"/>
      <c r="J9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972" s="22"/>
      <c r="L972" s="23"/>
      <c r="M972" s="23">
        <f>SUM(Tabela174681012142230322681619252731333624210121416182426283038402481012141620222628303234362426810121424610122426244262628262681026286236[[#This Row],[Saldo no cartão]:[Recarga Pendente]])</f>
        <v>0</v>
      </c>
      <c r="N972" s="19">
        <f>Tabela174681012142230322681619252731333624210121416182426283038402481012141620222628303234362426810121424610122426244262628262681026286236[[#This Row],[Uso diário]]*2</f>
        <v>26.8</v>
      </c>
      <c r="O972" s="19">
        <f>Tabela174681012142230322681619252731333624210121416182426283038402481012141620222628303234362426810121424610122426244262628262681026286236[[#This Row],[Total Acumulado]]-P972</f>
        <v>-67</v>
      </c>
      <c r="P972" s="48">
        <f>Tabela174681012142230322681619252731333624210121416182426283038402481012141620222628303234362426810121424610122426244262628262681026286236[[#This Row],[Uso diário]]*5</f>
        <v>67</v>
      </c>
      <c r="Q9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9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2" s="25">
        <v>22</v>
      </c>
    </row>
    <row r="973" spans="1:20" s="26" customFormat="1" x14ac:dyDescent="0.25">
      <c r="A973" s="16">
        <v>233170</v>
      </c>
      <c r="B973" s="30" t="s">
        <v>1007</v>
      </c>
      <c r="C973" s="20" t="s">
        <v>651</v>
      </c>
      <c r="D973" s="20" t="s">
        <v>716</v>
      </c>
      <c r="E973" s="20" t="s">
        <v>3458</v>
      </c>
      <c r="F973" s="20" t="s">
        <v>3459</v>
      </c>
      <c r="G973" s="21">
        <v>15.4</v>
      </c>
      <c r="H973" s="16">
        <v>16</v>
      </c>
      <c r="I973" s="16">
        <v>3</v>
      </c>
      <c r="J9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200.20000000000002</v>
      </c>
      <c r="K973" s="22"/>
      <c r="L973" s="23"/>
      <c r="M973" s="23">
        <f>SUM(Tabela174681012142230322681619252731333624210121416182426283038402481012141620222628303234362426810121424610122426244262628262681026286236[[#This Row],[Saldo no cartão]:[Recarga Pendente]])</f>
        <v>0</v>
      </c>
      <c r="N973" s="19">
        <f>Tabela174681012142230322681619252731333624210121416182426283038402481012141620222628303234362426810121424610122426244262628262681026286236[[#This Row],[Uso diário]]*2</f>
        <v>30.8</v>
      </c>
      <c r="O973" s="19">
        <f>Tabela174681012142230322681619252731333624210121416182426283038402481012141620222628303234362426810121424610122426244262628262681026286236[[#This Row],[Total Acumulado]]-P973</f>
        <v>-77</v>
      </c>
      <c r="P973" s="48">
        <f>Tabela174681012142230322681619252731333624210121416182426283038402481012141620222628303234362426810121424610122426244262628262681026286236[[#This Row],[Uso diário]]*5</f>
        <v>77</v>
      </c>
      <c r="Q9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200.20000000000002</v>
      </c>
      <c r="S9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3" s="25">
        <v>22</v>
      </c>
    </row>
    <row r="974" spans="1:20" s="26" customFormat="1" x14ac:dyDescent="0.25">
      <c r="A974" s="16">
        <v>233299</v>
      </c>
      <c r="B974" s="30" t="s">
        <v>1096</v>
      </c>
      <c r="C974" s="20" t="s">
        <v>651</v>
      </c>
      <c r="D974" s="20" t="s">
        <v>719</v>
      </c>
      <c r="E974" s="20" t="s">
        <v>3460</v>
      </c>
      <c r="F974" s="20" t="s">
        <v>3461</v>
      </c>
      <c r="G974" s="21">
        <v>13.4</v>
      </c>
      <c r="H974" s="16">
        <v>16</v>
      </c>
      <c r="I974" s="16"/>
      <c r="J9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74" s="22"/>
      <c r="L974" s="23"/>
      <c r="M974" s="23">
        <f>SUM(Tabela174681012142230322681619252731333624210121416182426283038402481012141620222628303234362426810121424610122426244262628262681026286236[[#This Row],[Saldo no cartão]:[Recarga Pendente]])</f>
        <v>0</v>
      </c>
      <c r="N974" s="19">
        <f>Tabela174681012142230322681619252731333624210121416182426283038402481012141620222628303234362426810121424610122426244262628262681026286236[[#This Row],[Uso diário]]*2</f>
        <v>26.8</v>
      </c>
      <c r="O974" s="19">
        <f>Tabela174681012142230322681619252731333624210121416182426283038402481012141620222628303234362426810121424610122426244262628262681026286236[[#This Row],[Total Acumulado]]-P974</f>
        <v>-67</v>
      </c>
      <c r="P974" s="48">
        <f>Tabela174681012142230322681619252731333624210121416182426283038402481012141620222628303234362426810121424610122426244262628262681026286236[[#This Row],[Uso diário]]*5</f>
        <v>67</v>
      </c>
      <c r="Q9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4" s="25">
        <v>22</v>
      </c>
    </row>
    <row r="975" spans="1:20" s="26" customFormat="1" x14ac:dyDescent="0.25">
      <c r="A975" s="16">
        <v>233340</v>
      </c>
      <c r="B975" s="30" t="s">
        <v>1097</v>
      </c>
      <c r="C975" s="20" t="s">
        <v>651</v>
      </c>
      <c r="D975" s="20" t="s">
        <v>716</v>
      </c>
      <c r="E975" s="20" t="s">
        <v>3462</v>
      </c>
      <c r="F975" s="20" t="s">
        <v>3463</v>
      </c>
      <c r="G975" s="21">
        <v>13.4</v>
      </c>
      <c r="H975" s="16">
        <v>16</v>
      </c>
      <c r="I975" s="16">
        <v>3</v>
      </c>
      <c r="J9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174.20000000000002</v>
      </c>
      <c r="K975" s="22"/>
      <c r="L975" s="23"/>
      <c r="M975" s="23">
        <f>SUM(Tabela174681012142230322681619252731333624210121416182426283038402481012141620222628303234362426810121424610122426244262628262681026286236[[#This Row],[Saldo no cartão]:[Recarga Pendente]])</f>
        <v>0</v>
      </c>
      <c r="N975" s="19">
        <f>Tabela174681012142230322681619252731333624210121416182426283038402481012141620222628303234362426810121424610122426244262628262681026286236[[#This Row],[Uso diário]]*2</f>
        <v>26.8</v>
      </c>
      <c r="O975" s="19">
        <f>Tabela174681012142230322681619252731333624210121416182426283038402481012141620222628303234362426810121424610122426244262628262681026286236[[#This Row],[Total Acumulado]]-P975</f>
        <v>-67</v>
      </c>
      <c r="P975" s="48">
        <f>Tabela174681012142230322681619252731333624210121416182426283038402481012141620222628303234362426810121424610122426244262628262681026286236[[#This Row],[Uso diário]]*5</f>
        <v>67</v>
      </c>
      <c r="Q9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174.20000000000002</v>
      </c>
      <c r="S9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5" s="25">
        <v>22</v>
      </c>
    </row>
    <row r="976" spans="1:20" s="26" customFormat="1" x14ac:dyDescent="0.25">
      <c r="A976" s="16">
        <v>233389</v>
      </c>
      <c r="B976" s="30" t="s">
        <v>1098</v>
      </c>
      <c r="C976" s="20" t="s">
        <v>651</v>
      </c>
      <c r="D976" s="20" t="s">
        <v>719</v>
      </c>
      <c r="E976" s="20" t="s">
        <v>3464</v>
      </c>
      <c r="F976" s="20" t="s">
        <v>3465</v>
      </c>
      <c r="G976" s="21">
        <v>18.8</v>
      </c>
      <c r="H976" s="16">
        <v>16</v>
      </c>
      <c r="I976" s="16">
        <v>3</v>
      </c>
      <c r="J9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976" s="22"/>
      <c r="L976" s="23"/>
      <c r="M976" s="23">
        <f>SUM(Tabela174681012142230322681619252731333624210121416182426283038402481012141620222628303234362426810121424610122426244262628262681026286236[[#This Row],[Saldo no cartão]:[Recarga Pendente]])</f>
        <v>0</v>
      </c>
      <c r="N976" s="19">
        <f>Tabela174681012142230322681619252731333624210121416182426283038402481012141620222628303234362426810121424610122426244262628262681026286236[[#This Row],[Uso diário]]*2</f>
        <v>37.6</v>
      </c>
      <c r="O976" s="19">
        <f>Tabela174681012142230322681619252731333624210121416182426283038402481012141620222628303234362426810121424610122426244262628262681026286236[[#This Row],[Total Acumulado]]-P976</f>
        <v>-94</v>
      </c>
      <c r="P976" s="48">
        <f>Tabela174681012142230322681619252731333624210121416182426283038402481012141620222628303234362426810121424610122426244262628262681026286236[[#This Row],[Uso diário]]*5</f>
        <v>94</v>
      </c>
      <c r="Q9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9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6" s="25">
        <v>22</v>
      </c>
    </row>
    <row r="977" spans="1:20" s="26" customFormat="1" x14ac:dyDescent="0.25">
      <c r="A977" s="16">
        <v>233390</v>
      </c>
      <c r="B977" s="30" t="s">
        <v>1099</v>
      </c>
      <c r="C977" s="20" t="s">
        <v>651</v>
      </c>
      <c r="D977" s="20" t="s">
        <v>716</v>
      </c>
      <c r="E977" s="20" t="s">
        <v>3466</v>
      </c>
      <c r="F977" s="20" t="s">
        <v>3467</v>
      </c>
      <c r="G977" s="21">
        <v>13.4</v>
      </c>
      <c r="H977" s="16">
        <v>16</v>
      </c>
      <c r="I977" s="16"/>
      <c r="J9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77" s="22"/>
      <c r="L977" s="23"/>
      <c r="M977" s="23">
        <f>SUM(Tabela174681012142230322681619252731333624210121416182426283038402481012141620222628303234362426810121424610122426244262628262681026286236[[#This Row],[Saldo no cartão]:[Recarga Pendente]])</f>
        <v>0</v>
      </c>
      <c r="N977" s="19">
        <f>Tabela174681012142230322681619252731333624210121416182426283038402481012141620222628303234362426810121424610122426244262628262681026286236[[#This Row],[Uso diário]]*2</f>
        <v>26.8</v>
      </c>
      <c r="O977" s="19">
        <f>Tabela174681012142230322681619252731333624210121416182426283038402481012141620222628303234362426810121424610122426244262628262681026286236[[#This Row],[Total Acumulado]]-P977</f>
        <v>-67</v>
      </c>
      <c r="P977" s="48">
        <f>Tabela174681012142230322681619252731333624210121416182426283038402481012141620222628303234362426810121424610122426244262628262681026286236[[#This Row],[Uso diário]]*5</f>
        <v>67</v>
      </c>
      <c r="Q9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7" s="25">
        <v>22</v>
      </c>
    </row>
    <row r="978" spans="1:20" s="26" customFormat="1" x14ac:dyDescent="0.25">
      <c r="A978" s="16">
        <v>233420</v>
      </c>
      <c r="B978" s="30" t="s">
        <v>1100</v>
      </c>
      <c r="C978" s="20" t="s">
        <v>651</v>
      </c>
      <c r="D978" s="20" t="s">
        <v>719</v>
      </c>
      <c r="E978" s="20" t="s">
        <v>3468</v>
      </c>
      <c r="F978" s="20" t="s">
        <v>3469</v>
      </c>
      <c r="G978" s="21">
        <v>13.4</v>
      </c>
      <c r="H978" s="16">
        <v>16</v>
      </c>
      <c r="I978" s="16"/>
      <c r="J9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78" s="22"/>
      <c r="L978" s="23"/>
      <c r="M978" s="23">
        <f>SUM(Tabela174681012142230322681619252731333624210121416182426283038402481012141620222628303234362426810121424610122426244262628262681026286236[[#This Row],[Saldo no cartão]:[Recarga Pendente]])</f>
        <v>0</v>
      </c>
      <c r="N978" s="19">
        <f>Tabela174681012142230322681619252731333624210121416182426283038402481012141620222628303234362426810121424610122426244262628262681026286236[[#This Row],[Uso diário]]*2</f>
        <v>26.8</v>
      </c>
      <c r="O978" s="19">
        <f>Tabela174681012142230322681619252731333624210121416182426283038402481012141620222628303234362426810121424610122426244262628262681026286236[[#This Row],[Total Acumulado]]-P978</f>
        <v>-67</v>
      </c>
      <c r="P978" s="48">
        <f>Tabela174681012142230322681619252731333624210121416182426283038402481012141620222628303234362426810121424610122426244262628262681026286236[[#This Row],[Uso diário]]*5</f>
        <v>67</v>
      </c>
      <c r="Q9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8" s="25">
        <v>22</v>
      </c>
    </row>
    <row r="979" spans="1:20" s="26" customFormat="1" x14ac:dyDescent="0.25">
      <c r="A979" s="16">
        <v>233474</v>
      </c>
      <c r="B979" s="30" t="s">
        <v>1101</v>
      </c>
      <c r="C979" s="20" t="s">
        <v>651</v>
      </c>
      <c r="D979" s="20" t="s">
        <v>719</v>
      </c>
      <c r="E979" s="20" t="s">
        <v>3470</v>
      </c>
      <c r="F979" s="20" t="s">
        <v>3471</v>
      </c>
      <c r="G979" s="21">
        <v>13.4</v>
      </c>
      <c r="H979" s="16">
        <v>16</v>
      </c>
      <c r="I979" s="16">
        <v>1</v>
      </c>
      <c r="J9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79" s="22"/>
      <c r="L979" s="23"/>
      <c r="M979" s="23">
        <f>SUM(Tabela174681012142230322681619252731333624210121416182426283038402481012141620222628303234362426810121424610122426244262628262681026286236[[#This Row],[Saldo no cartão]:[Recarga Pendente]])</f>
        <v>0</v>
      </c>
      <c r="N979" s="19">
        <f>Tabela174681012142230322681619252731333624210121416182426283038402481012141620222628303234362426810121424610122426244262628262681026286236[[#This Row],[Uso diário]]*2</f>
        <v>26.8</v>
      </c>
      <c r="O979" s="19">
        <f>Tabela174681012142230322681619252731333624210121416182426283038402481012141620222628303234362426810121424610122426244262628262681026286236[[#This Row],[Total Acumulado]]-P979</f>
        <v>-67</v>
      </c>
      <c r="P979" s="48">
        <f>Tabela174681012142230322681619252731333624210121416182426283038402481012141620222628303234362426810121424610122426244262628262681026286236[[#This Row],[Uso diário]]*5</f>
        <v>67</v>
      </c>
      <c r="Q9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79" s="25">
        <v>22</v>
      </c>
    </row>
    <row r="980" spans="1:20" s="26" customFormat="1" x14ac:dyDescent="0.25">
      <c r="A980" s="16">
        <v>233563</v>
      </c>
      <c r="B980" s="30" t="s">
        <v>1102</v>
      </c>
      <c r="C980" s="20" t="s">
        <v>651</v>
      </c>
      <c r="D980" s="20" t="s">
        <v>716</v>
      </c>
      <c r="E980" s="20" t="s">
        <v>3472</v>
      </c>
      <c r="F980" s="20" t="s">
        <v>3473</v>
      </c>
      <c r="G980" s="21">
        <v>13.4</v>
      </c>
      <c r="H980" s="16">
        <v>16</v>
      </c>
      <c r="I980" s="16">
        <v>1</v>
      </c>
      <c r="J9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980" s="22"/>
      <c r="L980" s="23"/>
      <c r="M980" s="23">
        <f>SUM(Tabela174681012142230322681619252731333624210121416182426283038402481012141620222628303234362426810121424610122426244262628262681026286236[[#This Row],[Saldo no cartão]:[Recarga Pendente]])</f>
        <v>0</v>
      </c>
      <c r="N980" s="19">
        <f>Tabela174681012142230322681619252731333624210121416182426283038402481012141620222628303234362426810121424610122426244262628262681026286236[[#This Row],[Uso diário]]*2</f>
        <v>26.8</v>
      </c>
      <c r="O980" s="19">
        <f>Tabela174681012142230322681619252731333624210121416182426283038402481012141620222628303234362426810121424610122426244262628262681026286236[[#This Row],[Total Acumulado]]-P980</f>
        <v>-67</v>
      </c>
      <c r="P980" s="48">
        <f>Tabela174681012142230322681619252731333624210121416182426283038402481012141620222628303234362426810121424610122426244262628262681026286236[[#This Row],[Uso diário]]*5</f>
        <v>67</v>
      </c>
      <c r="Q9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9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0" s="25">
        <v>22</v>
      </c>
    </row>
    <row r="981" spans="1:20" s="26" customFormat="1" x14ac:dyDescent="0.25">
      <c r="A981" s="16">
        <v>233572</v>
      </c>
      <c r="B981" s="30" t="s">
        <v>1103</v>
      </c>
      <c r="C981" s="20" t="s">
        <v>651</v>
      </c>
      <c r="D981" s="20" t="s">
        <v>716</v>
      </c>
      <c r="E981" s="20" t="s">
        <v>3474</v>
      </c>
      <c r="F981" s="20" t="s">
        <v>3475</v>
      </c>
      <c r="G981" s="21">
        <v>13.4</v>
      </c>
      <c r="H981" s="16">
        <v>16</v>
      </c>
      <c r="I981" s="16"/>
      <c r="J9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1" s="22"/>
      <c r="L981" s="23"/>
      <c r="M981" s="23">
        <f>SUM(Tabela174681012142230322681619252731333624210121416182426283038402481012141620222628303234362426810121424610122426244262628262681026286236[[#This Row],[Saldo no cartão]:[Recarga Pendente]])</f>
        <v>0</v>
      </c>
      <c r="N981" s="19">
        <f>Tabela174681012142230322681619252731333624210121416182426283038402481012141620222628303234362426810121424610122426244262628262681026286236[[#This Row],[Uso diário]]*2</f>
        <v>26.8</v>
      </c>
      <c r="O981" s="19">
        <f>Tabela174681012142230322681619252731333624210121416182426283038402481012141620222628303234362426810121424610122426244262628262681026286236[[#This Row],[Total Acumulado]]-P981</f>
        <v>-67</v>
      </c>
      <c r="P981" s="48">
        <f>Tabela174681012142230322681619252731333624210121416182426283038402481012141620222628303234362426810121424610122426244262628262681026286236[[#This Row],[Uso diário]]*5</f>
        <v>67</v>
      </c>
      <c r="Q9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1" s="25">
        <v>22</v>
      </c>
    </row>
    <row r="982" spans="1:20" s="26" customFormat="1" x14ac:dyDescent="0.25">
      <c r="A982" s="16">
        <v>233899</v>
      </c>
      <c r="B982" s="30" t="s">
        <v>1104</v>
      </c>
      <c r="C982" s="20" t="s">
        <v>651</v>
      </c>
      <c r="D982" s="20" t="s">
        <v>716</v>
      </c>
      <c r="E982" s="20" t="s">
        <v>3476</v>
      </c>
      <c r="F982" s="20" t="s">
        <v>3477</v>
      </c>
      <c r="G982" s="21">
        <v>13.4</v>
      </c>
      <c r="H982" s="16">
        <v>16</v>
      </c>
      <c r="I982" s="16"/>
      <c r="J9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2" s="22"/>
      <c r="L982" s="23"/>
      <c r="M982" s="23">
        <f>SUM(Tabela174681012142230322681619252731333624210121416182426283038402481012141620222628303234362426810121424610122426244262628262681026286236[[#This Row],[Saldo no cartão]:[Recarga Pendente]])</f>
        <v>0</v>
      </c>
      <c r="N982" s="19">
        <f>Tabela174681012142230322681619252731333624210121416182426283038402481012141620222628303234362426810121424610122426244262628262681026286236[[#This Row],[Uso diário]]*2</f>
        <v>26.8</v>
      </c>
      <c r="O982" s="19">
        <f>Tabela174681012142230322681619252731333624210121416182426283038402481012141620222628303234362426810121424610122426244262628262681026286236[[#This Row],[Total Acumulado]]-P982</f>
        <v>-67</v>
      </c>
      <c r="P982" s="48">
        <f>Tabela174681012142230322681619252731333624210121416182426283038402481012141620222628303234362426810121424610122426244262628262681026286236[[#This Row],[Uso diário]]*5</f>
        <v>67</v>
      </c>
      <c r="Q9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2" s="25">
        <v>22</v>
      </c>
    </row>
    <row r="983" spans="1:20" s="26" customFormat="1" x14ac:dyDescent="0.25">
      <c r="A983" s="16">
        <v>233954</v>
      </c>
      <c r="B983" s="30" t="s">
        <v>1222</v>
      </c>
      <c r="C983" s="20" t="s">
        <v>651</v>
      </c>
      <c r="D983" s="20" t="s">
        <v>716</v>
      </c>
      <c r="E983" s="20" t="s">
        <v>3478</v>
      </c>
      <c r="F983" s="20" t="s">
        <v>3479</v>
      </c>
      <c r="G983" s="21">
        <v>13.4</v>
      </c>
      <c r="H983" s="16">
        <v>16</v>
      </c>
      <c r="I983" s="16"/>
      <c r="J9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3" s="22"/>
      <c r="L983" s="23"/>
      <c r="M983" s="23">
        <f>SUM(Tabela174681012142230322681619252731333624210121416182426283038402481012141620222628303234362426810121424610122426244262628262681026286236[[#This Row],[Saldo no cartão]:[Recarga Pendente]])</f>
        <v>0</v>
      </c>
      <c r="N983" s="19">
        <f>Tabela174681012142230322681619252731333624210121416182426283038402481012141620222628303234362426810121424610122426244262628262681026286236[[#This Row],[Uso diário]]*2</f>
        <v>26.8</v>
      </c>
      <c r="O983" s="19">
        <f>Tabela174681012142230322681619252731333624210121416182426283038402481012141620222628303234362426810121424610122426244262628262681026286236[[#This Row],[Total Acumulado]]-P983</f>
        <v>-67</v>
      </c>
      <c r="P983" s="48">
        <f>Tabela174681012142230322681619252731333624210121416182426283038402481012141620222628303234362426810121424610122426244262628262681026286236[[#This Row],[Uso diário]]*5</f>
        <v>67</v>
      </c>
      <c r="Q9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3" s="25">
        <v>22</v>
      </c>
    </row>
    <row r="984" spans="1:20" s="26" customFormat="1" x14ac:dyDescent="0.25">
      <c r="A984" s="16">
        <v>234447</v>
      </c>
      <c r="B984" s="30" t="s">
        <v>1296</v>
      </c>
      <c r="C984" s="20" t="s">
        <v>651</v>
      </c>
      <c r="D984" s="20" t="s">
        <v>716</v>
      </c>
      <c r="E984" s="20" t="s">
        <v>3480</v>
      </c>
      <c r="F984" s="20" t="s">
        <v>3481</v>
      </c>
      <c r="G984" s="21">
        <v>13.4</v>
      </c>
      <c r="H984" s="16">
        <v>16</v>
      </c>
      <c r="I984" s="16"/>
      <c r="J9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4" s="22"/>
      <c r="L984" s="23"/>
      <c r="M984" s="23">
        <f>SUM(Tabela174681012142230322681619252731333624210121416182426283038402481012141620222628303234362426810121424610122426244262628262681026286236[[#This Row],[Saldo no cartão]:[Recarga Pendente]])</f>
        <v>0</v>
      </c>
      <c r="N984" s="19">
        <f>Tabela174681012142230322681619252731333624210121416182426283038402481012141620222628303234362426810121424610122426244262628262681026286236[[#This Row],[Uso diário]]*2</f>
        <v>26.8</v>
      </c>
      <c r="O984" s="19">
        <f>Tabela174681012142230322681619252731333624210121416182426283038402481012141620222628303234362426810121424610122426244262628262681026286236[[#This Row],[Total Acumulado]]-P984</f>
        <v>-67</v>
      </c>
      <c r="P984" s="48">
        <f>Tabela174681012142230322681619252731333624210121416182426283038402481012141620222628303234362426810121424610122426244262628262681026286236[[#This Row],[Uso diário]]*5</f>
        <v>67</v>
      </c>
      <c r="Q9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4" s="25">
        <v>22</v>
      </c>
    </row>
    <row r="985" spans="1:20" s="26" customFormat="1" x14ac:dyDescent="0.25">
      <c r="A985" s="16">
        <v>234506</v>
      </c>
      <c r="B985" s="30" t="s">
        <v>1297</v>
      </c>
      <c r="C985" s="20" t="s">
        <v>651</v>
      </c>
      <c r="D985" s="20" t="s">
        <v>716</v>
      </c>
      <c r="E985" s="20" t="s">
        <v>3482</v>
      </c>
      <c r="F985" s="20" t="s">
        <v>3483</v>
      </c>
      <c r="G985" s="21">
        <v>13.4</v>
      </c>
      <c r="H985" s="16">
        <v>16</v>
      </c>
      <c r="I985" s="16"/>
      <c r="J9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5" s="22"/>
      <c r="L985" s="23"/>
      <c r="M985" s="23">
        <f>SUM(Tabela174681012142230322681619252731333624210121416182426283038402481012141620222628303234362426810121424610122426244262628262681026286236[[#This Row],[Saldo no cartão]:[Recarga Pendente]])</f>
        <v>0</v>
      </c>
      <c r="N985" s="19">
        <f>Tabela174681012142230322681619252731333624210121416182426283038402481012141620222628303234362426810121424610122426244262628262681026286236[[#This Row],[Uso diário]]*2</f>
        <v>26.8</v>
      </c>
      <c r="O985" s="19">
        <f>Tabela174681012142230322681619252731333624210121416182426283038402481012141620222628303234362426810121424610122426244262628262681026286236[[#This Row],[Total Acumulado]]-P985</f>
        <v>-67</v>
      </c>
      <c r="P985" s="48">
        <f>Tabela174681012142230322681619252731333624210121416182426283038402481012141620222628303234362426810121424610122426244262628262681026286236[[#This Row],[Uso diário]]*5</f>
        <v>67</v>
      </c>
      <c r="Q9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5" s="25">
        <v>22</v>
      </c>
    </row>
    <row r="986" spans="1:20" s="26" customFormat="1" x14ac:dyDescent="0.25">
      <c r="A986" s="16">
        <v>234661</v>
      </c>
      <c r="B986" s="30" t="s">
        <v>1327</v>
      </c>
      <c r="C986" s="20" t="s">
        <v>651</v>
      </c>
      <c r="D986" s="20" t="s">
        <v>716</v>
      </c>
      <c r="E986" s="20" t="s">
        <v>3484</v>
      </c>
      <c r="F986" s="20" t="s">
        <v>3485</v>
      </c>
      <c r="G986" s="21">
        <v>13.4</v>
      </c>
      <c r="H986" s="16">
        <v>16</v>
      </c>
      <c r="I986" s="16"/>
      <c r="J9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6" s="22"/>
      <c r="L986" s="23"/>
      <c r="M986" s="23">
        <f>SUM(Tabela174681012142230322681619252731333624210121416182426283038402481012141620222628303234362426810121424610122426244262628262681026286236[[#This Row],[Saldo no cartão]:[Recarga Pendente]])</f>
        <v>0</v>
      </c>
      <c r="N986" s="19">
        <f>Tabela174681012142230322681619252731333624210121416182426283038402481012141620222628303234362426810121424610122426244262628262681026286236[[#This Row],[Uso diário]]*2</f>
        <v>26.8</v>
      </c>
      <c r="O986" s="19">
        <f>Tabela174681012142230322681619252731333624210121416182426283038402481012141620222628303234362426810121424610122426244262628262681026286236[[#This Row],[Total Acumulado]]-P986</f>
        <v>-67</v>
      </c>
      <c r="P986" s="48">
        <f>Tabela174681012142230322681619252731333624210121416182426283038402481012141620222628303234362426810121424610122426244262628262681026286236[[#This Row],[Uso diário]]*5</f>
        <v>67</v>
      </c>
      <c r="Q9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6" s="25">
        <v>22</v>
      </c>
    </row>
    <row r="987" spans="1:20" s="26" customFormat="1" x14ac:dyDescent="0.25">
      <c r="A987" s="16">
        <v>234878</v>
      </c>
      <c r="B987" s="30" t="s">
        <v>1498</v>
      </c>
      <c r="C987" s="20" t="s">
        <v>651</v>
      </c>
      <c r="D987" s="20" t="s">
        <v>716</v>
      </c>
      <c r="E987" s="20" t="s">
        <v>3486</v>
      </c>
      <c r="F987" s="20" t="s">
        <v>3487</v>
      </c>
      <c r="G987" s="21">
        <v>13.4</v>
      </c>
      <c r="H987" s="16">
        <v>16</v>
      </c>
      <c r="I987" s="16"/>
      <c r="J9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987" s="22"/>
      <c r="L987" s="23"/>
      <c r="M987" s="23">
        <f>SUM(Tabela174681012142230322681619252731333624210121416182426283038402481012141620222628303234362426810121424610122426244262628262681026286236[[#This Row],[Saldo no cartão]:[Recarga Pendente]])</f>
        <v>0</v>
      </c>
      <c r="N987" s="19">
        <f>Tabela174681012142230322681619252731333624210121416182426283038402481012141620222628303234362426810121424610122426244262628262681026286236[[#This Row],[Uso diário]]*2</f>
        <v>26.8</v>
      </c>
      <c r="O987" s="19">
        <f>Tabela174681012142230322681619252731333624210121416182426283038402481012141620222628303234362426810121424610122426244262628262681026286236[[#This Row],[Total Acumulado]]-P987</f>
        <v>-67</v>
      </c>
      <c r="P987" s="48">
        <f>Tabela174681012142230322681619252731333624210121416182426283038402481012141620222628303234362426810121424610122426244262628262681026286236[[#This Row],[Uso diário]]*5</f>
        <v>67</v>
      </c>
      <c r="Q9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9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7" s="25">
        <v>22</v>
      </c>
    </row>
    <row r="988" spans="1:20" s="26" customFormat="1" x14ac:dyDescent="0.25">
      <c r="A988" s="16">
        <v>234921</v>
      </c>
      <c r="B988" s="30" t="s">
        <v>1499</v>
      </c>
      <c r="C988" s="20" t="s">
        <v>651</v>
      </c>
      <c r="D988" s="20" t="s">
        <v>716</v>
      </c>
      <c r="E988" s="20" t="s">
        <v>3488</v>
      </c>
      <c r="F988" s="20" t="s">
        <v>3489</v>
      </c>
      <c r="G988" s="21">
        <v>13.4</v>
      </c>
      <c r="H988" s="16">
        <v>16</v>
      </c>
      <c r="I988" s="16">
        <v>3</v>
      </c>
      <c r="J9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174.20000000000002</v>
      </c>
      <c r="K988" s="22"/>
      <c r="L988" s="23"/>
      <c r="M988" s="23">
        <f>SUM(Tabela174681012142230322681619252731333624210121416182426283038402481012141620222628303234362426810121424610122426244262628262681026286236[[#This Row],[Saldo no cartão]:[Recarga Pendente]])</f>
        <v>0</v>
      </c>
      <c r="N988" s="19">
        <f>Tabela174681012142230322681619252731333624210121416182426283038402481012141620222628303234362426810121424610122426244262628262681026286236[[#This Row],[Uso diário]]*2</f>
        <v>26.8</v>
      </c>
      <c r="O988" s="19">
        <f>Tabela174681012142230322681619252731333624210121416182426283038402481012141620222628303234362426810121424610122426244262628262681026286236[[#This Row],[Total Acumulado]]-P988</f>
        <v>-67</v>
      </c>
      <c r="P988" s="48">
        <f>Tabela174681012142230322681619252731333624210121416182426283038402481012141620222628303234362426810121424610122426244262628262681026286236[[#This Row],[Uso diário]]*5</f>
        <v>67</v>
      </c>
      <c r="Q9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174.20000000000002</v>
      </c>
      <c r="S9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88" s="25">
        <v>22</v>
      </c>
    </row>
    <row r="989" spans="1:20" s="26" customFormat="1" x14ac:dyDescent="0.25">
      <c r="A989" s="16">
        <v>10483</v>
      </c>
      <c r="B989" s="30" t="s">
        <v>852</v>
      </c>
      <c r="C989" s="20" t="s">
        <v>652</v>
      </c>
      <c r="D989" s="20" t="s">
        <v>739</v>
      </c>
      <c r="E989" s="20" t="s">
        <v>3490</v>
      </c>
      <c r="F989" s="20" t="s">
        <v>3491</v>
      </c>
      <c r="G989" s="21">
        <v>29.2</v>
      </c>
      <c r="H989" s="16">
        <v>26</v>
      </c>
      <c r="I989" s="16"/>
      <c r="J9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759.19999999999993</v>
      </c>
      <c r="K989" s="22"/>
      <c r="L989" s="23">
        <v>337.95</v>
      </c>
      <c r="M989" s="23">
        <f>SUM(Tabela174681012142230322681619252731333624210121416182426283038402481012141620222628303234362426810121424610122426244262628262681026286236[[#This Row],[Saldo no cartão]:[Recarga Pendente]])</f>
        <v>337.95</v>
      </c>
      <c r="N989" s="19">
        <f>Tabela174681012142230322681619252731333624210121416182426283038402481012141620222628303234362426810121424610122426244262628262681026286236[[#This Row],[Uso diário]]*2</f>
        <v>58.4</v>
      </c>
      <c r="O989" s="19">
        <f>Tabela174681012142230322681619252731333624210121416182426283038402481012141620222628303234362426810121424610122426244262628262681026286236[[#This Row],[Total Acumulado]]-P989</f>
        <v>191.95</v>
      </c>
      <c r="P989" s="48">
        <f>Tabela174681012142230322681619252731333624210121416182426283038402481012141620222628303234362426810121424610122426244262628262681026286236[[#This Row],[Uso diário]]*5</f>
        <v>146</v>
      </c>
      <c r="Q9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191.95</v>
      </c>
      <c r="R9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567.25</v>
      </c>
      <c r="S989" s="18" t="s">
        <v>11</v>
      </c>
      <c r="T989" s="25">
        <v>22</v>
      </c>
    </row>
    <row r="990" spans="1:20" s="26" customFormat="1" x14ac:dyDescent="0.25">
      <c r="A990" s="16">
        <v>222119</v>
      </c>
      <c r="B990" s="30" t="s">
        <v>480</v>
      </c>
      <c r="C990" s="20" t="s">
        <v>1388</v>
      </c>
      <c r="D990" s="20" t="s">
        <v>1389</v>
      </c>
      <c r="E990" s="20" t="s">
        <v>3492</v>
      </c>
      <c r="F990" s="20" t="s">
        <v>3493</v>
      </c>
      <c r="G990" s="21">
        <v>14.2</v>
      </c>
      <c r="H990" s="16">
        <v>26</v>
      </c>
      <c r="I990" s="16"/>
      <c r="J9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990" s="22"/>
      <c r="L990" s="23"/>
      <c r="M990" s="23">
        <f>SUM(Tabela174681012142230322681619252731333624210121416182426283038402481012141620222628303234362426810121424610122426244262628262681026286236[[#This Row],[Saldo no cartão]:[Recarga Pendente]])</f>
        <v>0</v>
      </c>
      <c r="N990" s="19">
        <f>Tabela174681012142230322681619252731333624210121416182426283038402481012141620222628303234362426810121424610122426244262628262681026286236[[#This Row],[Uso diário]]*2</f>
        <v>28.4</v>
      </c>
      <c r="O990" s="19">
        <f>Tabela174681012142230322681619252731333624210121416182426283038402481012141620222628303234362426810121424610122426244262628262681026286236[[#This Row],[Total Acumulado]]-P990</f>
        <v>-71</v>
      </c>
      <c r="P990" s="48">
        <f>Tabela174681012142230322681619252731333624210121416182426283038402481012141620222628303234362426810121424610122426244262628262681026286236[[#This Row],[Uso diário]]*5</f>
        <v>71</v>
      </c>
      <c r="Q9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9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0" s="25">
        <v>22</v>
      </c>
    </row>
    <row r="991" spans="1:20" s="26" customFormat="1" x14ac:dyDescent="0.25">
      <c r="A991" s="16">
        <v>211813</v>
      </c>
      <c r="B991" s="30" t="s">
        <v>468</v>
      </c>
      <c r="C991" s="20" t="s">
        <v>635</v>
      </c>
      <c r="D991" s="20" t="s">
        <v>698</v>
      </c>
      <c r="E991" s="20" t="s">
        <v>3494</v>
      </c>
      <c r="F991" s="20" t="s">
        <v>3495</v>
      </c>
      <c r="G991" s="21">
        <v>14.2</v>
      </c>
      <c r="H991" s="16">
        <v>26</v>
      </c>
      <c r="I991" s="16"/>
      <c r="J9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991" s="22"/>
      <c r="L991" s="23"/>
      <c r="M991" s="23">
        <f>SUM(Tabela174681012142230322681619252731333624210121416182426283038402481012141620222628303234362426810121424610122426244262628262681026286236[[#This Row],[Saldo no cartão]:[Recarga Pendente]])</f>
        <v>0</v>
      </c>
      <c r="N991" s="19">
        <f>Tabela174681012142230322681619252731333624210121416182426283038402481012141620222628303234362426810121424610122426244262628262681026286236[[#This Row],[Uso diário]]*2</f>
        <v>28.4</v>
      </c>
      <c r="O991" s="19">
        <f>Tabela174681012142230322681619252731333624210121416182426283038402481012141620222628303234362426810121424610122426244262628262681026286236[[#This Row],[Total Acumulado]]-P991</f>
        <v>-71</v>
      </c>
      <c r="P991" s="48">
        <f>Tabela174681012142230322681619252731333624210121416182426283038402481012141620222628303234362426810121424610122426244262628262681026286236[[#This Row],[Uso diário]]*5</f>
        <v>71</v>
      </c>
      <c r="Q9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9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1" s="25">
        <v>22</v>
      </c>
    </row>
    <row r="992" spans="1:20" s="26" customFormat="1" x14ac:dyDescent="0.25">
      <c r="A992" s="16">
        <v>226106</v>
      </c>
      <c r="B992" s="30" t="s">
        <v>300</v>
      </c>
      <c r="C992" s="20" t="s">
        <v>635</v>
      </c>
      <c r="D992" s="20" t="s">
        <v>689</v>
      </c>
      <c r="E992" s="20" t="s">
        <v>3496</v>
      </c>
      <c r="F992" s="20" t="s">
        <v>3497</v>
      </c>
      <c r="G992" s="21">
        <v>16.5</v>
      </c>
      <c r="H992" s="16">
        <v>26</v>
      </c>
      <c r="I992" s="16">
        <v>1</v>
      </c>
      <c r="J9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412.5</v>
      </c>
      <c r="K992" s="22"/>
      <c r="L992" s="23"/>
      <c r="M992" s="23">
        <f>SUM(Tabela174681012142230322681619252731333624210121416182426283038402481012141620222628303234362426810121424610122426244262628262681026286236[[#This Row],[Saldo no cartão]:[Recarga Pendente]])</f>
        <v>0</v>
      </c>
      <c r="N992" s="19">
        <f>Tabela174681012142230322681619252731333624210121416182426283038402481012141620222628303234362426810121424610122426244262628262681026286236[[#This Row],[Uso diário]]*2</f>
        <v>33</v>
      </c>
      <c r="O992" s="19">
        <f>Tabela174681012142230322681619252731333624210121416182426283038402481012141620222628303234362426810121424610122426244262628262681026286236[[#This Row],[Total Acumulado]]-P992</f>
        <v>-82.5</v>
      </c>
      <c r="P992" s="48">
        <f>Tabela174681012142230322681619252731333624210121416182426283038402481012141620222628303234362426810121424610122426244262628262681026286236[[#This Row],[Uso diário]]*5</f>
        <v>82.5</v>
      </c>
      <c r="Q9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412.5</v>
      </c>
      <c r="S9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2" s="25">
        <v>22</v>
      </c>
    </row>
    <row r="993" spans="1:20" s="26" customFormat="1" x14ac:dyDescent="0.25">
      <c r="A993" s="16">
        <v>231226</v>
      </c>
      <c r="B993" s="30" t="s">
        <v>797</v>
      </c>
      <c r="C993" s="20" t="s">
        <v>636</v>
      </c>
      <c r="D993" s="20" t="s">
        <v>729</v>
      </c>
      <c r="E993" s="20" t="s">
        <v>3498</v>
      </c>
      <c r="F993" s="20" t="s">
        <v>3499</v>
      </c>
      <c r="G993" s="21">
        <v>9.4</v>
      </c>
      <c r="H993" s="16">
        <v>22</v>
      </c>
      <c r="I993" s="16">
        <v>3</v>
      </c>
      <c r="J9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178.6</v>
      </c>
      <c r="K993" s="22"/>
      <c r="L993" s="23"/>
      <c r="M993" s="23">
        <f>SUM(Tabela174681012142230322681619252731333624210121416182426283038402481012141620222628303234362426810121424610122426244262628262681026286236[[#This Row],[Saldo no cartão]:[Recarga Pendente]])</f>
        <v>0</v>
      </c>
      <c r="N993" s="19">
        <f>Tabela174681012142230322681619252731333624210121416182426283038402481012141620222628303234362426810121424610122426244262628262681026286236[[#This Row],[Uso diário]]*2</f>
        <v>18.8</v>
      </c>
      <c r="O993" s="19">
        <f>Tabela174681012142230322681619252731333624210121416182426283038402481012141620222628303234362426810121424610122426244262628262681026286236[[#This Row],[Total Acumulado]]-P993</f>
        <v>-47</v>
      </c>
      <c r="P993" s="48">
        <f>Tabela174681012142230322681619252731333624210121416182426283038402481012141620222628303234362426810121424610122426244262628262681026286236[[#This Row],[Uso diário]]*5</f>
        <v>47</v>
      </c>
      <c r="Q9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178.6</v>
      </c>
      <c r="S9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3" s="25">
        <v>22</v>
      </c>
    </row>
    <row r="994" spans="1:20" s="26" customFormat="1" x14ac:dyDescent="0.25">
      <c r="A994" s="16">
        <v>231625</v>
      </c>
      <c r="B994" s="30" t="s">
        <v>853</v>
      </c>
      <c r="C994" s="20" t="s">
        <v>636</v>
      </c>
      <c r="D994" s="20" t="s">
        <v>729</v>
      </c>
      <c r="E994" s="20" t="s">
        <v>3500</v>
      </c>
      <c r="F994" s="20" t="s">
        <v>3501</v>
      </c>
      <c r="G994" s="21">
        <v>13.4</v>
      </c>
      <c r="H994" s="16">
        <v>22</v>
      </c>
      <c r="I994" s="16"/>
      <c r="J9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994" s="22"/>
      <c r="L994" s="23"/>
      <c r="M994" s="23">
        <f>SUM(Tabela174681012142230322681619252731333624210121416182426283038402481012141620222628303234362426810121424610122426244262628262681026286236[[#This Row],[Saldo no cartão]:[Recarga Pendente]])</f>
        <v>0</v>
      </c>
      <c r="N994" s="19">
        <f>Tabela174681012142230322681619252731333624210121416182426283038402481012141620222628303234362426810121424610122426244262628262681026286236[[#This Row],[Uso diário]]*2</f>
        <v>26.8</v>
      </c>
      <c r="O994" s="19">
        <f>Tabela174681012142230322681619252731333624210121416182426283038402481012141620222628303234362426810121424610122426244262628262681026286236[[#This Row],[Total Acumulado]]-P994</f>
        <v>-67</v>
      </c>
      <c r="P994" s="48">
        <f>Tabela174681012142230322681619252731333624210121416182426283038402481012141620222628303234362426810121424610122426244262628262681026286236[[#This Row],[Uso diário]]*5</f>
        <v>67</v>
      </c>
      <c r="Q9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9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4" s="25">
        <v>22</v>
      </c>
    </row>
    <row r="995" spans="1:20" s="26" customFormat="1" x14ac:dyDescent="0.25">
      <c r="A995" s="16">
        <v>231626</v>
      </c>
      <c r="B995" s="30" t="s">
        <v>854</v>
      </c>
      <c r="C995" s="20" t="s">
        <v>636</v>
      </c>
      <c r="D995" s="20" t="s">
        <v>730</v>
      </c>
      <c r="E995" s="20" t="s">
        <v>3502</v>
      </c>
      <c r="F995" s="20" t="s">
        <v>3503</v>
      </c>
      <c r="G995" s="21">
        <v>13.4</v>
      </c>
      <c r="H995" s="16">
        <v>22</v>
      </c>
      <c r="I995" s="16"/>
      <c r="J9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995" s="22"/>
      <c r="L995" s="23"/>
      <c r="M995" s="23">
        <f>SUM(Tabela174681012142230322681619252731333624210121416182426283038402481012141620222628303234362426810121424610122426244262628262681026286236[[#This Row],[Saldo no cartão]:[Recarga Pendente]])</f>
        <v>0</v>
      </c>
      <c r="N995" s="19">
        <f>Tabela174681012142230322681619252731333624210121416182426283038402481012141620222628303234362426810121424610122426244262628262681026286236[[#This Row],[Uso diário]]*2</f>
        <v>26.8</v>
      </c>
      <c r="O995" s="19">
        <f>Tabela174681012142230322681619252731333624210121416182426283038402481012141620222628303234362426810121424610122426244262628262681026286236[[#This Row],[Total Acumulado]]-P995</f>
        <v>-67</v>
      </c>
      <c r="P995" s="48">
        <f>Tabela174681012142230322681619252731333624210121416182426283038402481012141620222628303234362426810121424610122426244262628262681026286236[[#This Row],[Uso diário]]*5</f>
        <v>67</v>
      </c>
      <c r="Q9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9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5" s="25">
        <v>22</v>
      </c>
    </row>
    <row r="996" spans="1:20" s="26" customFormat="1" x14ac:dyDescent="0.25">
      <c r="A996" s="16">
        <v>231627</v>
      </c>
      <c r="B996" s="30" t="s">
        <v>855</v>
      </c>
      <c r="C996" s="20" t="s">
        <v>636</v>
      </c>
      <c r="D996" s="20" t="s">
        <v>730</v>
      </c>
      <c r="E996" s="20" t="s">
        <v>3504</v>
      </c>
      <c r="F996" s="20" t="s">
        <v>3505</v>
      </c>
      <c r="G996" s="21">
        <v>13.4</v>
      </c>
      <c r="H996" s="16">
        <v>22</v>
      </c>
      <c r="I996" s="16"/>
      <c r="J9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996" s="22"/>
      <c r="L996" s="23"/>
      <c r="M996" s="23">
        <f>SUM(Tabela174681012142230322681619252731333624210121416182426283038402481012141620222628303234362426810121424610122426244262628262681026286236[[#This Row],[Saldo no cartão]:[Recarga Pendente]])</f>
        <v>0</v>
      </c>
      <c r="N996" s="19">
        <f>Tabela174681012142230322681619252731333624210121416182426283038402481012141620222628303234362426810121424610122426244262628262681026286236[[#This Row],[Uso diário]]*2</f>
        <v>26.8</v>
      </c>
      <c r="O996" s="19">
        <f>Tabela174681012142230322681619252731333624210121416182426283038402481012141620222628303234362426810121424610122426244262628262681026286236[[#This Row],[Total Acumulado]]-P996</f>
        <v>-67</v>
      </c>
      <c r="P996" s="48">
        <f>Tabela174681012142230322681619252731333624210121416182426283038402481012141620222628303234362426810121424610122426244262628262681026286236[[#This Row],[Uso diário]]*5</f>
        <v>67</v>
      </c>
      <c r="Q9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9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6" s="25">
        <v>22</v>
      </c>
    </row>
    <row r="997" spans="1:20" s="26" customFormat="1" x14ac:dyDescent="0.25">
      <c r="A997" s="16">
        <v>233235</v>
      </c>
      <c r="B997" s="30" t="s">
        <v>1008</v>
      </c>
      <c r="C997" s="20" t="s">
        <v>636</v>
      </c>
      <c r="D997" s="20" t="s">
        <v>729</v>
      </c>
      <c r="E997" s="20" t="s">
        <v>3506</v>
      </c>
      <c r="F997" s="20" t="s">
        <v>3507</v>
      </c>
      <c r="G997" s="21">
        <v>18.8</v>
      </c>
      <c r="H997" s="16">
        <v>22</v>
      </c>
      <c r="I997" s="16">
        <v>1</v>
      </c>
      <c r="J9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997" s="22"/>
      <c r="L997" s="23"/>
      <c r="M997" s="23">
        <f>SUM(Tabela174681012142230322681619252731333624210121416182426283038402481012141620222628303234362426810121424610122426244262628262681026286236[[#This Row],[Saldo no cartão]:[Recarga Pendente]])</f>
        <v>0</v>
      </c>
      <c r="N997" s="19">
        <f>Tabela174681012142230322681619252731333624210121416182426283038402481012141620222628303234362426810121424610122426244262628262681026286236[[#This Row],[Uso diário]]*2</f>
        <v>37.6</v>
      </c>
      <c r="O997" s="19">
        <f>Tabela174681012142230322681619252731333624210121416182426283038402481012141620222628303234362426810121424610122426244262628262681026286236[[#This Row],[Total Acumulado]]-P997</f>
        <v>-94</v>
      </c>
      <c r="P997" s="48">
        <f>Tabela174681012142230322681619252731333624210121416182426283038402481012141620222628303234362426810121424610122426244262628262681026286236[[#This Row],[Uso diário]]*5</f>
        <v>94</v>
      </c>
      <c r="Q9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9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7" s="25">
        <v>22</v>
      </c>
    </row>
    <row r="998" spans="1:20" s="26" customFormat="1" x14ac:dyDescent="0.25">
      <c r="A998" s="16">
        <v>233236</v>
      </c>
      <c r="B998" s="30" t="s">
        <v>1009</v>
      </c>
      <c r="C998" s="20" t="s">
        <v>636</v>
      </c>
      <c r="D998" s="20" t="s">
        <v>729</v>
      </c>
      <c r="E998" s="20" t="s">
        <v>3508</v>
      </c>
      <c r="F998" s="20" t="s">
        <v>3509</v>
      </c>
      <c r="G998" s="21">
        <v>13.4</v>
      </c>
      <c r="H998" s="16">
        <v>22</v>
      </c>
      <c r="I998" s="16">
        <v>5</v>
      </c>
      <c r="J9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227.8</v>
      </c>
      <c r="K998" s="22"/>
      <c r="L998" s="23"/>
      <c r="M998" s="23">
        <f>SUM(Tabela174681012142230322681619252731333624210121416182426283038402481012141620222628303234362426810121424610122426244262628262681026286236[[#This Row],[Saldo no cartão]:[Recarga Pendente]])</f>
        <v>0</v>
      </c>
      <c r="N998" s="19">
        <f>Tabela174681012142230322681619252731333624210121416182426283038402481012141620222628303234362426810121424610122426244262628262681026286236[[#This Row],[Uso diário]]*2</f>
        <v>26.8</v>
      </c>
      <c r="O998" s="19">
        <f>Tabela174681012142230322681619252731333624210121416182426283038402481012141620222628303234362426810121424610122426244262628262681026286236[[#This Row],[Total Acumulado]]-P998</f>
        <v>-67</v>
      </c>
      <c r="P998" s="48">
        <f>Tabela174681012142230322681619252731333624210121416182426283038402481012141620222628303234362426810121424610122426244262628262681026286236[[#This Row],[Uso diário]]*5</f>
        <v>67</v>
      </c>
      <c r="Q9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227.8</v>
      </c>
      <c r="S9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8" s="25">
        <v>22</v>
      </c>
    </row>
    <row r="999" spans="1:20" s="26" customFormat="1" x14ac:dyDescent="0.25">
      <c r="A999" s="16">
        <v>234094</v>
      </c>
      <c r="B999" s="30" t="s">
        <v>1223</v>
      </c>
      <c r="C999" s="20" t="s">
        <v>636</v>
      </c>
      <c r="D999" s="20" t="s">
        <v>729</v>
      </c>
      <c r="E999" s="20" t="s">
        <v>3510</v>
      </c>
      <c r="F999" s="20" t="s">
        <v>3511</v>
      </c>
      <c r="G999" s="21">
        <v>13.4</v>
      </c>
      <c r="H999" s="16">
        <v>22</v>
      </c>
      <c r="I999" s="16">
        <v>1</v>
      </c>
      <c r="J9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999" s="22"/>
      <c r="L999" s="23"/>
      <c r="M999" s="23">
        <f>SUM(Tabela174681012142230322681619252731333624210121416182426283038402481012141620222628303234362426810121424610122426244262628262681026286236[[#This Row],[Saldo no cartão]:[Recarga Pendente]])</f>
        <v>0</v>
      </c>
      <c r="N999" s="19">
        <f>Tabela174681012142230322681619252731333624210121416182426283038402481012141620222628303234362426810121424610122426244262628262681026286236[[#This Row],[Uso diário]]*2</f>
        <v>26.8</v>
      </c>
      <c r="O999" s="19">
        <f>Tabela174681012142230322681619252731333624210121416182426283038402481012141620222628303234362426810121424610122426244262628262681026286236[[#This Row],[Total Acumulado]]-P999</f>
        <v>-67</v>
      </c>
      <c r="P999" s="48">
        <f>Tabela174681012142230322681619252731333624210121416182426283038402481012141620222628303234362426810121424610122426244262628262681026286236[[#This Row],[Uso diário]]*5</f>
        <v>67</v>
      </c>
      <c r="Q9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9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9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999" s="25">
        <v>22</v>
      </c>
    </row>
    <row r="1000" spans="1:20" s="26" customFormat="1" x14ac:dyDescent="0.25">
      <c r="A1000" s="16">
        <v>234096</v>
      </c>
      <c r="B1000" s="30" t="s">
        <v>1224</v>
      </c>
      <c r="C1000" s="20" t="s">
        <v>636</v>
      </c>
      <c r="D1000" s="20" t="s">
        <v>729</v>
      </c>
      <c r="E1000" s="20" t="s">
        <v>3512</v>
      </c>
      <c r="F1000" s="20" t="s">
        <v>3513</v>
      </c>
      <c r="G1000" s="21">
        <v>20.100000000000001</v>
      </c>
      <c r="H1000" s="16">
        <v>22</v>
      </c>
      <c r="I1000" s="16">
        <v>1</v>
      </c>
      <c r="J10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422.1</v>
      </c>
      <c r="K1000" s="22"/>
      <c r="L1000" s="23"/>
      <c r="M1000" s="23">
        <f>SUM(Tabela174681012142230322681619252731333624210121416182426283038402481012141620222628303234362426810121424610122426244262628262681026286236[[#This Row],[Saldo no cartão]:[Recarga Pendente]])</f>
        <v>0</v>
      </c>
      <c r="N1000" s="19">
        <f>Tabela174681012142230322681619252731333624210121416182426283038402481012141620222628303234362426810121424610122426244262628262681026286236[[#This Row],[Uso diário]]*2</f>
        <v>40.200000000000003</v>
      </c>
      <c r="O1000" s="19">
        <f>Tabela174681012142230322681619252731333624210121416182426283038402481012141620222628303234362426810121424610122426244262628262681026286236[[#This Row],[Total Acumulado]]-P1000</f>
        <v>-100.5</v>
      </c>
      <c r="P1000" s="48">
        <f>Tabela174681012142230322681619252731333624210121416182426283038402481012141620222628303234362426810121424610122426244262628262681026286236[[#This Row],[Uso diário]]*5</f>
        <v>100.5</v>
      </c>
      <c r="Q10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422.1</v>
      </c>
      <c r="S10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0" s="25">
        <v>22</v>
      </c>
    </row>
    <row r="1001" spans="1:20" s="26" customFormat="1" x14ac:dyDescent="0.25">
      <c r="A1001" s="16">
        <v>234097</v>
      </c>
      <c r="B1001" s="30" t="s">
        <v>1225</v>
      </c>
      <c r="C1001" s="20" t="s">
        <v>636</v>
      </c>
      <c r="D1001" s="20" t="s">
        <v>729</v>
      </c>
      <c r="E1001" s="20" t="s">
        <v>3514</v>
      </c>
      <c r="F1001" s="20" t="s">
        <v>3515</v>
      </c>
      <c r="G1001" s="21">
        <v>13.4</v>
      </c>
      <c r="H1001" s="16">
        <v>22</v>
      </c>
      <c r="I1001" s="16"/>
      <c r="J10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001" s="22"/>
      <c r="L1001" s="23"/>
      <c r="M1001" s="23">
        <f>SUM(Tabela174681012142230322681619252731333624210121416182426283038402481012141620222628303234362426810121424610122426244262628262681026286236[[#This Row],[Saldo no cartão]:[Recarga Pendente]])</f>
        <v>0</v>
      </c>
      <c r="N1001" s="19">
        <f>Tabela174681012142230322681619252731333624210121416182426283038402481012141620222628303234362426810121424610122426244262628262681026286236[[#This Row],[Uso diário]]*2</f>
        <v>26.8</v>
      </c>
      <c r="O1001" s="19">
        <f>Tabela174681012142230322681619252731333624210121416182426283038402481012141620222628303234362426810121424610122426244262628262681026286236[[#This Row],[Total Acumulado]]-P1001</f>
        <v>-67</v>
      </c>
      <c r="P1001" s="48">
        <f>Tabela174681012142230322681619252731333624210121416182426283038402481012141620222628303234362426810121424610122426244262628262681026286236[[#This Row],[Uso diário]]*5</f>
        <v>67</v>
      </c>
      <c r="Q10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0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1" s="25">
        <v>22</v>
      </c>
    </row>
    <row r="1002" spans="1:20" s="26" customFormat="1" x14ac:dyDescent="0.25">
      <c r="A1002" s="16">
        <v>235048</v>
      </c>
      <c r="B1002" s="30" t="s">
        <v>1500</v>
      </c>
      <c r="C1002" s="20" t="s">
        <v>636</v>
      </c>
      <c r="D1002" s="20" t="s">
        <v>729</v>
      </c>
      <c r="E1002" s="20" t="s">
        <v>3516</v>
      </c>
      <c r="F1002" s="20" t="s">
        <v>3517</v>
      </c>
      <c r="G1002" s="21">
        <v>16.100000000000001</v>
      </c>
      <c r="H1002" s="16">
        <v>22</v>
      </c>
      <c r="I1002" s="16"/>
      <c r="J10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354.20000000000005</v>
      </c>
      <c r="K1002" s="22"/>
      <c r="L1002" s="23">
        <v>11.9</v>
      </c>
      <c r="M1002" s="23">
        <f>SUM(Tabela174681012142230322681619252731333624210121416182426283038402481012141620222628303234362426810121424610122426244262628262681026286236[[#This Row],[Saldo no cartão]:[Recarga Pendente]])</f>
        <v>11.9</v>
      </c>
      <c r="N1002" s="19">
        <f>Tabela174681012142230322681619252731333624210121416182426283038402481012141620222628303234362426810121424610122426244262628262681026286236[[#This Row],[Uso diário]]*2</f>
        <v>32.200000000000003</v>
      </c>
      <c r="O1002" s="19">
        <f>Tabela174681012142230322681619252731333624210121416182426283038402481012141620222628303234362426810121424610122426244262628262681026286236[[#This Row],[Total Acumulado]]-P1002</f>
        <v>-68.599999999999994</v>
      </c>
      <c r="P1002" s="48">
        <f>Tabela174681012142230322681619252731333624210121416182426283038402481012141620222628303234362426810121424610122426244262628262681026286236[[#This Row],[Uso diário]]*5</f>
        <v>80.5</v>
      </c>
      <c r="Q10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354.20000000000005</v>
      </c>
      <c r="S10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2" s="25">
        <v>22</v>
      </c>
    </row>
    <row r="1003" spans="1:20" s="26" customFormat="1" x14ac:dyDescent="0.25">
      <c r="A1003" s="16">
        <v>235049</v>
      </c>
      <c r="B1003" s="30" t="s">
        <v>1501</v>
      </c>
      <c r="C1003" s="20" t="s">
        <v>636</v>
      </c>
      <c r="D1003" s="20" t="s">
        <v>729</v>
      </c>
      <c r="E1003" s="20" t="s">
        <v>3518</v>
      </c>
      <c r="F1003" s="20" t="s">
        <v>3519</v>
      </c>
      <c r="G1003" s="21">
        <v>13.4</v>
      </c>
      <c r="H1003" s="16">
        <v>22</v>
      </c>
      <c r="I1003" s="16"/>
      <c r="J10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003" s="22"/>
      <c r="L1003" s="23">
        <v>11.9</v>
      </c>
      <c r="M1003" s="23">
        <f>SUM(Tabela174681012142230322681619252731333624210121416182426283038402481012141620222628303234362426810121424610122426244262628262681026286236[[#This Row],[Saldo no cartão]:[Recarga Pendente]])</f>
        <v>11.9</v>
      </c>
      <c r="N1003" s="19">
        <f>Tabela174681012142230322681619252731333624210121416182426283038402481012141620222628303234362426810121424610122426244262628262681026286236[[#This Row],[Uso diário]]*2</f>
        <v>26.8</v>
      </c>
      <c r="O1003" s="19">
        <f>Tabela174681012142230322681619252731333624210121416182426283038402481012141620222628303234362426810121424610122426244262628262681026286236[[#This Row],[Total Acumulado]]-P1003</f>
        <v>-55.1</v>
      </c>
      <c r="P1003" s="48">
        <f>Tabela174681012142230322681619252731333624210121416182426283038402481012141620222628303234362426810121424610122426244262628262681026286236[[#This Row],[Uso diário]]*5</f>
        <v>67</v>
      </c>
      <c r="Q10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0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3" s="25">
        <v>22</v>
      </c>
    </row>
    <row r="1004" spans="1:20" s="26" customFormat="1" x14ac:dyDescent="0.25">
      <c r="A1004" s="16">
        <v>221976</v>
      </c>
      <c r="B1004" s="30" t="s">
        <v>470</v>
      </c>
      <c r="C1004" s="20" t="s">
        <v>653</v>
      </c>
      <c r="D1004" s="20" t="s">
        <v>891</v>
      </c>
      <c r="E1004" s="20" t="s">
        <v>3520</v>
      </c>
      <c r="F1004" s="20" t="s">
        <v>3521</v>
      </c>
      <c r="G1004" s="21">
        <v>18.8</v>
      </c>
      <c r="H1004" s="16">
        <v>26</v>
      </c>
      <c r="I1004" s="16">
        <v>1</v>
      </c>
      <c r="J10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004" s="22"/>
      <c r="L1004" s="23"/>
      <c r="M1004" s="23">
        <f>SUM(Tabela174681012142230322681619252731333624210121416182426283038402481012141620222628303234362426810121424610122426244262628262681026286236[[#This Row],[Saldo no cartão]:[Recarga Pendente]])</f>
        <v>0</v>
      </c>
      <c r="N1004" s="19">
        <f>Tabela174681012142230322681619252731333624210121416182426283038402481012141620222628303234362426810121424610122426244262628262681026286236[[#This Row],[Uso diário]]*2</f>
        <v>37.6</v>
      </c>
      <c r="O1004" s="19">
        <f>Tabela174681012142230322681619252731333624210121416182426283038402481012141620222628303234362426810121424610122426244262628262681026286236[[#This Row],[Total Acumulado]]-P1004</f>
        <v>-94</v>
      </c>
      <c r="P1004" s="48">
        <f>Tabela174681012142230322681619252731333624210121416182426283038402481012141620222628303234362426810121424610122426244262628262681026286236[[#This Row],[Uso diário]]*5</f>
        <v>94</v>
      </c>
      <c r="Q10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0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4" s="25">
        <v>22</v>
      </c>
    </row>
    <row r="1005" spans="1:20" s="26" customFormat="1" x14ac:dyDescent="0.25">
      <c r="A1005" s="16">
        <v>222969</v>
      </c>
      <c r="B1005" s="30" t="s">
        <v>1226</v>
      </c>
      <c r="C1005" s="20" t="s">
        <v>653</v>
      </c>
      <c r="D1005" s="20" t="s">
        <v>714</v>
      </c>
      <c r="E1005" s="20" t="s">
        <v>3522</v>
      </c>
      <c r="F1005" s="20" t="s">
        <v>3523</v>
      </c>
      <c r="G1005" s="21">
        <v>13.1</v>
      </c>
      <c r="H1005" s="16">
        <v>26</v>
      </c>
      <c r="I1005" s="16"/>
      <c r="J10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340.59999999999997</v>
      </c>
      <c r="K1005" s="22"/>
      <c r="L1005" s="23"/>
      <c r="M1005" s="23">
        <f>SUM(Tabela174681012142230322681619252731333624210121416182426283038402481012141620222628303234362426810121424610122426244262628262681026286236[[#This Row],[Saldo no cartão]:[Recarga Pendente]])</f>
        <v>0</v>
      </c>
      <c r="N1005" s="19">
        <f>Tabela174681012142230322681619252731333624210121416182426283038402481012141620222628303234362426810121424610122426244262628262681026286236[[#This Row],[Uso diário]]*2</f>
        <v>26.2</v>
      </c>
      <c r="O1005" s="19">
        <f>Tabela174681012142230322681619252731333624210121416182426283038402481012141620222628303234362426810121424610122426244262628262681026286236[[#This Row],[Total Acumulado]]-P1005</f>
        <v>-65.5</v>
      </c>
      <c r="P1005" s="48">
        <f>Tabela174681012142230322681619252731333624210121416182426283038402481012141620222628303234362426810121424610122426244262628262681026286236[[#This Row],[Uso diário]]*5</f>
        <v>65.5</v>
      </c>
      <c r="Q10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340.59999999999997</v>
      </c>
      <c r="S10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5" s="25">
        <v>22</v>
      </c>
    </row>
    <row r="1006" spans="1:20" s="26" customFormat="1" x14ac:dyDescent="0.25">
      <c r="A1006" s="16">
        <v>228216</v>
      </c>
      <c r="B1006" s="30" t="s">
        <v>472</v>
      </c>
      <c r="C1006" s="20" t="s">
        <v>653</v>
      </c>
      <c r="D1006" s="20" t="s">
        <v>714</v>
      </c>
      <c r="E1006" s="20" t="s">
        <v>3524</v>
      </c>
      <c r="F1006" s="20" t="s">
        <v>3525</v>
      </c>
      <c r="G1006" s="21">
        <v>15.4</v>
      </c>
      <c r="H1006" s="16">
        <v>26</v>
      </c>
      <c r="I1006" s="16"/>
      <c r="J10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006" s="22"/>
      <c r="L1006" s="23"/>
      <c r="M1006" s="23">
        <f>SUM(Tabela174681012142230322681619252731333624210121416182426283038402481012141620222628303234362426810121424610122426244262628262681026286236[[#This Row],[Saldo no cartão]:[Recarga Pendente]])</f>
        <v>0</v>
      </c>
      <c r="N1006" s="19">
        <f>Tabela174681012142230322681619252731333624210121416182426283038402481012141620222628303234362426810121424610122426244262628262681026286236[[#This Row],[Uso diário]]*2</f>
        <v>30.8</v>
      </c>
      <c r="O1006" s="19">
        <f>Tabela174681012142230322681619252731333624210121416182426283038402481012141620222628303234362426810121424610122426244262628262681026286236[[#This Row],[Total Acumulado]]-P1006</f>
        <v>-77</v>
      </c>
      <c r="P1006" s="48">
        <f>Tabela174681012142230322681619252731333624210121416182426283038402481012141620222628303234362426810121424610122426244262628262681026286236[[#This Row],[Uso diário]]*5</f>
        <v>77</v>
      </c>
      <c r="Q10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0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6" s="25">
        <v>22</v>
      </c>
    </row>
    <row r="1007" spans="1:20" s="26" customFormat="1" x14ac:dyDescent="0.25">
      <c r="A1007" s="16">
        <v>229279</v>
      </c>
      <c r="B1007" s="30" t="s">
        <v>473</v>
      </c>
      <c r="C1007" s="20" t="s">
        <v>653</v>
      </c>
      <c r="D1007" s="20" t="s">
        <v>714</v>
      </c>
      <c r="E1007" s="20" t="s">
        <v>3526</v>
      </c>
      <c r="F1007" s="20" t="s">
        <v>3527</v>
      </c>
      <c r="G1007" s="21">
        <v>13.4</v>
      </c>
      <c r="H1007" s="16">
        <v>26</v>
      </c>
      <c r="I1007" s="16"/>
      <c r="J10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07" s="22"/>
      <c r="L1007" s="23"/>
      <c r="M1007" s="23">
        <f>SUM(Tabela174681012142230322681619252731333624210121416182426283038402481012141620222628303234362426810121424610122426244262628262681026286236[[#This Row],[Saldo no cartão]:[Recarga Pendente]])</f>
        <v>0</v>
      </c>
      <c r="N1007" s="19">
        <f>Tabela174681012142230322681619252731333624210121416182426283038402481012141620222628303234362426810121424610122426244262628262681026286236[[#This Row],[Uso diário]]*2</f>
        <v>26.8</v>
      </c>
      <c r="O1007" s="19">
        <f>Tabela174681012142230322681619252731333624210121416182426283038402481012141620222628303234362426810121424610122426244262628262681026286236[[#This Row],[Total Acumulado]]-P1007</f>
        <v>-67</v>
      </c>
      <c r="P1007" s="48">
        <f>Tabela174681012142230322681619252731333624210121416182426283038402481012141620222628303234362426810121424610122426244262628262681026286236[[#This Row],[Uso diário]]*5</f>
        <v>67</v>
      </c>
      <c r="Q10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7" s="25">
        <v>22</v>
      </c>
    </row>
    <row r="1008" spans="1:20" s="26" customFormat="1" x14ac:dyDescent="0.25">
      <c r="A1008" s="16">
        <v>229503</v>
      </c>
      <c r="B1008" s="30" t="s">
        <v>474</v>
      </c>
      <c r="C1008" s="20" t="s">
        <v>653</v>
      </c>
      <c r="D1008" s="20" t="s">
        <v>714</v>
      </c>
      <c r="E1008" s="20" t="s">
        <v>3528</v>
      </c>
      <c r="F1008" s="20" t="s">
        <v>3529</v>
      </c>
      <c r="G1008" s="21">
        <v>18.8</v>
      </c>
      <c r="H1008" s="16">
        <v>26</v>
      </c>
      <c r="I1008" s="16"/>
      <c r="J10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08" s="22"/>
      <c r="L1008" s="23">
        <v>153.55000000000001</v>
      </c>
      <c r="M1008" s="23">
        <f>SUM(Tabela174681012142230322681619252731333624210121416182426283038402481012141620222628303234362426810121424610122426244262628262681026286236[[#This Row],[Saldo no cartão]:[Recarga Pendente]])</f>
        <v>153.55000000000001</v>
      </c>
      <c r="N1008" s="19">
        <f>Tabela174681012142230322681619252731333624210121416182426283038402481012141620222628303234362426810121424610122426244262628262681026286236[[#This Row],[Uso diário]]*2</f>
        <v>37.6</v>
      </c>
      <c r="O1008" s="19">
        <f>Tabela174681012142230322681619252731333624210121416182426283038402481012141620222628303234362426810121424610122426244262628262681026286236[[#This Row],[Total Acumulado]]-P1008</f>
        <v>59.550000000000011</v>
      </c>
      <c r="P1008" s="48">
        <f>Tabela174681012142230322681619252731333624210121416182426283038402481012141620222628303234362426810121424610122426244262628262681026286236[[#This Row],[Uso diário]]*5</f>
        <v>94</v>
      </c>
      <c r="Q10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59.550000000000011</v>
      </c>
      <c r="R10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429.25</v>
      </c>
      <c r="S1008" s="18" t="s">
        <v>11</v>
      </c>
      <c r="T1008" s="25">
        <v>22</v>
      </c>
    </row>
    <row r="1009" spans="1:20" s="26" customFormat="1" x14ac:dyDescent="0.25">
      <c r="A1009" s="16">
        <v>230158</v>
      </c>
      <c r="B1009" s="30" t="s">
        <v>475</v>
      </c>
      <c r="C1009" s="20" t="s">
        <v>653</v>
      </c>
      <c r="D1009" s="20" t="s">
        <v>714</v>
      </c>
      <c r="E1009" s="20" t="s">
        <v>3530</v>
      </c>
      <c r="F1009" s="20" t="s">
        <v>3531</v>
      </c>
      <c r="G1009" s="21">
        <v>13.4</v>
      </c>
      <c r="H1009" s="16">
        <v>26</v>
      </c>
      <c r="I1009" s="16">
        <v>1</v>
      </c>
      <c r="J10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009" s="22"/>
      <c r="L1009" s="23"/>
      <c r="M1009" s="23">
        <f>SUM(Tabela174681012142230322681619252731333624210121416182426283038402481012141620222628303234362426810121424610122426244262628262681026286236[[#This Row],[Saldo no cartão]:[Recarga Pendente]])</f>
        <v>0</v>
      </c>
      <c r="N1009" s="19">
        <f>Tabela174681012142230322681619252731333624210121416182426283038402481012141620222628303234362426810121424610122426244262628262681026286236[[#This Row],[Uso diário]]*2</f>
        <v>26.8</v>
      </c>
      <c r="O1009" s="19">
        <f>Tabela174681012142230322681619252731333624210121416182426283038402481012141620222628303234362426810121424610122426244262628262681026286236[[#This Row],[Total Acumulado]]-P1009</f>
        <v>-67</v>
      </c>
      <c r="P1009" s="48">
        <f>Tabela174681012142230322681619252731333624210121416182426283038402481012141620222628303234362426810121424610122426244262628262681026286236[[#This Row],[Uso diário]]*5</f>
        <v>67</v>
      </c>
      <c r="Q10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0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09" s="25">
        <v>22</v>
      </c>
    </row>
    <row r="1010" spans="1:20" s="26" customFormat="1" x14ac:dyDescent="0.25">
      <c r="A1010" s="16">
        <v>230693</v>
      </c>
      <c r="B1010" s="30" t="s">
        <v>591</v>
      </c>
      <c r="C1010" s="20" t="s">
        <v>653</v>
      </c>
      <c r="D1010" s="20" t="s">
        <v>714</v>
      </c>
      <c r="E1010" s="20" t="s">
        <v>3532</v>
      </c>
      <c r="F1010" s="20" t="s">
        <v>3533</v>
      </c>
      <c r="G1010" s="21">
        <v>13.4</v>
      </c>
      <c r="H1010" s="16">
        <v>26</v>
      </c>
      <c r="I1010" s="16"/>
      <c r="J10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0" s="22"/>
      <c r="L1010" s="23"/>
      <c r="M1010" s="23">
        <f>SUM(Tabela174681012142230322681619252731333624210121416182426283038402481012141620222628303234362426810121424610122426244262628262681026286236[[#This Row],[Saldo no cartão]:[Recarga Pendente]])</f>
        <v>0</v>
      </c>
      <c r="N1010" s="19">
        <f>Tabela174681012142230322681619252731333624210121416182426283038402481012141620222628303234362426810121424610122426244262628262681026286236[[#This Row],[Uso diário]]*2</f>
        <v>26.8</v>
      </c>
      <c r="O1010" s="19">
        <f>Tabela174681012142230322681619252731333624210121416182426283038402481012141620222628303234362426810121424610122426244262628262681026286236[[#This Row],[Total Acumulado]]-P1010</f>
        <v>-67</v>
      </c>
      <c r="P1010" s="48">
        <f>Tabela174681012142230322681619252731333624210121416182426283038402481012141620222628303234362426810121424610122426244262628262681026286236[[#This Row],[Uso diário]]*5</f>
        <v>67</v>
      </c>
      <c r="Q10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0" s="25">
        <v>22</v>
      </c>
    </row>
    <row r="1011" spans="1:20" s="26" customFormat="1" x14ac:dyDescent="0.25">
      <c r="A1011" s="16">
        <v>230772</v>
      </c>
      <c r="B1011" s="30" t="s">
        <v>592</v>
      </c>
      <c r="C1011" s="20" t="s">
        <v>653</v>
      </c>
      <c r="D1011" s="20" t="s">
        <v>714</v>
      </c>
      <c r="E1011" s="20" t="s">
        <v>3534</v>
      </c>
      <c r="F1011" s="20" t="s">
        <v>3535</v>
      </c>
      <c r="G1011" s="21">
        <v>13.4</v>
      </c>
      <c r="H1011" s="16">
        <v>26</v>
      </c>
      <c r="I1011" s="16">
        <v>1</v>
      </c>
      <c r="J10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011" s="22"/>
      <c r="L1011" s="23"/>
      <c r="M1011" s="23">
        <f>SUM(Tabela174681012142230322681619252731333624210121416182426283038402481012141620222628303234362426810121424610122426244262628262681026286236[[#This Row],[Saldo no cartão]:[Recarga Pendente]])</f>
        <v>0</v>
      </c>
      <c r="N1011" s="19">
        <f>Tabela174681012142230322681619252731333624210121416182426283038402481012141620222628303234362426810121424610122426244262628262681026286236[[#This Row],[Uso diário]]*2</f>
        <v>26.8</v>
      </c>
      <c r="O1011" s="19">
        <f>Tabela174681012142230322681619252731333624210121416182426283038402481012141620222628303234362426810121424610122426244262628262681026286236[[#This Row],[Total Acumulado]]-P1011</f>
        <v>-67</v>
      </c>
      <c r="P1011" s="48">
        <f>Tabela174681012142230322681619252731333624210121416182426283038402481012141620222628303234362426810121424610122426244262628262681026286236[[#This Row],[Uso diário]]*5</f>
        <v>67</v>
      </c>
      <c r="Q10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0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1" s="25">
        <v>22</v>
      </c>
    </row>
    <row r="1012" spans="1:20" s="26" customFormat="1" x14ac:dyDescent="0.25">
      <c r="A1012" s="16">
        <v>231042</v>
      </c>
      <c r="B1012" s="30" t="s">
        <v>476</v>
      </c>
      <c r="C1012" s="20" t="s">
        <v>653</v>
      </c>
      <c r="D1012" s="20" t="s">
        <v>714</v>
      </c>
      <c r="E1012" s="20" t="s">
        <v>3536</v>
      </c>
      <c r="F1012" s="20" t="s">
        <v>3537</v>
      </c>
      <c r="G1012" s="21">
        <v>13.4</v>
      </c>
      <c r="H1012" s="16">
        <v>26</v>
      </c>
      <c r="I1012" s="16"/>
      <c r="J10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2" s="22"/>
      <c r="L1012" s="23"/>
      <c r="M1012" s="23">
        <f>SUM(Tabela174681012142230322681619252731333624210121416182426283038402481012141620222628303234362426810121424610122426244262628262681026286236[[#This Row],[Saldo no cartão]:[Recarga Pendente]])</f>
        <v>0</v>
      </c>
      <c r="N1012" s="19">
        <f>Tabela174681012142230322681619252731333624210121416182426283038402481012141620222628303234362426810121424610122426244262628262681026286236[[#This Row],[Uso diário]]*2</f>
        <v>26.8</v>
      </c>
      <c r="O1012" s="19">
        <f>Tabela174681012142230322681619252731333624210121416182426283038402481012141620222628303234362426810121424610122426244262628262681026286236[[#This Row],[Total Acumulado]]-P1012</f>
        <v>-67</v>
      </c>
      <c r="P1012" s="48">
        <f>Tabela174681012142230322681619252731333624210121416182426283038402481012141620222628303234362426810121424610122426244262628262681026286236[[#This Row],[Uso diário]]*5</f>
        <v>67</v>
      </c>
      <c r="Q10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2" s="25">
        <v>22</v>
      </c>
    </row>
    <row r="1013" spans="1:20" s="26" customFormat="1" x14ac:dyDescent="0.25">
      <c r="A1013" s="16">
        <v>231177</v>
      </c>
      <c r="B1013" s="30" t="s">
        <v>773</v>
      </c>
      <c r="C1013" s="20" t="s">
        <v>653</v>
      </c>
      <c r="D1013" s="20" t="s">
        <v>714</v>
      </c>
      <c r="E1013" s="20" t="s">
        <v>3538</v>
      </c>
      <c r="F1013" s="20" t="s">
        <v>3539</v>
      </c>
      <c r="G1013" s="21">
        <v>13.4</v>
      </c>
      <c r="H1013" s="16">
        <v>11</v>
      </c>
      <c r="I1013" s="16">
        <v>1</v>
      </c>
      <c r="J10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134</v>
      </c>
      <c r="K1013" s="22"/>
      <c r="L1013" s="23"/>
      <c r="M1013" s="23">
        <f>SUM(Tabela174681012142230322681619252731333624210121416182426283038402481012141620222628303234362426810121424610122426244262628262681026286236[[#This Row],[Saldo no cartão]:[Recarga Pendente]])</f>
        <v>0</v>
      </c>
      <c r="N1013" s="19">
        <f>Tabela174681012142230322681619252731333624210121416182426283038402481012141620222628303234362426810121424610122426244262628262681026286236[[#This Row],[Uso diário]]*2</f>
        <v>26.8</v>
      </c>
      <c r="O1013" s="19">
        <f>Tabela174681012142230322681619252731333624210121416182426283038402481012141620222628303234362426810121424610122426244262628262681026286236[[#This Row],[Total Acumulado]]-P1013</f>
        <v>-67</v>
      </c>
      <c r="P1013" s="48">
        <f>Tabela174681012142230322681619252731333624210121416182426283038402481012141620222628303234362426810121424610122426244262628262681026286236[[#This Row],[Uso diário]]*5</f>
        <v>67</v>
      </c>
      <c r="Q10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134</v>
      </c>
      <c r="S10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3" s="25">
        <v>22</v>
      </c>
    </row>
    <row r="1014" spans="1:20" s="26" customFormat="1" x14ac:dyDescent="0.25">
      <c r="A1014" s="16">
        <v>231222</v>
      </c>
      <c r="B1014" s="30" t="s">
        <v>1502</v>
      </c>
      <c r="C1014" s="20" t="s">
        <v>653</v>
      </c>
      <c r="D1014" s="20" t="s">
        <v>714</v>
      </c>
      <c r="E1014" s="20" t="s">
        <v>3540</v>
      </c>
      <c r="F1014" s="20" t="s">
        <v>3541</v>
      </c>
      <c r="G1014" s="21">
        <v>13.4</v>
      </c>
      <c r="H1014" s="16">
        <v>26</v>
      </c>
      <c r="I1014" s="16"/>
      <c r="J10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4" s="22"/>
      <c r="L1014" s="23"/>
      <c r="M1014" s="23">
        <f>SUM(Tabela174681012142230322681619252731333624210121416182426283038402481012141620222628303234362426810121424610122426244262628262681026286236[[#This Row],[Saldo no cartão]:[Recarga Pendente]])</f>
        <v>0</v>
      </c>
      <c r="N1014" s="19">
        <f>Tabela174681012142230322681619252731333624210121416182426283038402481012141620222628303234362426810121424610122426244262628262681026286236[[#This Row],[Uso diário]]*2</f>
        <v>26.8</v>
      </c>
      <c r="O1014" s="19">
        <f>Tabela174681012142230322681619252731333624210121416182426283038402481012141620222628303234362426810121424610122426244262628262681026286236[[#This Row],[Total Acumulado]]-P1014</f>
        <v>-67</v>
      </c>
      <c r="P1014" s="48">
        <f>Tabela174681012142230322681619252731333624210121416182426283038402481012141620222628303234362426810121424610122426244262628262681026286236[[#This Row],[Uso diário]]*5</f>
        <v>67</v>
      </c>
      <c r="Q10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4" s="25">
        <v>22</v>
      </c>
    </row>
    <row r="1015" spans="1:20" s="26" customFormat="1" x14ac:dyDescent="0.25">
      <c r="A1015" s="16">
        <v>231827</v>
      </c>
      <c r="B1015" s="30" t="s">
        <v>856</v>
      </c>
      <c r="C1015" s="20" t="s">
        <v>653</v>
      </c>
      <c r="D1015" s="20" t="s">
        <v>714</v>
      </c>
      <c r="E1015" s="20" t="s">
        <v>3542</v>
      </c>
      <c r="F1015" s="20" t="s">
        <v>3543</v>
      </c>
      <c r="G1015" s="21">
        <v>13.4</v>
      </c>
      <c r="H1015" s="16">
        <v>26</v>
      </c>
      <c r="I1015" s="16"/>
      <c r="J10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5" s="22"/>
      <c r="L1015" s="23"/>
      <c r="M1015" s="23">
        <f>SUM(Tabela174681012142230322681619252731333624210121416182426283038402481012141620222628303234362426810121424610122426244262628262681026286236[[#This Row],[Saldo no cartão]:[Recarga Pendente]])</f>
        <v>0</v>
      </c>
      <c r="N1015" s="19">
        <f>Tabela174681012142230322681619252731333624210121416182426283038402481012141620222628303234362426810121424610122426244262628262681026286236[[#This Row],[Uso diário]]*2</f>
        <v>26.8</v>
      </c>
      <c r="O1015" s="19">
        <f>Tabela174681012142230322681619252731333624210121416182426283038402481012141620222628303234362426810121424610122426244262628262681026286236[[#This Row],[Total Acumulado]]-P1015</f>
        <v>-67</v>
      </c>
      <c r="P1015" s="48">
        <f>Tabela174681012142230322681619252731333624210121416182426283038402481012141620222628303234362426810121424610122426244262628262681026286236[[#This Row],[Uso diário]]*5</f>
        <v>67</v>
      </c>
      <c r="Q10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5" s="25">
        <v>22</v>
      </c>
    </row>
    <row r="1016" spans="1:20" s="26" customFormat="1" x14ac:dyDescent="0.25">
      <c r="A1016" s="16">
        <v>233200</v>
      </c>
      <c r="B1016" s="30" t="s">
        <v>1010</v>
      </c>
      <c r="C1016" s="20" t="s">
        <v>653</v>
      </c>
      <c r="D1016" s="20" t="s">
        <v>714</v>
      </c>
      <c r="E1016" s="20" t="s">
        <v>3544</v>
      </c>
      <c r="F1016" s="20" t="s">
        <v>3545</v>
      </c>
      <c r="G1016" s="21">
        <v>18.8</v>
      </c>
      <c r="H1016" s="16">
        <v>26</v>
      </c>
      <c r="I1016" s="16"/>
      <c r="J10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16" s="22"/>
      <c r="L1016" s="23">
        <v>81.45</v>
      </c>
      <c r="M1016" s="23">
        <f>SUM(Tabela174681012142230322681619252731333624210121416182426283038402481012141620222628303234362426810121424610122426244262628262681026286236[[#This Row],[Saldo no cartão]:[Recarga Pendente]])</f>
        <v>81.45</v>
      </c>
      <c r="N1016" s="19">
        <f>Tabela174681012142230322681619252731333624210121416182426283038402481012141620222628303234362426810121424610122426244262628262681026286236[[#This Row],[Uso diário]]*2</f>
        <v>37.6</v>
      </c>
      <c r="O1016" s="19">
        <f>Tabela174681012142230322681619252731333624210121416182426283038402481012141620222628303234362426810121424610122426244262628262681026286236[[#This Row],[Total Acumulado]]-P1016</f>
        <v>-12.549999999999997</v>
      </c>
      <c r="P1016" s="48">
        <f>Tabela174681012142230322681619252731333624210121416182426283038402481012141620222628303234362426810121424610122426244262628262681026286236[[#This Row],[Uso diário]]*5</f>
        <v>94</v>
      </c>
      <c r="Q10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6" s="25">
        <v>22</v>
      </c>
    </row>
    <row r="1017" spans="1:20" s="26" customFormat="1" x14ac:dyDescent="0.25">
      <c r="A1017" s="16">
        <v>234227</v>
      </c>
      <c r="B1017" s="30" t="s">
        <v>1227</v>
      </c>
      <c r="C1017" s="20" t="s">
        <v>653</v>
      </c>
      <c r="D1017" s="20" t="s">
        <v>714</v>
      </c>
      <c r="E1017" s="20" t="s">
        <v>3546</v>
      </c>
      <c r="F1017" s="20" t="s">
        <v>3547</v>
      </c>
      <c r="G1017" s="21">
        <v>13.4</v>
      </c>
      <c r="H1017" s="16">
        <v>26</v>
      </c>
      <c r="I1017" s="16"/>
      <c r="J10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7" s="22"/>
      <c r="L1017" s="23"/>
      <c r="M1017" s="23">
        <f>SUM(Tabela174681012142230322681619252731333624210121416182426283038402481012141620222628303234362426810121424610122426244262628262681026286236[[#This Row],[Saldo no cartão]:[Recarga Pendente]])</f>
        <v>0</v>
      </c>
      <c r="N1017" s="19">
        <f>Tabela174681012142230322681619252731333624210121416182426283038402481012141620222628303234362426810121424610122426244262628262681026286236[[#This Row],[Uso diário]]*2</f>
        <v>26.8</v>
      </c>
      <c r="O1017" s="19">
        <f>Tabela174681012142230322681619252731333624210121416182426283038402481012141620222628303234362426810121424610122426244262628262681026286236[[#This Row],[Total Acumulado]]-P1017</f>
        <v>-67</v>
      </c>
      <c r="P1017" s="48">
        <f>Tabela174681012142230322681619252731333624210121416182426283038402481012141620222628303234362426810121424610122426244262628262681026286236[[#This Row],[Uso diário]]*5</f>
        <v>67</v>
      </c>
      <c r="Q10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7" s="25">
        <v>22</v>
      </c>
    </row>
    <row r="1018" spans="1:20" s="26" customFormat="1" x14ac:dyDescent="0.25">
      <c r="A1018" s="16">
        <v>235075</v>
      </c>
      <c r="B1018" s="30" t="s">
        <v>1503</v>
      </c>
      <c r="C1018" s="20" t="s">
        <v>653</v>
      </c>
      <c r="D1018" s="20" t="s">
        <v>714</v>
      </c>
      <c r="E1018" s="20" t="s">
        <v>3548</v>
      </c>
      <c r="F1018" s="20" t="s">
        <v>3549</v>
      </c>
      <c r="G1018" s="21">
        <v>13.4</v>
      </c>
      <c r="H1018" s="16">
        <v>26</v>
      </c>
      <c r="I1018" s="16"/>
      <c r="J10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8" s="22"/>
      <c r="L1018" s="23"/>
      <c r="M1018" s="23">
        <f>SUM(Tabela174681012142230322681619252731333624210121416182426283038402481012141620222628303234362426810121424610122426244262628262681026286236[[#This Row],[Saldo no cartão]:[Recarga Pendente]])</f>
        <v>0</v>
      </c>
      <c r="N1018" s="19">
        <f>Tabela174681012142230322681619252731333624210121416182426283038402481012141620222628303234362426810121424610122426244262628262681026286236[[#This Row],[Uso diário]]*2</f>
        <v>26.8</v>
      </c>
      <c r="O1018" s="19">
        <f>Tabela174681012142230322681619252731333624210121416182426283038402481012141620222628303234362426810121424610122426244262628262681026286236[[#This Row],[Total Acumulado]]-P1018</f>
        <v>-67</v>
      </c>
      <c r="P1018" s="48">
        <f>Tabela174681012142230322681619252731333624210121416182426283038402481012141620222628303234362426810121424610122426244262628262681026286236[[#This Row],[Uso diário]]*5</f>
        <v>67</v>
      </c>
      <c r="Q10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8" s="25">
        <v>22</v>
      </c>
    </row>
    <row r="1019" spans="1:20" s="26" customFormat="1" x14ac:dyDescent="0.25">
      <c r="A1019" s="16">
        <v>235106</v>
      </c>
      <c r="B1019" s="30" t="s">
        <v>1504</v>
      </c>
      <c r="C1019" s="20" t="s">
        <v>653</v>
      </c>
      <c r="D1019" s="20" t="s">
        <v>714</v>
      </c>
      <c r="E1019" s="20" t="e">
        <v>#N/A</v>
      </c>
      <c r="F1019" s="20" t="e">
        <v>#N/A</v>
      </c>
      <c r="G1019" s="21">
        <v>13.4</v>
      </c>
      <c r="H1019" s="16">
        <v>26</v>
      </c>
      <c r="I1019" s="16"/>
      <c r="J10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19" s="22"/>
      <c r="L1019" s="23"/>
      <c r="M1019" s="23">
        <f>SUM(Tabela174681012142230322681619252731333624210121416182426283038402481012141620222628303234362426810121424610122426244262628262681026286236[[#This Row],[Saldo no cartão]:[Recarga Pendente]])</f>
        <v>0</v>
      </c>
      <c r="N1019" s="19">
        <f>Tabela174681012142230322681619252731333624210121416182426283038402481012141620222628303234362426810121424610122426244262628262681026286236[[#This Row],[Uso diário]]*2</f>
        <v>26.8</v>
      </c>
      <c r="O1019" s="19">
        <f>Tabela174681012142230322681619252731333624210121416182426283038402481012141620222628303234362426810121424610122426244262628262681026286236[[#This Row],[Total Acumulado]]-P1019</f>
        <v>-67</v>
      </c>
      <c r="P1019" s="48">
        <f>Tabela174681012142230322681619252731333624210121416182426283038402481012141620222628303234362426810121424610122426244262628262681026286236[[#This Row],[Uso diário]]*5</f>
        <v>67</v>
      </c>
      <c r="Q10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19" s="25">
        <v>22</v>
      </c>
    </row>
    <row r="1020" spans="1:20" s="26" customFormat="1" x14ac:dyDescent="0.25">
      <c r="A1020" s="16">
        <v>224336</v>
      </c>
      <c r="B1020" s="30" t="s">
        <v>441</v>
      </c>
      <c r="C1020" s="20" t="s">
        <v>656</v>
      </c>
      <c r="D1020" s="20" t="s">
        <v>740</v>
      </c>
      <c r="E1020" s="20" t="s">
        <v>3550</v>
      </c>
      <c r="F1020" s="20" t="s">
        <v>3551</v>
      </c>
      <c r="G1020" s="21">
        <v>13.4</v>
      </c>
      <c r="H1020" s="16">
        <v>26</v>
      </c>
      <c r="I1020" s="16"/>
      <c r="J10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20" s="22"/>
      <c r="L1020" s="23"/>
      <c r="M1020" s="23">
        <f>SUM(Tabela174681012142230322681619252731333624210121416182426283038402481012141620222628303234362426810121424610122426244262628262681026286236[[#This Row],[Saldo no cartão]:[Recarga Pendente]])</f>
        <v>0</v>
      </c>
      <c r="N1020" s="19">
        <f>Tabela174681012142230322681619252731333624210121416182426283038402481012141620222628303234362426810121424610122426244262628262681026286236[[#This Row],[Uso diário]]*2</f>
        <v>26.8</v>
      </c>
      <c r="O1020" s="19">
        <f>Tabela174681012142230322681619252731333624210121416182426283038402481012141620222628303234362426810121424610122426244262628262681026286236[[#This Row],[Total Acumulado]]-P1020</f>
        <v>-67</v>
      </c>
      <c r="P1020" s="48">
        <f>Tabela174681012142230322681619252731333624210121416182426283038402481012141620222628303234362426810121424610122426244262628262681026286236[[#This Row],[Uso diário]]*5</f>
        <v>67</v>
      </c>
      <c r="Q10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0" s="25">
        <v>22</v>
      </c>
    </row>
    <row r="1021" spans="1:20" s="26" customFormat="1" x14ac:dyDescent="0.25">
      <c r="A1021" s="16">
        <v>4157</v>
      </c>
      <c r="B1021" s="30" t="s">
        <v>477</v>
      </c>
      <c r="C1021" s="20" t="s">
        <v>654</v>
      </c>
      <c r="D1021" s="20" t="s">
        <v>731</v>
      </c>
      <c r="E1021" s="20" t="s">
        <v>3552</v>
      </c>
      <c r="F1021" s="20" t="s">
        <v>3553</v>
      </c>
      <c r="G1021" s="21">
        <v>18.8</v>
      </c>
      <c r="H1021" s="16">
        <v>26</v>
      </c>
      <c r="I1021" s="16"/>
      <c r="J10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21" s="22"/>
      <c r="L1021" s="23">
        <v>282.8</v>
      </c>
      <c r="M1021" s="23">
        <f>SUM(Tabela174681012142230322681619252731333624210121416182426283038402481012141620222628303234362426810121424610122426244262628262681026286236[[#This Row],[Saldo no cartão]:[Recarga Pendente]])</f>
        <v>282.8</v>
      </c>
      <c r="N1021" s="19">
        <f>Tabela174681012142230322681619252731333624210121416182426283038402481012141620222628303234362426810121424610122426244262628262681026286236[[#This Row],[Uso diário]]*2</f>
        <v>37.6</v>
      </c>
      <c r="O1021" s="19">
        <f>Tabela174681012142230322681619252731333624210121416182426283038402481012141620222628303234362426810121424610122426244262628262681026286236[[#This Row],[Total Acumulado]]-P1021</f>
        <v>188.8</v>
      </c>
      <c r="P1021" s="48">
        <f>Tabela174681012142230322681619252731333624210121416182426283038402481012141620222628303234362426810121424610122426244262628262681026286236[[#This Row],[Uso diário]]*5</f>
        <v>94</v>
      </c>
      <c r="Q10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188.8</v>
      </c>
      <c r="R10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</v>
      </c>
      <c r="S1021" s="18" t="s">
        <v>11</v>
      </c>
      <c r="T1021" s="25">
        <v>22</v>
      </c>
    </row>
    <row r="1022" spans="1:20" s="26" customFormat="1" x14ac:dyDescent="0.25">
      <c r="A1022" s="16">
        <v>219225</v>
      </c>
      <c r="B1022" s="30" t="s">
        <v>479</v>
      </c>
      <c r="C1022" s="20" t="s">
        <v>654</v>
      </c>
      <c r="D1022" s="20" t="s">
        <v>715</v>
      </c>
      <c r="E1022" s="20" t="s">
        <v>3554</v>
      </c>
      <c r="F1022" s="20" t="s">
        <v>3555</v>
      </c>
      <c r="G1022" s="21">
        <v>13.4</v>
      </c>
      <c r="H1022" s="16">
        <v>26</v>
      </c>
      <c r="I1022" s="16"/>
      <c r="J10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22" s="22"/>
      <c r="L1022" s="23"/>
      <c r="M1022" s="23">
        <f>SUM(Tabela174681012142230322681619252731333624210121416182426283038402481012141620222628303234362426810121424610122426244262628262681026286236[[#This Row],[Saldo no cartão]:[Recarga Pendente]])</f>
        <v>0</v>
      </c>
      <c r="N1022" s="19">
        <f>Tabela174681012142230322681619252731333624210121416182426283038402481012141620222628303234362426810121424610122426244262628262681026286236[[#This Row],[Uso diário]]*2</f>
        <v>26.8</v>
      </c>
      <c r="O1022" s="19">
        <f>Tabela174681012142230322681619252731333624210121416182426283038402481012141620222628303234362426810121424610122426244262628262681026286236[[#This Row],[Total Acumulado]]-P1022</f>
        <v>-67</v>
      </c>
      <c r="P1022" s="48">
        <f>Tabela174681012142230322681619252731333624210121416182426283038402481012141620222628303234362426810121424610122426244262628262681026286236[[#This Row],[Uso diário]]*5</f>
        <v>67</v>
      </c>
      <c r="Q10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2" s="25">
        <v>22</v>
      </c>
    </row>
    <row r="1023" spans="1:20" s="26" customFormat="1" x14ac:dyDescent="0.25">
      <c r="A1023" s="16">
        <v>222309</v>
      </c>
      <c r="B1023" s="30" t="s">
        <v>481</v>
      </c>
      <c r="C1023" s="20" t="s">
        <v>654</v>
      </c>
      <c r="D1023" s="20" t="s">
        <v>715</v>
      </c>
      <c r="E1023" s="20" t="s">
        <v>3556</v>
      </c>
      <c r="F1023" s="20" t="s">
        <v>3557</v>
      </c>
      <c r="G1023" s="21">
        <v>13.7</v>
      </c>
      <c r="H1023" s="16">
        <v>26</v>
      </c>
      <c r="I1023" s="16"/>
      <c r="J10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356.2</v>
      </c>
      <c r="K1023" s="22"/>
      <c r="L1023" s="23">
        <v>242.5</v>
      </c>
      <c r="M1023" s="23">
        <f>SUM(Tabela174681012142230322681619252731333624210121416182426283038402481012141620222628303234362426810121424610122426244262628262681026286236[[#This Row],[Saldo no cartão]:[Recarga Pendente]])</f>
        <v>242.5</v>
      </c>
      <c r="N1023" s="19">
        <f>Tabela174681012142230322681619252731333624210121416182426283038402481012141620222628303234362426810121424610122426244262628262681026286236[[#This Row],[Uso diário]]*2</f>
        <v>27.4</v>
      </c>
      <c r="O1023" s="19">
        <f>Tabela174681012142230322681619252731333624210121416182426283038402481012141620222628303234362426810121424610122426244262628262681026286236[[#This Row],[Total Acumulado]]-P1023</f>
        <v>174</v>
      </c>
      <c r="P1023" s="48">
        <f>Tabela174681012142230322681619252731333624210121416182426283038402481012141620222628303234362426810121424610122426244262628262681026286236[[#This Row],[Uso diário]]*5</f>
        <v>68.5</v>
      </c>
      <c r="Q10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174</v>
      </c>
      <c r="R10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182.2</v>
      </c>
      <c r="S1023" s="18" t="s">
        <v>11</v>
      </c>
      <c r="T1023" s="25">
        <v>22</v>
      </c>
    </row>
    <row r="1024" spans="1:20" s="26" customFormat="1" x14ac:dyDescent="0.25">
      <c r="A1024" s="16">
        <v>222371</v>
      </c>
      <c r="B1024" s="30" t="s">
        <v>1228</v>
      </c>
      <c r="C1024" s="20" t="s">
        <v>654</v>
      </c>
      <c r="D1024" s="20" t="s">
        <v>715</v>
      </c>
      <c r="E1024" s="20" t="s">
        <v>3558</v>
      </c>
      <c r="F1024" s="20" t="s">
        <v>3559</v>
      </c>
      <c r="G1024" s="21">
        <v>18.8</v>
      </c>
      <c r="H1024" s="16">
        <v>26</v>
      </c>
      <c r="I1024" s="16"/>
      <c r="J10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24" s="22"/>
      <c r="L1024" s="23"/>
      <c r="M1024" s="23">
        <f>SUM(Tabela174681012142230322681619252731333624210121416182426283038402481012141620222628303234362426810121424610122426244262628262681026286236[[#This Row],[Saldo no cartão]:[Recarga Pendente]])</f>
        <v>0</v>
      </c>
      <c r="N1024" s="19">
        <f>Tabela174681012142230322681619252731333624210121416182426283038402481012141620222628303234362426810121424610122426244262628262681026286236[[#This Row],[Uso diário]]*2</f>
        <v>37.6</v>
      </c>
      <c r="O1024" s="19">
        <f>Tabela174681012142230322681619252731333624210121416182426283038402481012141620222628303234362426810121424610122426244262628262681026286236[[#This Row],[Total Acumulado]]-P1024</f>
        <v>-94</v>
      </c>
      <c r="P1024" s="48">
        <f>Tabela174681012142230322681619252731333624210121416182426283038402481012141620222628303234362426810121424610122426244262628262681026286236[[#This Row],[Uso diário]]*5</f>
        <v>94</v>
      </c>
      <c r="Q10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4" s="25">
        <v>22</v>
      </c>
    </row>
    <row r="1025" spans="1:20" s="26" customFormat="1" x14ac:dyDescent="0.25">
      <c r="A1025" s="16">
        <v>223192</v>
      </c>
      <c r="B1025" s="30" t="s">
        <v>482</v>
      </c>
      <c r="C1025" s="20" t="s">
        <v>654</v>
      </c>
      <c r="D1025" s="20" t="s">
        <v>715</v>
      </c>
      <c r="E1025" s="20" t="s">
        <v>3560</v>
      </c>
      <c r="F1025" s="20" t="s">
        <v>3561</v>
      </c>
      <c r="G1025" s="21">
        <v>13.4</v>
      </c>
      <c r="H1025" s="16">
        <v>26</v>
      </c>
      <c r="I1025" s="16"/>
      <c r="J10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25" s="22"/>
      <c r="L1025" s="23"/>
      <c r="M1025" s="23">
        <f>SUM(Tabela174681012142230322681619252731333624210121416182426283038402481012141620222628303234362426810121424610122426244262628262681026286236[[#This Row],[Saldo no cartão]:[Recarga Pendente]])</f>
        <v>0</v>
      </c>
      <c r="N1025" s="19">
        <f>Tabela174681012142230322681619252731333624210121416182426283038402481012141620222628303234362426810121424610122426244262628262681026286236[[#This Row],[Uso diário]]*2</f>
        <v>26.8</v>
      </c>
      <c r="O1025" s="19">
        <f>Tabela174681012142230322681619252731333624210121416182426283038402481012141620222628303234362426810121424610122426244262628262681026286236[[#This Row],[Total Acumulado]]-P1025</f>
        <v>-67</v>
      </c>
      <c r="P1025" s="48">
        <f>Tabela174681012142230322681619252731333624210121416182426283038402481012141620222628303234362426810121424610122426244262628262681026286236[[#This Row],[Uso diário]]*5</f>
        <v>67</v>
      </c>
      <c r="Q10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5" s="25">
        <v>22</v>
      </c>
    </row>
    <row r="1026" spans="1:20" s="26" customFormat="1" x14ac:dyDescent="0.25">
      <c r="A1026" s="16">
        <v>225123</v>
      </c>
      <c r="B1026" s="30" t="s">
        <v>483</v>
      </c>
      <c r="C1026" s="20" t="s">
        <v>654</v>
      </c>
      <c r="D1026" s="20" t="s">
        <v>715</v>
      </c>
      <c r="E1026" s="20" t="s">
        <v>3562</v>
      </c>
      <c r="F1026" s="20" t="s">
        <v>3563</v>
      </c>
      <c r="G1026" s="21">
        <v>13.4</v>
      </c>
      <c r="H1026" s="16">
        <v>26</v>
      </c>
      <c r="I1026" s="16"/>
      <c r="J10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26" s="22"/>
      <c r="L1026" s="23"/>
      <c r="M1026" s="23">
        <f>SUM(Tabela174681012142230322681619252731333624210121416182426283038402481012141620222628303234362426810121424610122426244262628262681026286236[[#This Row],[Saldo no cartão]:[Recarga Pendente]])</f>
        <v>0</v>
      </c>
      <c r="N1026" s="19">
        <f>Tabela174681012142230322681619252731333624210121416182426283038402481012141620222628303234362426810121424610122426244262628262681026286236[[#This Row],[Uso diário]]*2</f>
        <v>26.8</v>
      </c>
      <c r="O1026" s="19">
        <f>Tabela174681012142230322681619252731333624210121416182426283038402481012141620222628303234362426810121424610122426244262628262681026286236[[#This Row],[Total Acumulado]]-P1026</f>
        <v>-67</v>
      </c>
      <c r="P1026" s="48">
        <f>Tabela174681012142230322681619252731333624210121416182426283038402481012141620222628303234362426810121424610122426244262628262681026286236[[#This Row],[Uso diário]]*5</f>
        <v>67</v>
      </c>
      <c r="Q10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6" s="25">
        <v>22</v>
      </c>
    </row>
    <row r="1027" spans="1:20" s="26" customFormat="1" x14ac:dyDescent="0.25">
      <c r="A1027" s="16">
        <v>226402</v>
      </c>
      <c r="B1027" s="30" t="s">
        <v>484</v>
      </c>
      <c r="C1027" s="20" t="s">
        <v>654</v>
      </c>
      <c r="D1027" s="20" t="s">
        <v>715</v>
      </c>
      <c r="E1027" s="20" t="s">
        <v>3564</v>
      </c>
      <c r="F1027" s="20" t="s">
        <v>3565</v>
      </c>
      <c r="G1027" s="21">
        <v>13.4</v>
      </c>
      <c r="H1027" s="16">
        <v>26</v>
      </c>
      <c r="I1027" s="16"/>
      <c r="J10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27" s="22"/>
      <c r="L1027" s="23"/>
      <c r="M1027" s="23">
        <f>SUM(Tabela174681012142230322681619252731333624210121416182426283038402481012141620222628303234362426810121424610122426244262628262681026286236[[#This Row],[Saldo no cartão]:[Recarga Pendente]])</f>
        <v>0</v>
      </c>
      <c r="N1027" s="19">
        <f>Tabela174681012142230322681619252731333624210121416182426283038402481012141620222628303234362426810121424610122426244262628262681026286236[[#This Row],[Uso diário]]*2</f>
        <v>26.8</v>
      </c>
      <c r="O1027" s="19">
        <f>Tabela174681012142230322681619252731333624210121416182426283038402481012141620222628303234362426810121424610122426244262628262681026286236[[#This Row],[Total Acumulado]]-P1027</f>
        <v>-67</v>
      </c>
      <c r="P1027" s="48">
        <f>Tabela174681012142230322681619252731333624210121416182426283038402481012141620222628303234362426810121424610122426244262628262681026286236[[#This Row],[Uso diário]]*5</f>
        <v>67</v>
      </c>
      <c r="Q10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7" s="25">
        <v>22</v>
      </c>
    </row>
    <row r="1028" spans="1:20" s="26" customFormat="1" x14ac:dyDescent="0.25">
      <c r="A1028" s="16">
        <v>228529</v>
      </c>
      <c r="B1028" s="30" t="s">
        <v>485</v>
      </c>
      <c r="C1028" s="20" t="s">
        <v>654</v>
      </c>
      <c r="D1028" s="20" t="s">
        <v>715</v>
      </c>
      <c r="E1028" s="20" t="s">
        <v>3566</v>
      </c>
      <c r="F1028" s="20" t="s">
        <v>3567</v>
      </c>
      <c r="G1028" s="21">
        <v>13.4</v>
      </c>
      <c r="H1028" s="16">
        <v>26</v>
      </c>
      <c r="I1028" s="16"/>
      <c r="J10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28" s="22"/>
      <c r="L1028" s="23"/>
      <c r="M1028" s="23">
        <f>SUM(Tabela174681012142230322681619252731333624210121416182426283038402481012141620222628303234362426810121424610122426244262628262681026286236[[#This Row],[Saldo no cartão]:[Recarga Pendente]])</f>
        <v>0</v>
      </c>
      <c r="N1028" s="19">
        <f>Tabela174681012142230322681619252731333624210121416182426283038402481012141620222628303234362426810121424610122426244262628262681026286236[[#This Row],[Uso diário]]*2</f>
        <v>26.8</v>
      </c>
      <c r="O1028" s="19">
        <f>Tabela174681012142230322681619252731333624210121416182426283038402481012141620222628303234362426810121424610122426244262628262681026286236[[#This Row],[Total Acumulado]]-P1028</f>
        <v>-67</v>
      </c>
      <c r="P1028" s="48">
        <f>Tabela174681012142230322681619252731333624210121416182426283038402481012141620222628303234362426810121424610122426244262628262681026286236[[#This Row],[Uso diário]]*5</f>
        <v>67</v>
      </c>
      <c r="Q10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8" s="25">
        <v>22</v>
      </c>
    </row>
    <row r="1029" spans="1:20" s="26" customFormat="1" x14ac:dyDescent="0.25">
      <c r="A1029" s="16">
        <v>229214</v>
      </c>
      <c r="B1029" s="30" t="s">
        <v>486</v>
      </c>
      <c r="C1029" s="20" t="s">
        <v>654</v>
      </c>
      <c r="D1029" s="20" t="s">
        <v>715</v>
      </c>
      <c r="E1029" s="20" t="s">
        <v>3568</v>
      </c>
      <c r="F1029" s="20" t="s">
        <v>3569</v>
      </c>
      <c r="G1029" s="21">
        <v>15.4</v>
      </c>
      <c r="H1029" s="16">
        <v>26</v>
      </c>
      <c r="I1029" s="16"/>
      <c r="J10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029" s="22"/>
      <c r="L1029" s="23"/>
      <c r="M1029" s="23">
        <f>SUM(Tabela174681012142230322681619252731333624210121416182426283038402481012141620222628303234362426810121424610122426244262628262681026286236[[#This Row],[Saldo no cartão]:[Recarga Pendente]])</f>
        <v>0</v>
      </c>
      <c r="N1029" s="19">
        <f>Tabela174681012142230322681619252731333624210121416182426283038402481012141620222628303234362426810121424610122426244262628262681026286236[[#This Row],[Uso diário]]*2</f>
        <v>30.8</v>
      </c>
      <c r="O1029" s="19">
        <f>Tabela174681012142230322681619252731333624210121416182426283038402481012141620222628303234362426810121424610122426244262628262681026286236[[#This Row],[Total Acumulado]]-P1029</f>
        <v>-77</v>
      </c>
      <c r="P1029" s="48">
        <f>Tabela174681012142230322681619252731333624210121416182426283038402481012141620222628303234362426810121424610122426244262628262681026286236[[#This Row],[Uso diário]]*5</f>
        <v>77</v>
      </c>
      <c r="Q10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0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29" s="25">
        <v>22</v>
      </c>
    </row>
    <row r="1030" spans="1:20" s="26" customFormat="1" x14ac:dyDescent="0.25">
      <c r="A1030" s="16">
        <v>229909</v>
      </c>
      <c r="B1030" s="30" t="s">
        <v>487</v>
      </c>
      <c r="C1030" s="20" t="s">
        <v>654</v>
      </c>
      <c r="D1030" s="20" t="s">
        <v>715</v>
      </c>
      <c r="E1030" s="20" t="s">
        <v>3570</v>
      </c>
      <c r="F1030" s="20" t="s">
        <v>3571</v>
      </c>
      <c r="G1030" s="21">
        <v>13.4</v>
      </c>
      <c r="H1030" s="16">
        <v>26</v>
      </c>
      <c r="I1030" s="16"/>
      <c r="J10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0" s="22"/>
      <c r="L1030" s="23"/>
      <c r="M1030" s="23">
        <f>SUM(Tabela174681012142230322681619252731333624210121416182426283038402481012141620222628303234362426810121424610122426244262628262681026286236[[#This Row],[Saldo no cartão]:[Recarga Pendente]])</f>
        <v>0</v>
      </c>
      <c r="N1030" s="19">
        <f>Tabela174681012142230322681619252731333624210121416182426283038402481012141620222628303234362426810121424610122426244262628262681026286236[[#This Row],[Uso diário]]*2</f>
        <v>26.8</v>
      </c>
      <c r="O1030" s="19">
        <f>Tabela174681012142230322681619252731333624210121416182426283038402481012141620222628303234362426810121424610122426244262628262681026286236[[#This Row],[Total Acumulado]]-P1030</f>
        <v>-67</v>
      </c>
      <c r="P1030" s="48">
        <f>Tabela174681012142230322681619252731333624210121416182426283038402481012141620222628303234362426810121424610122426244262628262681026286236[[#This Row],[Uso diário]]*5</f>
        <v>67</v>
      </c>
      <c r="Q10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0" s="25">
        <v>22</v>
      </c>
    </row>
    <row r="1031" spans="1:20" s="26" customFormat="1" x14ac:dyDescent="0.25">
      <c r="A1031" s="16">
        <v>230377</v>
      </c>
      <c r="B1031" s="30" t="s">
        <v>488</v>
      </c>
      <c r="C1031" s="20" t="s">
        <v>654</v>
      </c>
      <c r="D1031" s="20" t="s">
        <v>715</v>
      </c>
      <c r="E1031" s="20" t="s">
        <v>3572</v>
      </c>
      <c r="F1031" s="20" t="s">
        <v>3573</v>
      </c>
      <c r="G1031" s="21">
        <v>13.4</v>
      </c>
      <c r="H1031" s="16">
        <v>26</v>
      </c>
      <c r="I1031" s="16"/>
      <c r="J10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1" s="22"/>
      <c r="L1031" s="23"/>
      <c r="M1031" s="23">
        <f>SUM(Tabela174681012142230322681619252731333624210121416182426283038402481012141620222628303234362426810121424610122426244262628262681026286236[[#This Row],[Saldo no cartão]:[Recarga Pendente]])</f>
        <v>0</v>
      </c>
      <c r="N1031" s="19">
        <f>Tabela174681012142230322681619252731333624210121416182426283038402481012141620222628303234362426810121424610122426244262628262681026286236[[#This Row],[Uso diário]]*2</f>
        <v>26.8</v>
      </c>
      <c r="O1031" s="19">
        <f>Tabela174681012142230322681619252731333624210121416182426283038402481012141620222628303234362426810121424610122426244262628262681026286236[[#This Row],[Total Acumulado]]-P1031</f>
        <v>-67</v>
      </c>
      <c r="P1031" s="48">
        <f>Tabela174681012142230322681619252731333624210121416182426283038402481012141620222628303234362426810121424610122426244262628262681026286236[[#This Row],[Uso diário]]*5</f>
        <v>67</v>
      </c>
      <c r="Q10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1" s="25">
        <v>22</v>
      </c>
    </row>
    <row r="1032" spans="1:20" s="26" customFormat="1" x14ac:dyDescent="0.25">
      <c r="A1032" s="16">
        <v>231041</v>
      </c>
      <c r="B1032" s="30" t="s">
        <v>1505</v>
      </c>
      <c r="C1032" s="20" t="s">
        <v>654</v>
      </c>
      <c r="D1032" s="20" t="s">
        <v>715</v>
      </c>
      <c r="E1032" s="20" t="s">
        <v>3574</v>
      </c>
      <c r="F1032" s="20" t="s">
        <v>3575</v>
      </c>
      <c r="G1032" s="21">
        <v>13.4</v>
      </c>
      <c r="H1032" s="16">
        <v>26</v>
      </c>
      <c r="I1032" s="16"/>
      <c r="J10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2" s="22"/>
      <c r="L1032" s="23"/>
      <c r="M1032" s="23">
        <f>SUM(Tabela174681012142230322681619252731333624210121416182426283038402481012141620222628303234362426810121424610122426244262628262681026286236[[#This Row],[Saldo no cartão]:[Recarga Pendente]])</f>
        <v>0</v>
      </c>
      <c r="N1032" s="19">
        <f>Tabela174681012142230322681619252731333624210121416182426283038402481012141620222628303234362426810121424610122426244262628262681026286236[[#This Row],[Uso diário]]*2</f>
        <v>26.8</v>
      </c>
      <c r="O1032" s="19">
        <f>Tabela174681012142230322681619252731333624210121416182426283038402481012141620222628303234362426810121424610122426244262628262681026286236[[#This Row],[Total Acumulado]]-P1032</f>
        <v>-67</v>
      </c>
      <c r="P1032" s="48">
        <f>Tabela174681012142230322681619252731333624210121416182426283038402481012141620222628303234362426810121424610122426244262628262681026286236[[#This Row],[Uso diário]]*5</f>
        <v>67</v>
      </c>
      <c r="Q10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2" s="25">
        <v>22</v>
      </c>
    </row>
    <row r="1033" spans="1:20" s="26" customFormat="1" x14ac:dyDescent="0.25">
      <c r="A1033" s="16">
        <v>231607</v>
      </c>
      <c r="B1033" s="30" t="s">
        <v>857</v>
      </c>
      <c r="C1033" s="20" t="s">
        <v>654</v>
      </c>
      <c r="D1033" s="20" t="s">
        <v>715</v>
      </c>
      <c r="E1033" s="20" t="s">
        <v>3576</v>
      </c>
      <c r="F1033" s="20" t="s">
        <v>3577</v>
      </c>
      <c r="G1033" s="21">
        <v>13.4</v>
      </c>
      <c r="H1033" s="16">
        <v>26</v>
      </c>
      <c r="I1033" s="16"/>
      <c r="J10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3" s="22"/>
      <c r="L1033" s="23"/>
      <c r="M1033" s="23">
        <f>SUM(Tabela174681012142230322681619252731333624210121416182426283038402481012141620222628303234362426810121424610122426244262628262681026286236[[#This Row],[Saldo no cartão]:[Recarga Pendente]])</f>
        <v>0</v>
      </c>
      <c r="N1033" s="19">
        <f>Tabela174681012142230322681619252731333624210121416182426283038402481012141620222628303234362426810121424610122426244262628262681026286236[[#This Row],[Uso diário]]*2</f>
        <v>26.8</v>
      </c>
      <c r="O1033" s="19">
        <f>Tabela174681012142230322681619252731333624210121416182426283038402481012141620222628303234362426810121424610122426244262628262681026286236[[#This Row],[Total Acumulado]]-P1033</f>
        <v>-67</v>
      </c>
      <c r="P1033" s="48">
        <f>Tabela174681012142230322681619252731333624210121416182426283038402481012141620222628303234362426810121424610122426244262628262681026286236[[#This Row],[Uso diário]]*5</f>
        <v>67</v>
      </c>
      <c r="Q10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3" s="25">
        <v>22</v>
      </c>
    </row>
    <row r="1034" spans="1:20" s="26" customFormat="1" x14ac:dyDescent="0.25">
      <c r="A1034" s="16">
        <v>231993</v>
      </c>
      <c r="B1034" s="30" t="s">
        <v>858</v>
      </c>
      <c r="C1034" s="20" t="s">
        <v>654</v>
      </c>
      <c r="D1034" s="20" t="s">
        <v>715</v>
      </c>
      <c r="E1034" s="20" t="s">
        <v>3578</v>
      </c>
      <c r="F1034" s="20" t="s">
        <v>3579</v>
      </c>
      <c r="G1034" s="21">
        <v>15.4</v>
      </c>
      <c r="H1034" s="16">
        <v>26</v>
      </c>
      <c r="I1034" s="16"/>
      <c r="J10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034" s="22"/>
      <c r="L1034" s="23"/>
      <c r="M1034" s="23">
        <f>SUM(Tabela174681012142230322681619252731333624210121416182426283038402481012141620222628303234362426810121424610122426244262628262681026286236[[#This Row],[Saldo no cartão]:[Recarga Pendente]])</f>
        <v>0</v>
      </c>
      <c r="N1034" s="19">
        <f>Tabela174681012142230322681619252731333624210121416182426283038402481012141620222628303234362426810121424610122426244262628262681026286236[[#This Row],[Uso diário]]*2</f>
        <v>30.8</v>
      </c>
      <c r="O1034" s="19">
        <f>Tabela174681012142230322681619252731333624210121416182426283038402481012141620222628303234362426810121424610122426244262628262681026286236[[#This Row],[Total Acumulado]]-P1034</f>
        <v>-77</v>
      </c>
      <c r="P1034" s="48">
        <f>Tabela174681012142230322681619252731333624210121416182426283038402481012141620222628303234362426810121424610122426244262628262681026286236[[#This Row],[Uso diário]]*5</f>
        <v>77</v>
      </c>
      <c r="Q10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0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4" s="25">
        <v>22</v>
      </c>
    </row>
    <row r="1035" spans="1:20" s="26" customFormat="1" x14ac:dyDescent="0.25">
      <c r="A1035" s="16">
        <v>232401</v>
      </c>
      <c r="B1035" s="30" t="s">
        <v>919</v>
      </c>
      <c r="C1035" s="20" t="s">
        <v>654</v>
      </c>
      <c r="D1035" s="20" t="s">
        <v>715</v>
      </c>
      <c r="E1035" s="20" t="s">
        <v>3580</v>
      </c>
      <c r="F1035" s="20" t="s">
        <v>3581</v>
      </c>
      <c r="G1035" s="21">
        <v>13.4</v>
      </c>
      <c r="H1035" s="16">
        <v>26</v>
      </c>
      <c r="I1035" s="16"/>
      <c r="J10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5" s="22"/>
      <c r="L1035" s="23"/>
      <c r="M1035" s="23">
        <f>SUM(Tabela174681012142230322681619252731333624210121416182426283038402481012141620222628303234362426810121424610122426244262628262681026286236[[#This Row],[Saldo no cartão]:[Recarga Pendente]])</f>
        <v>0</v>
      </c>
      <c r="N1035" s="19">
        <f>Tabela174681012142230322681619252731333624210121416182426283038402481012141620222628303234362426810121424610122426244262628262681026286236[[#This Row],[Uso diário]]*2</f>
        <v>26.8</v>
      </c>
      <c r="O1035" s="19">
        <f>Tabela174681012142230322681619252731333624210121416182426283038402481012141620222628303234362426810121424610122426244262628262681026286236[[#This Row],[Total Acumulado]]-P1035</f>
        <v>-67</v>
      </c>
      <c r="P1035" s="48">
        <f>Tabela174681012142230322681619252731333624210121416182426283038402481012141620222628303234362426810121424610122426244262628262681026286236[[#This Row],[Uso diário]]*5</f>
        <v>67</v>
      </c>
      <c r="Q10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5" s="25">
        <v>22</v>
      </c>
    </row>
    <row r="1036" spans="1:20" s="26" customFormat="1" x14ac:dyDescent="0.25">
      <c r="A1036" s="16">
        <v>234014</v>
      </c>
      <c r="B1036" s="30" t="s">
        <v>1229</v>
      </c>
      <c r="C1036" s="20" t="s">
        <v>654</v>
      </c>
      <c r="D1036" s="20" t="s">
        <v>715</v>
      </c>
      <c r="E1036" s="20" t="s">
        <v>3582</v>
      </c>
      <c r="F1036" s="20" t="s">
        <v>3583</v>
      </c>
      <c r="G1036" s="21">
        <v>13.4</v>
      </c>
      <c r="H1036" s="16">
        <v>26</v>
      </c>
      <c r="I1036" s="16"/>
      <c r="J10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6" s="22"/>
      <c r="L1036" s="23"/>
      <c r="M1036" s="23">
        <f>SUM(Tabela174681012142230322681619252731333624210121416182426283038402481012141620222628303234362426810121424610122426244262628262681026286236[[#This Row],[Saldo no cartão]:[Recarga Pendente]])</f>
        <v>0</v>
      </c>
      <c r="N1036" s="19">
        <f>Tabela174681012142230322681619252731333624210121416182426283038402481012141620222628303234362426810121424610122426244262628262681026286236[[#This Row],[Uso diário]]*2</f>
        <v>26.8</v>
      </c>
      <c r="O1036" s="19">
        <f>Tabela174681012142230322681619252731333624210121416182426283038402481012141620222628303234362426810121424610122426244262628262681026286236[[#This Row],[Total Acumulado]]-P1036</f>
        <v>-67</v>
      </c>
      <c r="P1036" s="48">
        <f>Tabela174681012142230322681619252731333624210121416182426283038402481012141620222628303234362426810121424610122426244262628262681026286236[[#This Row],[Uso diário]]*5</f>
        <v>67</v>
      </c>
      <c r="Q10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6" s="25">
        <v>22</v>
      </c>
    </row>
    <row r="1037" spans="1:20" s="26" customFormat="1" x14ac:dyDescent="0.25">
      <c r="A1037" s="16">
        <v>234073</v>
      </c>
      <c r="B1037" s="30" t="s">
        <v>1230</v>
      </c>
      <c r="C1037" s="20" t="s">
        <v>654</v>
      </c>
      <c r="D1037" s="20" t="s">
        <v>715</v>
      </c>
      <c r="E1037" s="20" t="s">
        <v>3584</v>
      </c>
      <c r="F1037" s="20" t="s">
        <v>3585</v>
      </c>
      <c r="G1037" s="21">
        <v>13.4</v>
      </c>
      <c r="H1037" s="16">
        <v>26</v>
      </c>
      <c r="I1037" s="16"/>
      <c r="J10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7" s="22"/>
      <c r="L1037" s="23"/>
      <c r="M1037" s="23">
        <f>SUM(Tabela174681012142230322681619252731333624210121416182426283038402481012141620222628303234362426810121424610122426244262628262681026286236[[#This Row],[Saldo no cartão]:[Recarga Pendente]])</f>
        <v>0</v>
      </c>
      <c r="N1037" s="19">
        <f>Tabela174681012142230322681619252731333624210121416182426283038402481012141620222628303234362426810121424610122426244262628262681026286236[[#This Row],[Uso diário]]*2</f>
        <v>26.8</v>
      </c>
      <c r="O1037" s="19">
        <f>Tabela174681012142230322681619252731333624210121416182426283038402481012141620222628303234362426810121424610122426244262628262681026286236[[#This Row],[Total Acumulado]]-P1037</f>
        <v>-67</v>
      </c>
      <c r="P1037" s="48">
        <f>Tabela174681012142230322681619252731333624210121416182426283038402481012141620222628303234362426810121424610122426244262628262681026286236[[#This Row],[Uso diário]]*5</f>
        <v>67</v>
      </c>
      <c r="Q10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7" s="25">
        <v>22</v>
      </c>
    </row>
    <row r="1038" spans="1:20" s="26" customFormat="1" x14ac:dyDescent="0.25">
      <c r="A1038" s="16">
        <v>234469</v>
      </c>
      <c r="B1038" s="30" t="s">
        <v>1298</v>
      </c>
      <c r="C1038" s="20" t="s">
        <v>654</v>
      </c>
      <c r="D1038" s="20" t="s">
        <v>715</v>
      </c>
      <c r="E1038" s="20" t="s">
        <v>3586</v>
      </c>
      <c r="F1038" s="20" t="s">
        <v>3587</v>
      </c>
      <c r="G1038" s="21">
        <v>13.4</v>
      </c>
      <c r="H1038" s="16">
        <v>26</v>
      </c>
      <c r="I1038" s="16"/>
      <c r="J10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8" s="22"/>
      <c r="L1038" s="23"/>
      <c r="M1038" s="23">
        <f>SUM(Tabela174681012142230322681619252731333624210121416182426283038402481012141620222628303234362426810121424610122426244262628262681026286236[[#This Row],[Saldo no cartão]:[Recarga Pendente]])</f>
        <v>0</v>
      </c>
      <c r="N1038" s="19">
        <f>Tabela174681012142230322681619252731333624210121416182426283038402481012141620222628303234362426810121424610122426244262628262681026286236[[#This Row],[Uso diário]]*2</f>
        <v>26.8</v>
      </c>
      <c r="O1038" s="19">
        <f>Tabela174681012142230322681619252731333624210121416182426283038402481012141620222628303234362426810121424610122426244262628262681026286236[[#This Row],[Total Acumulado]]-P1038</f>
        <v>-67</v>
      </c>
      <c r="P1038" s="48">
        <f>Tabela174681012142230322681619252731333624210121416182426283038402481012141620222628303234362426810121424610122426244262628262681026286236[[#This Row],[Uso diário]]*5</f>
        <v>67</v>
      </c>
      <c r="Q10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8" s="25">
        <v>22</v>
      </c>
    </row>
    <row r="1039" spans="1:20" s="26" customFormat="1" x14ac:dyDescent="0.25">
      <c r="A1039" s="16">
        <v>234605</v>
      </c>
      <c r="B1039" s="30" t="s">
        <v>1328</v>
      </c>
      <c r="C1039" s="20" t="s">
        <v>654</v>
      </c>
      <c r="D1039" s="20" t="s">
        <v>715</v>
      </c>
      <c r="E1039" s="20" t="s">
        <v>3588</v>
      </c>
      <c r="F1039" s="20" t="s">
        <v>3589</v>
      </c>
      <c r="G1039" s="21">
        <v>13.4</v>
      </c>
      <c r="H1039" s="16">
        <v>26</v>
      </c>
      <c r="I1039" s="16"/>
      <c r="J10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39" s="22"/>
      <c r="L1039" s="23"/>
      <c r="M1039" s="23">
        <f>SUM(Tabela174681012142230322681619252731333624210121416182426283038402481012141620222628303234362426810121424610122426244262628262681026286236[[#This Row],[Saldo no cartão]:[Recarga Pendente]])</f>
        <v>0</v>
      </c>
      <c r="N1039" s="19">
        <f>Tabela174681012142230322681619252731333624210121416182426283038402481012141620222628303234362426810121424610122426244262628262681026286236[[#This Row],[Uso diário]]*2</f>
        <v>26.8</v>
      </c>
      <c r="O1039" s="19">
        <f>Tabela174681012142230322681619252731333624210121416182426283038402481012141620222628303234362426810121424610122426244262628262681026286236[[#This Row],[Total Acumulado]]-P1039</f>
        <v>-67</v>
      </c>
      <c r="P1039" s="48">
        <f>Tabela174681012142230322681619252731333624210121416182426283038402481012141620222628303234362426810121424610122426244262628262681026286236[[#This Row],[Uso diário]]*5</f>
        <v>67</v>
      </c>
      <c r="Q10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39" s="25">
        <v>22</v>
      </c>
    </row>
    <row r="1040" spans="1:20" s="26" customFormat="1" x14ac:dyDescent="0.25">
      <c r="A1040" s="16">
        <v>234623</v>
      </c>
      <c r="B1040" s="30" t="s">
        <v>1329</v>
      </c>
      <c r="C1040" s="20" t="s">
        <v>654</v>
      </c>
      <c r="D1040" s="20" t="s">
        <v>715</v>
      </c>
      <c r="E1040" s="20" t="s">
        <v>3590</v>
      </c>
      <c r="F1040" s="20" t="s">
        <v>3591</v>
      </c>
      <c r="G1040" s="21">
        <v>13.4</v>
      </c>
      <c r="H1040" s="16">
        <v>26</v>
      </c>
      <c r="I1040" s="16"/>
      <c r="J10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40" s="22"/>
      <c r="L1040" s="23"/>
      <c r="M1040" s="23">
        <f>SUM(Tabela174681012142230322681619252731333624210121416182426283038402481012141620222628303234362426810121424610122426244262628262681026286236[[#This Row],[Saldo no cartão]:[Recarga Pendente]])</f>
        <v>0</v>
      </c>
      <c r="N1040" s="19">
        <f>Tabela174681012142230322681619252731333624210121416182426283038402481012141620222628303234362426810121424610122426244262628262681026286236[[#This Row],[Uso diário]]*2</f>
        <v>26.8</v>
      </c>
      <c r="O1040" s="19">
        <f>Tabela174681012142230322681619252731333624210121416182426283038402481012141620222628303234362426810121424610122426244262628262681026286236[[#This Row],[Total Acumulado]]-P1040</f>
        <v>-67</v>
      </c>
      <c r="P1040" s="48">
        <f>Tabela174681012142230322681619252731333624210121416182426283038402481012141620222628303234362426810121424610122426244262628262681026286236[[#This Row],[Uso diário]]*5</f>
        <v>67</v>
      </c>
      <c r="Q10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0" s="25">
        <v>22</v>
      </c>
    </row>
    <row r="1041" spans="1:20" s="26" customFormat="1" x14ac:dyDescent="0.25">
      <c r="A1041" s="16">
        <v>222310</v>
      </c>
      <c r="B1041" s="30" t="s">
        <v>489</v>
      </c>
      <c r="C1041" s="20" t="s">
        <v>640</v>
      </c>
      <c r="D1041" s="20" t="s">
        <v>702</v>
      </c>
      <c r="E1041" s="20" t="s">
        <v>3592</v>
      </c>
      <c r="F1041" s="20" t="s">
        <v>3593</v>
      </c>
      <c r="G1041" s="21">
        <v>13.4</v>
      </c>
      <c r="H1041" s="16">
        <v>26</v>
      </c>
      <c r="I1041" s="16"/>
      <c r="J10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41" s="22"/>
      <c r="L1041" s="23"/>
      <c r="M1041" s="23">
        <f>SUM(Tabela174681012142230322681619252731333624210121416182426283038402481012141620222628303234362426810121424610122426244262628262681026286236[[#This Row],[Saldo no cartão]:[Recarga Pendente]])</f>
        <v>0</v>
      </c>
      <c r="N1041" s="19">
        <f>Tabela174681012142230322681619252731333624210121416182426283038402481012141620222628303234362426810121424610122426244262628262681026286236[[#This Row],[Uso diário]]*2</f>
        <v>26.8</v>
      </c>
      <c r="O1041" s="19">
        <f>Tabela174681012142230322681619252731333624210121416182426283038402481012141620222628303234362426810121424610122426244262628262681026286236[[#This Row],[Total Acumulado]]-P1041</f>
        <v>-67</v>
      </c>
      <c r="P1041" s="48">
        <f>Tabela174681012142230322681619252731333624210121416182426283038402481012141620222628303234362426810121424610122426244262628262681026286236[[#This Row],[Uso diário]]*5</f>
        <v>67</v>
      </c>
      <c r="Q10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1" s="25">
        <v>22</v>
      </c>
    </row>
    <row r="1042" spans="1:20" s="26" customFormat="1" x14ac:dyDescent="0.25">
      <c r="A1042" s="16">
        <v>229063</v>
      </c>
      <c r="B1042" s="30" t="s">
        <v>254</v>
      </c>
      <c r="C1042" s="20" t="s">
        <v>640</v>
      </c>
      <c r="D1042" s="20" t="s">
        <v>701</v>
      </c>
      <c r="E1042" s="20" t="s">
        <v>3594</v>
      </c>
      <c r="F1042" s="20" t="s">
        <v>3595</v>
      </c>
      <c r="G1042" s="21">
        <v>18.8</v>
      </c>
      <c r="H1042" s="16">
        <v>26</v>
      </c>
      <c r="I1042" s="16"/>
      <c r="J10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42" s="22"/>
      <c r="L1042" s="23"/>
      <c r="M1042" s="23">
        <f>SUM(Tabela174681012142230322681619252731333624210121416182426283038402481012141620222628303234362426810121424610122426244262628262681026286236[[#This Row],[Saldo no cartão]:[Recarga Pendente]])</f>
        <v>0</v>
      </c>
      <c r="N1042" s="19">
        <f>Tabela174681012142230322681619252731333624210121416182426283038402481012141620222628303234362426810121424610122426244262628262681026286236[[#This Row],[Uso diário]]*2</f>
        <v>37.6</v>
      </c>
      <c r="O1042" s="19">
        <f>Tabela174681012142230322681619252731333624210121416182426283038402481012141620222628303234362426810121424610122426244262628262681026286236[[#This Row],[Total Acumulado]]-P1042</f>
        <v>-94</v>
      </c>
      <c r="P1042" s="48">
        <f>Tabela174681012142230322681619252731333624210121416182426283038402481012141620222628303234362426810121424610122426244262628262681026286236[[#This Row],[Uso diário]]*5</f>
        <v>94</v>
      </c>
      <c r="Q10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2" s="25">
        <v>22</v>
      </c>
    </row>
    <row r="1043" spans="1:20" s="26" customFormat="1" x14ac:dyDescent="0.25">
      <c r="A1043" s="16">
        <v>231900</v>
      </c>
      <c r="B1043" s="30" t="s">
        <v>878</v>
      </c>
      <c r="C1043" s="20" t="s">
        <v>640</v>
      </c>
      <c r="D1043" s="20" t="s">
        <v>701</v>
      </c>
      <c r="E1043" s="20" t="s">
        <v>3596</v>
      </c>
      <c r="F1043" s="20" t="s">
        <v>3597</v>
      </c>
      <c r="G1043" s="21">
        <v>13.4</v>
      </c>
      <c r="H1043" s="16">
        <v>26</v>
      </c>
      <c r="I1043" s="16"/>
      <c r="J10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43" s="22"/>
      <c r="L1043" s="23"/>
      <c r="M1043" s="23">
        <f>SUM(Tabela174681012142230322681619252731333624210121416182426283038402481012141620222628303234362426810121424610122426244262628262681026286236[[#This Row],[Saldo no cartão]:[Recarga Pendente]])</f>
        <v>0</v>
      </c>
      <c r="N1043" s="19">
        <f>Tabela174681012142230322681619252731333624210121416182426283038402481012141620222628303234362426810121424610122426244262628262681026286236[[#This Row],[Uso diário]]*2</f>
        <v>26.8</v>
      </c>
      <c r="O1043" s="19">
        <f>Tabela174681012142230322681619252731333624210121416182426283038402481012141620222628303234362426810121424610122426244262628262681026286236[[#This Row],[Total Acumulado]]-P1043</f>
        <v>-67</v>
      </c>
      <c r="P1043" s="48">
        <f>Tabela174681012142230322681619252731333624210121416182426283038402481012141620222628303234362426810121424610122426244262628262681026286236[[#This Row],[Uso diário]]*5</f>
        <v>67</v>
      </c>
      <c r="Q10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3" s="25">
        <v>22</v>
      </c>
    </row>
    <row r="1044" spans="1:20" s="26" customFormat="1" x14ac:dyDescent="0.25">
      <c r="A1044" s="16">
        <v>234622</v>
      </c>
      <c r="B1044" s="30" t="s">
        <v>1330</v>
      </c>
      <c r="C1044" s="20" t="s">
        <v>640</v>
      </c>
      <c r="D1044" s="20" t="s">
        <v>701</v>
      </c>
      <c r="E1044" s="20" t="s">
        <v>3598</v>
      </c>
      <c r="F1044" s="20" t="s">
        <v>3599</v>
      </c>
      <c r="G1044" s="21">
        <v>13.4</v>
      </c>
      <c r="H1044" s="16">
        <v>26</v>
      </c>
      <c r="I1044" s="16"/>
      <c r="J10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44" s="22"/>
      <c r="L1044" s="23"/>
      <c r="M1044" s="23">
        <f>SUM(Tabela174681012142230322681619252731333624210121416182426283038402481012141620222628303234362426810121424610122426244262628262681026286236[[#This Row],[Saldo no cartão]:[Recarga Pendente]])</f>
        <v>0</v>
      </c>
      <c r="N1044" s="19">
        <f>Tabela174681012142230322681619252731333624210121416182426283038402481012141620222628303234362426810121424610122426244262628262681026286236[[#This Row],[Uso diário]]*2</f>
        <v>26.8</v>
      </c>
      <c r="O1044" s="19">
        <f>Tabela174681012142230322681619252731333624210121416182426283038402481012141620222628303234362426810121424610122426244262628262681026286236[[#This Row],[Total Acumulado]]-P1044</f>
        <v>-67</v>
      </c>
      <c r="P1044" s="48">
        <f>Tabela174681012142230322681619252731333624210121416182426283038402481012141620222628303234362426810121424610122426244262628262681026286236[[#This Row],[Uso diário]]*5</f>
        <v>67</v>
      </c>
      <c r="Q10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4" s="25">
        <v>22</v>
      </c>
    </row>
    <row r="1045" spans="1:20" s="26" customFormat="1" x14ac:dyDescent="0.25">
      <c r="A1045" s="16">
        <v>222064</v>
      </c>
      <c r="B1045" s="30" t="s">
        <v>490</v>
      </c>
      <c r="C1045" s="20" t="s">
        <v>655</v>
      </c>
      <c r="D1045" s="20" t="s">
        <v>732</v>
      </c>
      <c r="E1045" s="20" t="s">
        <v>3600</v>
      </c>
      <c r="F1045" s="20" t="s">
        <v>3601</v>
      </c>
      <c r="G1045" s="21">
        <v>10</v>
      </c>
      <c r="H1045" s="16">
        <v>26</v>
      </c>
      <c r="I1045" s="16"/>
      <c r="J10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1045" s="22"/>
      <c r="L1045" s="23"/>
      <c r="M1045" s="23">
        <f>SUM(Tabela174681012142230322681619252731333624210121416182426283038402481012141620222628303234362426810121424610122426244262628262681026286236[[#This Row],[Saldo no cartão]:[Recarga Pendente]])</f>
        <v>0</v>
      </c>
      <c r="N1045" s="19">
        <f>Tabela174681012142230322681619252731333624210121416182426283038402481012141620222628303234362426810121424610122426244262628262681026286236[[#This Row],[Uso diário]]*2</f>
        <v>20</v>
      </c>
      <c r="O1045" s="19">
        <f>Tabela174681012142230322681619252731333624210121416182426283038402481012141620222628303234362426810121424610122426244262628262681026286236[[#This Row],[Total Acumulado]]-P1045</f>
        <v>-50</v>
      </c>
      <c r="P1045" s="48">
        <f>Tabela174681012142230322681619252731333624210121416182426283038402481012141620222628303234362426810121424610122426244262628262681026286236[[#This Row],[Uso diário]]*5</f>
        <v>50</v>
      </c>
      <c r="Q10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10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5" s="25">
        <v>22</v>
      </c>
    </row>
    <row r="1046" spans="1:20" s="26" customFormat="1" x14ac:dyDescent="0.25">
      <c r="A1046" s="16">
        <v>223191</v>
      </c>
      <c r="B1046" s="30" t="s">
        <v>491</v>
      </c>
      <c r="C1046" s="20" t="s">
        <v>655</v>
      </c>
      <c r="D1046" s="20" t="s">
        <v>734</v>
      </c>
      <c r="E1046" s="20" t="s">
        <v>3602</v>
      </c>
      <c r="F1046" s="20" t="s">
        <v>3603</v>
      </c>
      <c r="G1046" s="21">
        <v>10</v>
      </c>
      <c r="H1046" s="16">
        <v>26</v>
      </c>
      <c r="I1046" s="16">
        <v>2</v>
      </c>
      <c r="J10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240</v>
      </c>
      <c r="K1046" s="22"/>
      <c r="L1046" s="23"/>
      <c r="M1046" s="23">
        <f>SUM(Tabela174681012142230322681619252731333624210121416182426283038402481012141620222628303234362426810121424610122426244262628262681026286236[[#This Row],[Saldo no cartão]:[Recarga Pendente]])</f>
        <v>0</v>
      </c>
      <c r="N1046" s="19">
        <f>Tabela174681012142230322681619252731333624210121416182426283038402481012141620222628303234362426810121424610122426244262628262681026286236[[#This Row],[Uso diário]]*2</f>
        <v>20</v>
      </c>
      <c r="O1046" s="19">
        <f>Tabela174681012142230322681619252731333624210121416182426283038402481012141620222628303234362426810121424610122426244262628262681026286236[[#This Row],[Total Acumulado]]-P1046</f>
        <v>-50</v>
      </c>
      <c r="P1046" s="48">
        <f>Tabela174681012142230322681619252731333624210121416182426283038402481012141620222628303234362426810121424610122426244262628262681026286236[[#This Row],[Uso diário]]*5</f>
        <v>50</v>
      </c>
      <c r="Q10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240</v>
      </c>
      <c r="S10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6" s="25">
        <v>22</v>
      </c>
    </row>
    <row r="1047" spans="1:20" s="26" customFormat="1" x14ac:dyDescent="0.25">
      <c r="A1047" s="16">
        <v>223733</v>
      </c>
      <c r="B1047" s="30" t="s">
        <v>492</v>
      </c>
      <c r="C1047" s="20" t="s">
        <v>655</v>
      </c>
      <c r="D1047" s="20" t="s">
        <v>713</v>
      </c>
      <c r="E1047" s="20" t="s">
        <v>3604</v>
      </c>
      <c r="F1047" s="20" t="s">
        <v>3605</v>
      </c>
      <c r="G1047" s="21">
        <v>13.4</v>
      </c>
      <c r="H1047" s="16">
        <v>26</v>
      </c>
      <c r="I1047" s="16"/>
      <c r="J10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47" s="22"/>
      <c r="L1047" s="23"/>
      <c r="M1047" s="23">
        <f>SUM(Tabela174681012142230322681619252731333624210121416182426283038402481012141620222628303234362426810121424610122426244262628262681026286236[[#This Row],[Saldo no cartão]:[Recarga Pendente]])</f>
        <v>0</v>
      </c>
      <c r="N1047" s="19">
        <f>Tabela174681012142230322681619252731333624210121416182426283038402481012141620222628303234362426810121424610122426244262628262681026286236[[#This Row],[Uso diário]]*2</f>
        <v>26.8</v>
      </c>
      <c r="O1047" s="19">
        <f>Tabela174681012142230322681619252731333624210121416182426283038402481012141620222628303234362426810121424610122426244262628262681026286236[[#This Row],[Total Acumulado]]-P1047</f>
        <v>-67</v>
      </c>
      <c r="P1047" s="48">
        <f>Tabela174681012142230322681619252731333624210121416182426283038402481012141620222628303234362426810121424610122426244262628262681026286236[[#This Row],[Uso diário]]*5</f>
        <v>67</v>
      </c>
      <c r="Q10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7" s="25">
        <v>22</v>
      </c>
    </row>
    <row r="1048" spans="1:20" s="26" customFormat="1" x14ac:dyDescent="0.25">
      <c r="A1048" s="16">
        <v>225138</v>
      </c>
      <c r="B1048" s="30" t="s">
        <v>1506</v>
      </c>
      <c r="C1048" s="20" t="s">
        <v>655</v>
      </c>
      <c r="D1048" s="20" t="s">
        <v>713</v>
      </c>
      <c r="E1048" s="20" t="s">
        <v>3606</v>
      </c>
      <c r="F1048" s="20" t="s">
        <v>3607</v>
      </c>
      <c r="G1048" s="21">
        <v>14.2</v>
      </c>
      <c r="H1048" s="16">
        <v>26</v>
      </c>
      <c r="I1048" s="16"/>
      <c r="J10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1048" s="22"/>
      <c r="L1048" s="23"/>
      <c r="M1048" s="23">
        <f>SUM(Tabela174681012142230322681619252731333624210121416182426283038402481012141620222628303234362426810121424610122426244262628262681026286236[[#This Row],[Saldo no cartão]:[Recarga Pendente]])</f>
        <v>0</v>
      </c>
      <c r="N1048" s="19">
        <f>Tabela174681012142230322681619252731333624210121416182426283038402481012141620222628303234362426810121424610122426244262628262681026286236[[#This Row],[Uso diário]]*2</f>
        <v>28.4</v>
      </c>
      <c r="O1048" s="19">
        <f>Tabela174681012142230322681619252731333624210121416182426283038402481012141620222628303234362426810121424610122426244262628262681026286236[[#This Row],[Total Acumulado]]-P1048</f>
        <v>-71</v>
      </c>
      <c r="P1048" s="48">
        <f>Tabela174681012142230322681619252731333624210121416182426283038402481012141620222628303234362426810121424610122426244262628262681026286236[[#This Row],[Uso diário]]*5</f>
        <v>71</v>
      </c>
      <c r="Q10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10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8" s="25">
        <v>22</v>
      </c>
    </row>
    <row r="1049" spans="1:20" s="26" customFormat="1" x14ac:dyDescent="0.25">
      <c r="A1049" s="16">
        <v>225576</v>
      </c>
      <c r="B1049" s="30" t="s">
        <v>605</v>
      </c>
      <c r="C1049" s="20" t="s">
        <v>655</v>
      </c>
      <c r="D1049" s="20" t="s">
        <v>734</v>
      </c>
      <c r="E1049" s="20" t="s">
        <v>3608</v>
      </c>
      <c r="F1049" s="20" t="s">
        <v>3609</v>
      </c>
      <c r="G1049" s="21">
        <v>13.7</v>
      </c>
      <c r="H1049" s="16">
        <v>26</v>
      </c>
      <c r="I1049" s="16"/>
      <c r="J10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356.2</v>
      </c>
      <c r="K1049" s="22"/>
      <c r="L1049" s="23"/>
      <c r="M1049" s="23">
        <f>SUM(Tabela174681012142230322681619252731333624210121416182426283038402481012141620222628303234362426810121424610122426244262628262681026286236[[#This Row],[Saldo no cartão]:[Recarga Pendente]])</f>
        <v>0</v>
      </c>
      <c r="N1049" s="19">
        <f>Tabela174681012142230322681619252731333624210121416182426283038402481012141620222628303234362426810121424610122426244262628262681026286236[[#This Row],[Uso diário]]*2</f>
        <v>27.4</v>
      </c>
      <c r="O1049" s="19">
        <f>Tabela174681012142230322681619252731333624210121416182426283038402481012141620222628303234362426810121424610122426244262628262681026286236[[#This Row],[Total Acumulado]]-P1049</f>
        <v>-68.5</v>
      </c>
      <c r="P1049" s="48">
        <f>Tabela174681012142230322681619252731333624210121416182426283038402481012141620222628303234362426810121424610122426244262628262681026286236[[#This Row],[Uso diário]]*5</f>
        <v>68.5</v>
      </c>
      <c r="Q10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356.2</v>
      </c>
      <c r="S10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49" s="25">
        <v>22</v>
      </c>
    </row>
    <row r="1050" spans="1:20" s="26" customFormat="1" x14ac:dyDescent="0.25">
      <c r="A1050" s="16">
        <v>226324</v>
      </c>
      <c r="B1050" s="30" t="s">
        <v>1507</v>
      </c>
      <c r="C1050" s="20" t="s">
        <v>655</v>
      </c>
      <c r="D1050" s="20" t="s">
        <v>713</v>
      </c>
      <c r="E1050" s="20" t="s">
        <v>3610</v>
      </c>
      <c r="F1050" s="20" t="s">
        <v>3611</v>
      </c>
      <c r="G1050" s="21">
        <v>13.4</v>
      </c>
      <c r="H1050" s="16">
        <v>26</v>
      </c>
      <c r="I1050" s="16"/>
      <c r="J10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0" s="22"/>
      <c r="L1050" s="23"/>
      <c r="M1050" s="23">
        <f>SUM(Tabela174681012142230322681619252731333624210121416182426283038402481012141620222628303234362426810121424610122426244262628262681026286236[[#This Row],[Saldo no cartão]:[Recarga Pendente]])</f>
        <v>0</v>
      </c>
      <c r="N1050" s="19">
        <f>Tabela174681012142230322681619252731333624210121416182426283038402481012141620222628303234362426810121424610122426244262628262681026286236[[#This Row],[Uso diário]]*2</f>
        <v>26.8</v>
      </c>
      <c r="O1050" s="19">
        <f>Tabela174681012142230322681619252731333624210121416182426283038402481012141620222628303234362426810121424610122426244262628262681026286236[[#This Row],[Total Acumulado]]-P1050</f>
        <v>-67</v>
      </c>
      <c r="P1050" s="48">
        <f>Tabela174681012142230322681619252731333624210121416182426283038402481012141620222628303234362426810121424610122426244262628262681026286236[[#This Row],[Uso diário]]*5</f>
        <v>67</v>
      </c>
      <c r="Q10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0" s="25">
        <v>22</v>
      </c>
    </row>
    <row r="1051" spans="1:20" s="26" customFormat="1" x14ac:dyDescent="0.25">
      <c r="A1051" s="16">
        <v>228252</v>
      </c>
      <c r="B1051" s="30" t="s">
        <v>494</v>
      </c>
      <c r="C1051" s="20" t="s">
        <v>655</v>
      </c>
      <c r="D1051" s="20" t="s">
        <v>734</v>
      </c>
      <c r="E1051" s="20" t="s">
        <v>3612</v>
      </c>
      <c r="F1051" s="20" t="s">
        <v>3613</v>
      </c>
      <c r="G1051" s="21">
        <v>13.4</v>
      </c>
      <c r="H1051" s="16">
        <v>26</v>
      </c>
      <c r="I1051" s="16"/>
      <c r="J10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1" s="22"/>
      <c r="L1051" s="23"/>
      <c r="M1051" s="23">
        <f>SUM(Tabela174681012142230322681619252731333624210121416182426283038402481012141620222628303234362426810121424610122426244262628262681026286236[[#This Row],[Saldo no cartão]:[Recarga Pendente]])</f>
        <v>0</v>
      </c>
      <c r="N1051" s="19">
        <f>Tabela174681012142230322681619252731333624210121416182426283038402481012141620222628303234362426810121424610122426244262628262681026286236[[#This Row],[Uso diário]]*2</f>
        <v>26.8</v>
      </c>
      <c r="O1051" s="19">
        <f>Tabela174681012142230322681619252731333624210121416182426283038402481012141620222628303234362426810121424610122426244262628262681026286236[[#This Row],[Total Acumulado]]-P1051</f>
        <v>-67</v>
      </c>
      <c r="P1051" s="48">
        <f>Tabela174681012142230322681619252731333624210121416182426283038402481012141620222628303234362426810121424610122426244262628262681026286236[[#This Row],[Uso diário]]*5</f>
        <v>67</v>
      </c>
      <c r="Q10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1" s="25">
        <v>22</v>
      </c>
    </row>
    <row r="1052" spans="1:20" s="26" customFormat="1" x14ac:dyDescent="0.25">
      <c r="A1052" s="16">
        <v>229789</v>
      </c>
      <c r="B1052" s="30" t="s">
        <v>1231</v>
      </c>
      <c r="C1052" s="20" t="s">
        <v>655</v>
      </c>
      <c r="D1052" s="20" t="s">
        <v>733</v>
      </c>
      <c r="E1052" s="20" t="s">
        <v>3614</v>
      </c>
      <c r="F1052" s="20" t="s">
        <v>3615</v>
      </c>
      <c r="G1052" s="21">
        <v>13.4</v>
      </c>
      <c r="H1052" s="16">
        <v>26</v>
      </c>
      <c r="I1052" s="16"/>
      <c r="J10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2" s="22"/>
      <c r="L1052" s="23"/>
      <c r="M1052" s="23">
        <f>SUM(Tabela174681012142230322681619252731333624210121416182426283038402481012141620222628303234362426810121424610122426244262628262681026286236[[#This Row],[Saldo no cartão]:[Recarga Pendente]])</f>
        <v>0</v>
      </c>
      <c r="N1052" s="19">
        <f>Tabela174681012142230322681619252731333624210121416182426283038402481012141620222628303234362426810121424610122426244262628262681026286236[[#This Row],[Uso diário]]*2</f>
        <v>26.8</v>
      </c>
      <c r="O1052" s="19">
        <f>Tabela174681012142230322681619252731333624210121416182426283038402481012141620222628303234362426810121424610122426244262628262681026286236[[#This Row],[Total Acumulado]]-P1052</f>
        <v>-67</v>
      </c>
      <c r="P1052" s="48">
        <f>Tabela174681012142230322681619252731333624210121416182426283038402481012141620222628303234362426810121424610122426244262628262681026286236[[#This Row],[Uso diário]]*5</f>
        <v>67</v>
      </c>
      <c r="Q10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2" s="25">
        <v>22</v>
      </c>
    </row>
    <row r="1053" spans="1:20" s="26" customFormat="1" x14ac:dyDescent="0.25">
      <c r="A1053" s="16">
        <v>231608</v>
      </c>
      <c r="B1053" s="30" t="s">
        <v>859</v>
      </c>
      <c r="C1053" s="20" t="s">
        <v>655</v>
      </c>
      <c r="D1053" s="20" t="s">
        <v>734</v>
      </c>
      <c r="E1053" s="20" t="s">
        <v>3616</v>
      </c>
      <c r="F1053" s="20" t="s">
        <v>3617</v>
      </c>
      <c r="G1053" s="21">
        <v>13.4</v>
      </c>
      <c r="H1053" s="16">
        <v>26</v>
      </c>
      <c r="I1053" s="16"/>
      <c r="J10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3" s="22"/>
      <c r="L1053" s="23"/>
      <c r="M1053" s="23">
        <f>SUM(Tabela174681012142230322681619252731333624210121416182426283038402481012141620222628303234362426810121424610122426244262628262681026286236[[#This Row],[Saldo no cartão]:[Recarga Pendente]])</f>
        <v>0</v>
      </c>
      <c r="N1053" s="19">
        <f>Tabela174681012142230322681619252731333624210121416182426283038402481012141620222628303234362426810121424610122426244262628262681026286236[[#This Row],[Uso diário]]*2</f>
        <v>26.8</v>
      </c>
      <c r="O1053" s="19">
        <f>Tabela174681012142230322681619252731333624210121416182426283038402481012141620222628303234362426810121424610122426244262628262681026286236[[#This Row],[Total Acumulado]]-P1053</f>
        <v>-67</v>
      </c>
      <c r="P1053" s="48">
        <f>Tabela174681012142230322681619252731333624210121416182426283038402481012141620222628303234362426810121424610122426244262628262681026286236[[#This Row],[Uso diário]]*5</f>
        <v>67</v>
      </c>
      <c r="Q10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3" s="25">
        <v>22</v>
      </c>
    </row>
    <row r="1054" spans="1:20" s="26" customFormat="1" x14ac:dyDescent="0.25">
      <c r="A1054" s="16">
        <v>232886</v>
      </c>
      <c r="B1054" s="30" t="s">
        <v>1011</v>
      </c>
      <c r="C1054" s="20" t="s">
        <v>655</v>
      </c>
      <c r="D1054" s="20" t="s">
        <v>713</v>
      </c>
      <c r="E1054" s="20" t="s">
        <v>3618</v>
      </c>
      <c r="F1054" s="20" t="s">
        <v>3619</v>
      </c>
      <c r="G1054" s="21">
        <v>13.4</v>
      </c>
      <c r="H1054" s="16">
        <v>26</v>
      </c>
      <c r="I1054" s="16"/>
      <c r="J10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4" s="22"/>
      <c r="L1054" s="23"/>
      <c r="M1054" s="23">
        <f>SUM(Tabela174681012142230322681619252731333624210121416182426283038402481012141620222628303234362426810121424610122426244262628262681026286236[[#This Row],[Saldo no cartão]:[Recarga Pendente]])</f>
        <v>0</v>
      </c>
      <c r="N1054" s="19">
        <f>Tabela174681012142230322681619252731333624210121416182426283038402481012141620222628303234362426810121424610122426244262628262681026286236[[#This Row],[Uso diário]]*2</f>
        <v>26.8</v>
      </c>
      <c r="O1054" s="19">
        <f>Tabela174681012142230322681619252731333624210121416182426283038402481012141620222628303234362426810121424610122426244262628262681026286236[[#This Row],[Total Acumulado]]-P1054</f>
        <v>-67</v>
      </c>
      <c r="P1054" s="48">
        <f>Tabela174681012142230322681619252731333624210121416182426283038402481012141620222628303234362426810121424610122426244262628262681026286236[[#This Row],[Uso diário]]*5</f>
        <v>67</v>
      </c>
      <c r="Q10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4" s="25">
        <v>22</v>
      </c>
    </row>
    <row r="1055" spans="1:20" s="26" customFormat="1" x14ac:dyDescent="0.25">
      <c r="A1055" s="16">
        <v>233419</v>
      </c>
      <c r="B1055" s="30" t="s">
        <v>1105</v>
      </c>
      <c r="C1055" s="20" t="s">
        <v>655</v>
      </c>
      <c r="D1055" s="20" t="s">
        <v>713</v>
      </c>
      <c r="E1055" s="20" t="s">
        <v>3620</v>
      </c>
      <c r="F1055" s="20" t="s">
        <v>3621</v>
      </c>
      <c r="G1055" s="21">
        <v>13.4</v>
      </c>
      <c r="H1055" s="16">
        <v>26</v>
      </c>
      <c r="I1055" s="16"/>
      <c r="J10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5" s="22"/>
      <c r="L1055" s="23"/>
      <c r="M1055" s="23">
        <f>SUM(Tabela174681012142230322681619252731333624210121416182426283038402481012141620222628303234362426810121424610122426244262628262681026286236[[#This Row],[Saldo no cartão]:[Recarga Pendente]])</f>
        <v>0</v>
      </c>
      <c r="N1055" s="19">
        <f>Tabela174681012142230322681619252731333624210121416182426283038402481012141620222628303234362426810121424610122426244262628262681026286236[[#This Row],[Uso diário]]*2</f>
        <v>26.8</v>
      </c>
      <c r="O1055" s="19">
        <f>Tabela174681012142230322681619252731333624210121416182426283038402481012141620222628303234362426810121424610122426244262628262681026286236[[#This Row],[Total Acumulado]]-P1055</f>
        <v>-67</v>
      </c>
      <c r="P1055" s="48">
        <f>Tabela174681012142230322681619252731333624210121416182426283038402481012141620222628303234362426810121424610122426244262628262681026286236[[#This Row],[Uso diário]]*5</f>
        <v>67</v>
      </c>
      <c r="Q10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5" s="25">
        <v>22</v>
      </c>
    </row>
    <row r="1056" spans="1:20" s="26" customFormat="1" x14ac:dyDescent="0.25">
      <c r="A1056" s="16">
        <v>234877</v>
      </c>
      <c r="B1056" s="30" t="s">
        <v>1508</v>
      </c>
      <c r="C1056" s="20" t="s">
        <v>655</v>
      </c>
      <c r="D1056" s="20" t="s">
        <v>734</v>
      </c>
      <c r="E1056" s="20" t="s">
        <v>3622</v>
      </c>
      <c r="F1056" s="20" t="s">
        <v>3623</v>
      </c>
      <c r="G1056" s="21">
        <v>13.4</v>
      </c>
      <c r="H1056" s="16">
        <v>26</v>
      </c>
      <c r="I1056" s="16"/>
      <c r="J10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56" s="22"/>
      <c r="L1056" s="23"/>
      <c r="M1056" s="23">
        <f>SUM(Tabela174681012142230322681619252731333624210121416182426283038402481012141620222628303234362426810121424610122426244262628262681026286236[[#This Row],[Saldo no cartão]:[Recarga Pendente]])</f>
        <v>0</v>
      </c>
      <c r="N1056" s="19">
        <f>Tabela174681012142230322681619252731333624210121416182426283038402481012141620222628303234362426810121424610122426244262628262681026286236[[#This Row],[Uso diário]]*2</f>
        <v>26.8</v>
      </c>
      <c r="O1056" s="19">
        <f>Tabela174681012142230322681619252731333624210121416182426283038402481012141620222628303234362426810121424610122426244262628262681026286236[[#This Row],[Total Acumulado]]-P1056</f>
        <v>-67</v>
      </c>
      <c r="P1056" s="48">
        <f>Tabela174681012142230322681619252731333624210121416182426283038402481012141620222628303234362426810121424610122426244262628262681026286236[[#This Row],[Uso diário]]*5</f>
        <v>67</v>
      </c>
      <c r="Q10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6" s="25">
        <v>22</v>
      </c>
    </row>
    <row r="1057" spans="1:20" s="26" customFormat="1" x14ac:dyDescent="0.25">
      <c r="A1057" s="16">
        <v>218437</v>
      </c>
      <c r="B1057" s="30" t="s">
        <v>1106</v>
      </c>
      <c r="C1057" s="20" t="s">
        <v>641</v>
      </c>
      <c r="D1057" s="20" t="s">
        <v>735</v>
      </c>
      <c r="E1057" s="20" t="s">
        <v>3624</v>
      </c>
      <c r="F1057" s="20" t="s">
        <v>3625</v>
      </c>
      <c r="G1057" s="21">
        <v>18.8</v>
      </c>
      <c r="H1057" s="16">
        <v>26</v>
      </c>
      <c r="I1057" s="16">
        <v>1</v>
      </c>
      <c r="J10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057" s="22"/>
      <c r="L1057" s="23">
        <v>37.6</v>
      </c>
      <c r="M1057" s="23">
        <f>SUM(Tabela174681012142230322681619252731333624210121416182426283038402481012141620222628303234362426810121424610122426244262628262681026286236[[#This Row],[Saldo no cartão]:[Recarga Pendente]])</f>
        <v>37.6</v>
      </c>
      <c r="N1057" s="19">
        <f>Tabela174681012142230322681619252731333624210121416182426283038402481012141620222628303234362426810121424610122426244262628262681026286236[[#This Row],[Uso diário]]*2</f>
        <v>37.6</v>
      </c>
      <c r="O1057" s="19">
        <f>Tabela174681012142230322681619252731333624210121416182426283038402481012141620222628303234362426810121424610122426244262628262681026286236[[#This Row],[Total Acumulado]]-P1057</f>
        <v>-56.4</v>
      </c>
      <c r="P1057" s="48">
        <f>Tabela174681012142230322681619252731333624210121416182426283038402481012141620222628303234362426810121424610122426244262628262681026286236[[#This Row],[Uso diário]]*5</f>
        <v>94</v>
      </c>
      <c r="Q10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0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7" s="25">
        <v>22</v>
      </c>
    </row>
    <row r="1058" spans="1:20" s="26" customFormat="1" x14ac:dyDescent="0.25">
      <c r="A1058" s="16">
        <v>220301</v>
      </c>
      <c r="B1058" s="30" t="s">
        <v>261</v>
      </c>
      <c r="C1058" s="20" t="s">
        <v>641</v>
      </c>
      <c r="D1058" s="20" t="s">
        <v>735</v>
      </c>
      <c r="E1058" s="20" t="s">
        <v>3626</v>
      </c>
      <c r="F1058" s="20" t="s">
        <v>3627</v>
      </c>
      <c r="G1058" s="21">
        <v>18.8</v>
      </c>
      <c r="H1058" s="16">
        <v>26</v>
      </c>
      <c r="I1058" s="16"/>
      <c r="J10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58" s="22"/>
      <c r="L1058" s="23">
        <v>18.8</v>
      </c>
      <c r="M1058" s="23">
        <f>SUM(Tabela174681012142230322681619252731333624210121416182426283038402481012141620222628303234362426810121424610122426244262628262681026286236[[#This Row],[Saldo no cartão]:[Recarga Pendente]])</f>
        <v>18.8</v>
      </c>
      <c r="N1058" s="19">
        <f>Tabela174681012142230322681619252731333624210121416182426283038402481012141620222628303234362426810121424610122426244262628262681026286236[[#This Row],[Uso diário]]*2</f>
        <v>37.6</v>
      </c>
      <c r="O1058" s="19">
        <f>Tabela174681012142230322681619252731333624210121416182426283038402481012141620222628303234362426810121424610122426244262628262681026286236[[#This Row],[Total Acumulado]]-P1058</f>
        <v>-75.2</v>
      </c>
      <c r="P1058" s="48">
        <f>Tabela174681012142230322681619252731333624210121416182426283038402481012141620222628303234362426810121424610122426244262628262681026286236[[#This Row],[Uso diário]]*5</f>
        <v>94</v>
      </c>
      <c r="Q10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8" s="25">
        <v>22</v>
      </c>
    </row>
    <row r="1059" spans="1:20" s="26" customFormat="1" x14ac:dyDescent="0.25">
      <c r="A1059" s="16">
        <v>221364</v>
      </c>
      <c r="B1059" s="30" t="s">
        <v>608</v>
      </c>
      <c r="C1059" s="20" t="s">
        <v>641</v>
      </c>
      <c r="D1059" s="20" t="s">
        <v>735</v>
      </c>
      <c r="E1059" s="20" t="s">
        <v>3628</v>
      </c>
      <c r="F1059" s="20" t="s">
        <v>3629</v>
      </c>
      <c r="G1059" s="21">
        <v>18.8</v>
      </c>
      <c r="H1059" s="16">
        <v>26</v>
      </c>
      <c r="I1059" s="16"/>
      <c r="J10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59" s="22"/>
      <c r="L1059" s="23"/>
      <c r="M1059" s="23">
        <f>SUM(Tabela174681012142230322681619252731333624210121416182426283038402481012141620222628303234362426810121424610122426244262628262681026286236[[#This Row],[Saldo no cartão]:[Recarga Pendente]])</f>
        <v>0</v>
      </c>
      <c r="N1059" s="19">
        <f>Tabela174681012142230322681619252731333624210121416182426283038402481012141620222628303234362426810121424610122426244262628262681026286236[[#This Row],[Uso diário]]*2</f>
        <v>37.6</v>
      </c>
      <c r="O1059" s="19">
        <f>Tabela174681012142230322681619252731333624210121416182426283038402481012141620222628303234362426810121424610122426244262628262681026286236[[#This Row],[Total Acumulado]]-P1059</f>
        <v>-94</v>
      </c>
      <c r="P1059" s="48">
        <f>Tabela174681012142230322681619252731333624210121416182426283038402481012141620222628303234362426810121424610122426244262628262681026286236[[#This Row],[Uso diário]]*5</f>
        <v>94</v>
      </c>
      <c r="Q10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59" s="25">
        <v>22</v>
      </c>
    </row>
    <row r="1060" spans="1:20" s="26" customFormat="1" x14ac:dyDescent="0.25">
      <c r="A1060" s="16">
        <v>222337</v>
      </c>
      <c r="B1060" s="30" t="s">
        <v>495</v>
      </c>
      <c r="C1060" s="20" t="s">
        <v>641</v>
      </c>
      <c r="D1060" s="20" t="s">
        <v>743</v>
      </c>
      <c r="E1060" s="20" t="s">
        <v>3630</v>
      </c>
      <c r="F1060" s="20" t="s">
        <v>3631</v>
      </c>
      <c r="G1060" s="21">
        <v>13.4</v>
      </c>
      <c r="H1060" s="16">
        <v>26</v>
      </c>
      <c r="I1060" s="16"/>
      <c r="J10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60" s="22"/>
      <c r="L1060" s="23"/>
      <c r="M1060" s="23">
        <f>SUM(Tabela174681012142230322681619252731333624210121416182426283038402481012141620222628303234362426810121424610122426244262628262681026286236[[#This Row],[Saldo no cartão]:[Recarga Pendente]])</f>
        <v>0</v>
      </c>
      <c r="N1060" s="19">
        <f>Tabela174681012142230322681619252731333624210121416182426283038402481012141620222628303234362426810121424610122426244262628262681026286236[[#This Row],[Uso diário]]*2</f>
        <v>26.8</v>
      </c>
      <c r="O1060" s="19">
        <f>Tabela174681012142230322681619252731333624210121416182426283038402481012141620222628303234362426810121424610122426244262628262681026286236[[#This Row],[Total Acumulado]]-P1060</f>
        <v>-67</v>
      </c>
      <c r="P1060" s="48">
        <f>Tabela174681012142230322681619252731333624210121416182426283038402481012141620222628303234362426810121424610122426244262628262681026286236[[#This Row],[Uso diário]]*5</f>
        <v>67</v>
      </c>
      <c r="Q10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0" s="25">
        <v>22</v>
      </c>
    </row>
    <row r="1061" spans="1:20" s="26" customFormat="1" x14ac:dyDescent="0.25">
      <c r="A1061" s="16">
        <v>222370</v>
      </c>
      <c r="B1061" s="30" t="s">
        <v>496</v>
      </c>
      <c r="C1061" s="20" t="s">
        <v>641</v>
      </c>
      <c r="D1061" s="20" t="s">
        <v>704</v>
      </c>
      <c r="E1061" s="20" t="s">
        <v>3632</v>
      </c>
      <c r="F1061" s="20" t="s">
        <v>3633</v>
      </c>
      <c r="G1061" s="21">
        <v>13.7</v>
      </c>
      <c r="H1061" s="16">
        <v>26</v>
      </c>
      <c r="I1061" s="16"/>
      <c r="J10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356.2</v>
      </c>
      <c r="K1061" s="22"/>
      <c r="L1061" s="23"/>
      <c r="M1061" s="23">
        <f>SUM(Tabela174681012142230322681619252731333624210121416182426283038402481012141620222628303234362426810121424610122426244262628262681026286236[[#This Row],[Saldo no cartão]:[Recarga Pendente]])</f>
        <v>0</v>
      </c>
      <c r="N1061" s="19">
        <f>Tabela174681012142230322681619252731333624210121416182426283038402481012141620222628303234362426810121424610122426244262628262681026286236[[#This Row],[Uso diário]]*2</f>
        <v>27.4</v>
      </c>
      <c r="O1061" s="19">
        <f>Tabela174681012142230322681619252731333624210121416182426283038402481012141620222628303234362426810121424610122426244262628262681026286236[[#This Row],[Total Acumulado]]-P1061</f>
        <v>-68.5</v>
      </c>
      <c r="P1061" s="48">
        <f>Tabela174681012142230322681619252731333624210121416182426283038402481012141620222628303234362426810121424610122426244262628262681026286236[[#This Row],[Uso diário]]*5</f>
        <v>68.5</v>
      </c>
      <c r="Q10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356.2</v>
      </c>
      <c r="S10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1" s="25">
        <v>22</v>
      </c>
    </row>
    <row r="1062" spans="1:20" s="26" customFormat="1" x14ac:dyDescent="0.25">
      <c r="A1062" s="16">
        <v>222512</v>
      </c>
      <c r="B1062" s="30" t="s">
        <v>497</v>
      </c>
      <c r="C1062" s="20" t="s">
        <v>641</v>
      </c>
      <c r="D1062" s="20" t="s">
        <v>705</v>
      </c>
      <c r="E1062" s="20" t="s">
        <v>3634</v>
      </c>
      <c r="F1062" s="20" t="s">
        <v>3635</v>
      </c>
      <c r="G1062" s="21">
        <v>13.4</v>
      </c>
      <c r="H1062" s="16">
        <v>26</v>
      </c>
      <c r="I1062" s="16"/>
      <c r="J10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62" s="22"/>
      <c r="L1062" s="23"/>
      <c r="M1062" s="23">
        <f>SUM(Tabela174681012142230322681619252731333624210121416182426283038402481012141620222628303234362426810121424610122426244262628262681026286236[[#This Row],[Saldo no cartão]:[Recarga Pendente]])</f>
        <v>0</v>
      </c>
      <c r="N1062" s="19">
        <f>Tabela174681012142230322681619252731333624210121416182426283038402481012141620222628303234362426810121424610122426244262628262681026286236[[#This Row],[Uso diário]]*2</f>
        <v>26.8</v>
      </c>
      <c r="O1062" s="19">
        <f>Tabela174681012142230322681619252731333624210121416182426283038402481012141620222628303234362426810121424610122426244262628262681026286236[[#This Row],[Total Acumulado]]-P1062</f>
        <v>-67</v>
      </c>
      <c r="P1062" s="48">
        <f>Tabela174681012142230322681619252731333624210121416182426283038402481012141620222628303234362426810121424610122426244262628262681026286236[[#This Row],[Uso diário]]*5</f>
        <v>67</v>
      </c>
      <c r="Q10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2" s="25">
        <v>22</v>
      </c>
    </row>
    <row r="1063" spans="1:20" s="26" customFormat="1" x14ac:dyDescent="0.25">
      <c r="A1063" s="16">
        <v>223819</v>
      </c>
      <c r="B1063" s="30" t="s">
        <v>498</v>
      </c>
      <c r="C1063" s="20" t="s">
        <v>641</v>
      </c>
      <c r="D1063" s="20" t="s">
        <v>743</v>
      </c>
      <c r="E1063" s="20" t="s">
        <v>3636</v>
      </c>
      <c r="F1063" s="20" t="s">
        <v>3637</v>
      </c>
      <c r="G1063" s="21">
        <v>13.4</v>
      </c>
      <c r="H1063" s="16">
        <v>26</v>
      </c>
      <c r="I1063" s="16"/>
      <c r="J10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63" s="22"/>
      <c r="L1063" s="23"/>
      <c r="M1063" s="23">
        <f>SUM(Tabela174681012142230322681619252731333624210121416182426283038402481012141620222628303234362426810121424610122426244262628262681026286236[[#This Row],[Saldo no cartão]:[Recarga Pendente]])</f>
        <v>0</v>
      </c>
      <c r="N1063" s="19">
        <f>Tabela174681012142230322681619252731333624210121416182426283038402481012141620222628303234362426810121424610122426244262628262681026286236[[#This Row],[Uso diário]]*2</f>
        <v>26.8</v>
      </c>
      <c r="O1063" s="19">
        <f>Tabela174681012142230322681619252731333624210121416182426283038402481012141620222628303234362426810121424610122426244262628262681026286236[[#This Row],[Total Acumulado]]-P1063</f>
        <v>-67</v>
      </c>
      <c r="P1063" s="48">
        <f>Tabela174681012142230322681619252731333624210121416182426283038402481012141620222628303234362426810121424610122426244262628262681026286236[[#This Row],[Uso diário]]*5</f>
        <v>67</v>
      </c>
      <c r="Q10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3" s="25">
        <v>22</v>
      </c>
    </row>
    <row r="1064" spans="1:20" s="26" customFormat="1" x14ac:dyDescent="0.25">
      <c r="A1064" s="16">
        <v>224901</v>
      </c>
      <c r="B1064" s="30" t="s">
        <v>500</v>
      </c>
      <c r="C1064" s="20" t="s">
        <v>641</v>
      </c>
      <c r="D1064" s="20" t="s">
        <v>704</v>
      </c>
      <c r="E1064" s="20" t="s">
        <v>3638</v>
      </c>
      <c r="F1064" s="20" t="s">
        <v>3639</v>
      </c>
      <c r="G1064" s="21">
        <v>13.4</v>
      </c>
      <c r="H1064" s="16">
        <v>26</v>
      </c>
      <c r="I1064" s="16"/>
      <c r="J10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64" s="22"/>
      <c r="L1064" s="23">
        <v>140.35</v>
      </c>
      <c r="M1064" s="23">
        <f>SUM(Tabela174681012142230322681619252731333624210121416182426283038402481012141620222628303234362426810121424610122426244262628262681026286236[[#This Row],[Saldo no cartão]:[Recarga Pendente]])</f>
        <v>140.35</v>
      </c>
      <c r="N1064" s="19">
        <f>Tabela174681012142230322681619252731333624210121416182426283038402481012141620222628303234362426810121424610122426244262628262681026286236[[#This Row],[Uso diário]]*2</f>
        <v>26.8</v>
      </c>
      <c r="O1064" s="19">
        <f>Tabela174681012142230322681619252731333624210121416182426283038402481012141620222628303234362426810121424610122426244262628262681026286236[[#This Row],[Total Acumulado]]-P1064</f>
        <v>73.349999999999994</v>
      </c>
      <c r="P1064" s="48">
        <f>Tabela174681012142230322681619252731333624210121416182426283038402481012141620222628303234362426810121424610122426244262628262681026286236[[#This Row],[Uso diário]]*5</f>
        <v>67</v>
      </c>
      <c r="Q10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73.349999999999994</v>
      </c>
      <c r="R10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275.05000000000007</v>
      </c>
      <c r="S1064" s="18" t="s">
        <v>11</v>
      </c>
      <c r="T1064" s="25">
        <v>22</v>
      </c>
    </row>
    <row r="1065" spans="1:20" s="26" customFormat="1" x14ac:dyDescent="0.25">
      <c r="A1065" s="16">
        <v>225136</v>
      </c>
      <c r="B1065" s="30" t="s">
        <v>501</v>
      </c>
      <c r="C1065" s="20" t="s">
        <v>641</v>
      </c>
      <c r="D1065" s="20" t="s">
        <v>743</v>
      </c>
      <c r="E1065" s="20" t="s">
        <v>3640</v>
      </c>
      <c r="F1065" s="20" t="s">
        <v>3641</v>
      </c>
      <c r="G1065" s="21">
        <v>13.4</v>
      </c>
      <c r="H1065" s="16">
        <v>26</v>
      </c>
      <c r="I1065" s="16">
        <v>1</v>
      </c>
      <c r="J10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065" s="22"/>
      <c r="L1065" s="23">
        <v>110.3</v>
      </c>
      <c r="M1065" s="23">
        <f>SUM(Tabela174681012142230322681619252731333624210121416182426283038402481012141620222628303234362426810121424610122426244262628262681026286236[[#This Row],[Saldo no cartão]:[Recarga Pendente]])</f>
        <v>110.3</v>
      </c>
      <c r="N1065" s="19">
        <f>Tabela174681012142230322681619252731333624210121416182426283038402481012141620222628303234362426810121424610122426244262628262681026286236[[#This Row],[Uso diário]]*2</f>
        <v>26.8</v>
      </c>
      <c r="O1065" s="19">
        <f>Tabela174681012142230322681619252731333624210121416182426283038402481012141620222628303234362426810121424610122426244262628262681026286236[[#This Row],[Total Acumulado]]-P1065</f>
        <v>43.3</v>
      </c>
      <c r="P1065" s="48">
        <f>Tabela174681012142230322681619252731333624210121416182426283038402481012141620222628303234362426810121424610122426244262628262681026286236[[#This Row],[Uso diário]]*5</f>
        <v>67</v>
      </c>
      <c r="Q10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43.3</v>
      </c>
      <c r="R10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291.7</v>
      </c>
      <c r="S1065" s="18" t="s">
        <v>11</v>
      </c>
      <c r="T1065" s="25">
        <v>22</v>
      </c>
    </row>
    <row r="1066" spans="1:20" s="26" customFormat="1" x14ac:dyDescent="0.25">
      <c r="A1066" s="16">
        <v>226942</v>
      </c>
      <c r="B1066" s="30" t="s">
        <v>609</v>
      </c>
      <c r="C1066" s="20" t="s">
        <v>641</v>
      </c>
      <c r="D1066" s="20" t="s">
        <v>704</v>
      </c>
      <c r="E1066" s="20" t="s">
        <v>3642</v>
      </c>
      <c r="F1066" s="20" t="s">
        <v>3643</v>
      </c>
      <c r="G1066" s="21">
        <v>13.4</v>
      </c>
      <c r="H1066" s="16">
        <v>26</v>
      </c>
      <c r="I1066" s="16">
        <v>1</v>
      </c>
      <c r="J10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066" s="22"/>
      <c r="L1066" s="23"/>
      <c r="M1066" s="23">
        <f>SUM(Tabela174681012142230322681619252731333624210121416182426283038402481012141620222628303234362426810121424610122426244262628262681026286236[[#This Row],[Saldo no cartão]:[Recarga Pendente]])</f>
        <v>0</v>
      </c>
      <c r="N1066" s="19">
        <f>Tabela174681012142230322681619252731333624210121416182426283038402481012141620222628303234362426810121424610122426244262628262681026286236[[#This Row],[Uso diário]]*2</f>
        <v>26.8</v>
      </c>
      <c r="O1066" s="19">
        <f>Tabela174681012142230322681619252731333624210121416182426283038402481012141620222628303234362426810121424610122426244262628262681026286236[[#This Row],[Total Acumulado]]-P1066</f>
        <v>-67</v>
      </c>
      <c r="P1066" s="48">
        <f>Tabela174681012142230322681619252731333624210121416182426283038402481012141620222628303234362426810121424610122426244262628262681026286236[[#This Row],[Uso diário]]*5</f>
        <v>67</v>
      </c>
      <c r="Q10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0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6" s="25">
        <v>22</v>
      </c>
    </row>
    <row r="1067" spans="1:20" s="26" customFormat="1" x14ac:dyDescent="0.25">
      <c r="A1067" s="16">
        <v>228459</v>
      </c>
      <c r="B1067" s="30" t="s">
        <v>502</v>
      </c>
      <c r="C1067" s="20" t="s">
        <v>641</v>
      </c>
      <c r="D1067" s="20" t="s">
        <v>705</v>
      </c>
      <c r="E1067" s="20" t="s">
        <v>3644</v>
      </c>
      <c r="F1067" s="20" t="s">
        <v>3645</v>
      </c>
      <c r="G1067" s="21">
        <v>13.4</v>
      </c>
      <c r="H1067" s="16">
        <v>26</v>
      </c>
      <c r="I1067" s="16"/>
      <c r="J10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67" s="22"/>
      <c r="L1067" s="23"/>
      <c r="M1067" s="23">
        <f>SUM(Tabela174681012142230322681619252731333624210121416182426283038402481012141620222628303234362426810121424610122426244262628262681026286236[[#This Row],[Saldo no cartão]:[Recarga Pendente]])</f>
        <v>0</v>
      </c>
      <c r="N1067" s="19">
        <f>Tabela174681012142230322681619252731333624210121416182426283038402481012141620222628303234362426810121424610122426244262628262681026286236[[#This Row],[Uso diário]]*2</f>
        <v>26.8</v>
      </c>
      <c r="O1067" s="19">
        <f>Tabela174681012142230322681619252731333624210121416182426283038402481012141620222628303234362426810121424610122426244262628262681026286236[[#This Row],[Total Acumulado]]-P1067</f>
        <v>-67</v>
      </c>
      <c r="P1067" s="48">
        <f>Tabela174681012142230322681619252731333624210121416182426283038402481012141620222628303234362426810121424610122426244262628262681026286236[[#This Row],[Uso diário]]*5</f>
        <v>67</v>
      </c>
      <c r="Q10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7" s="25">
        <v>22</v>
      </c>
    </row>
    <row r="1068" spans="1:20" s="26" customFormat="1" x14ac:dyDescent="0.25">
      <c r="A1068" s="16">
        <v>229727</v>
      </c>
      <c r="B1068" s="30" t="s">
        <v>1232</v>
      </c>
      <c r="C1068" s="20" t="s">
        <v>641</v>
      </c>
      <c r="D1068" s="20" t="s">
        <v>704</v>
      </c>
      <c r="E1068" s="20" t="s">
        <v>3646</v>
      </c>
      <c r="F1068" s="20" t="s">
        <v>3647</v>
      </c>
      <c r="G1068" s="21">
        <v>13.4</v>
      </c>
      <c r="H1068" s="16">
        <v>26</v>
      </c>
      <c r="I1068" s="16">
        <v>1</v>
      </c>
      <c r="J10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068" s="22"/>
      <c r="L1068" s="23"/>
      <c r="M1068" s="23">
        <f>SUM(Tabela174681012142230322681619252731333624210121416182426283038402481012141620222628303234362426810121424610122426244262628262681026286236[[#This Row],[Saldo no cartão]:[Recarga Pendente]])</f>
        <v>0</v>
      </c>
      <c r="N1068" s="19">
        <f>Tabela174681012142230322681619252731333624210121416182426283038402481012141620222628303234362426810121424610122426244262628262681026286236[[#This Row],[Uso diário]]*2</f>
        <v>26.8</v>
      </c>
      <c r="O1068" s="19">
        <f>Tabela174681012142230322681619252731333624210121416182426283038402481012141620222628303234362426810121424610122426244262628262681026286236[[#This Row],[Total Acumulado]]-P1068</f>
        <v>-67</v>
      </c>
      <c r="P1068" s="48">
        <f>Tabela174681012142230322681619252731333624210121416182426283038402481012141620222628303234362426810121424610122426244262628262681026286236[[#This Row],[Uso diário]]*5</f>
        <v>67</v>
      </c>
      <c r="Q10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0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8" s="25">
        <v>22</v>
      </c>
    </row>
    <row r="1069" spans="1:20" s="26" customFormat="1" x14ac:dyDescent="0.25">
      <c r="A1069" s="16">
        <v>229959</v>
      </c>
      <c r="B1069" s="30" t="s">
        <v>504</v>
      </c>
      <c r="C1069" s="20" t="s">
        <v>641</v>
      </c>
      <c r="D1069" s="20" t="s">
        <v>743</v>
      </c>
      <c r="E1069" s="20" t="s">
        <v>3648</v>
      </c>
      <c r="F1069" s="20" t="s">
        <v>3649</v>
      </c>
      <c r="G1069" s="21">
        <v>13.4</v>
      </c>
      <c r="H1069" s="16">
        <v>26</v>
      </c>
      <c r="I1069" s="16"/>
      <c r="J10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69" s="22"/>
      <c r="L1069" s="23"/>
      <c r="M1069" s="23">
        <f>SUM(Tabela174681012142230322681619252731333624210121416182426283038402481012141620222628303234362426810121424610122426244262628262681026286236[[#This Row],[Saldo no cartão]:[Recarga Pendente]])</f>
        <v>0</v>
      </c>
      <c r="N1069" s="19">
        <f>Tabela174681012142230322681619252731333624210121416182426283038402481012141620222628303234362426810121424610122426244262628262681026286236[[#This Row],[Uso diário]]*2</f>
        <v>26.8</v>
      </c>
      <c r="O1069" s="19">
        <f>Tabela174681012142230322681619252731333624210121416182426283038402481012141620222628303234362426810121424610122426244262628262681026286236[[#This Row],[Total Acumulado]]-P1069</f>
        <v>-67</v>
      </c>
      <c r="P1069" s="48">
        <f>Tabela174681012142230322681619252731333624210121416182426283038402481012141620222628303234362426810121424610122426244262628262681026286236[[#This Row],[Uso diário]]*5</f>
        <v>67</v>
      </c>
      <c r="Q10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69" s="25">
        <v>22</v>
      </c>
    </row>
    <row r="1070" spans="1:20" s="26" customFormat="1" x14ac:dyDescent="0.25">
      <c r="A1070" s="16">
        <v>230070</v>
      </c>
      <c r="B1070" s="30" t="s">
        <v>505</v>
      </c>
      <c r="C1070" s="20" t="s">
        <v>641</v>
      </c>
      <c r="D1070" s="20" t="s">
        <v>704</v>
      </c>
      <c r="E1070" s="20" t="s">
        <v>3650</v>
      </c>
      <c r="F1070" s="20" t="s">
        <v>3651</v>
      </c>
      <c r="G1070" s="21">
        <v>13.4</v>
      </c>
      <c r="H1070" s="16">
        <v>26</v>
      </c>
      <c r="I1070" s="16"/>
      <c r="J10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0" s="22"/>
      <c r="L1070" s="23"/>
      <c r="M1070" s="23">
        <f>SUM(Tabela174681012142230322681619252731333624210121416182426283038402481012141620222628303234362426810121424610122426244262628262681026286236[[#This Row],[Saldo no cartão]:[Recarga Pendente]])</f>
        <v>0</v>
      </c>
      <c r="N1070" s="19">
        <f>Tabela174681012142230322681619252731333624210121416182426283038402481012141620222628303234362426810121424610122426244262628262681026286236[[#This Row],[Uso diário]]*2</f>
        <v>26.8</v>
      </c>
      <c r="O1070" s="19">
        <f>Tabela174681012142230322681619252731333624210121416182426283038402481012141620222628303234362426810121424610122426244262628262681026286236[[#This Row],[Total Acumulado]]-P1070</f>
        <v>-67</v>
      </c>
      <c r="P1070" s="48">
        <f>Tabela174681012142230322681619252731333624210121416182426283038402481012141620222628303234362426810121424610122426244262628262681026286236[[#This Row],[Uso diário]]*5</f>
        <v>67</v>
      </c>
      <c r="Q10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0" s="25">
        <v>22</v>
      </c>
    </row>
    <row r="1071" spans="1:20" s="26" customFormat="1" x14ac:dyDescent="0.25">
      <c r="A1071" s="16">
        <v>230567</v>
      </c>
      <c r="B1071" s="30" t="s">
        <v>1509</v>
      </c>
      <c r="C1071" s="20" t="s">
        <v>641</v>
      </c>
      <c r="D1071" s="20" t="s">
        <v>704</v>
      </c>
      <c r="E1071" s="20" t="s">
        <v>3652</v>
      </c>
      <c r="F1071" s="20" t="s">
        <v>3653</v>
      </c>
      <c r="G1071" s="21">
        <v>13.4</v>
      </c>
      <c r="H1071" s="16">
        <v>26</v>
      </c>
      <c r="I1071" s="16"/>
      <c r="J10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1" s="22"/>
      <c r="L1071" s="23"/>
      <c r="M1071" s="23">
        <f>SUM(Tabela174681012142230322681619252731333624210121416182426283038402481012141620222628303234362426810121424610122426244262628262681026286236[[#This Row],[Saldo no cartão]:[Recarga Pendente]])</f>
        <v>0</v>
      </c>
      <c r="N1071" s="19">
        <f>Tabela174681012142230322681619252731333624210121416182426283038402481012141620222628303234362426810121424610122426244262628262681026286236[[#This Row],[Uso diário]]*2</f>
        <v>26.8</v>
      </c>
      <c r="O1071" s="19">
        <f>Tabela174681012142230322681619252731333624210121416182426283038402481012141620222628303234362426810121424610122426244262628262681026286236[[#This Row],[Total Acumulado]]-P1071</f>
        <v>-67</v>
      </c>
      <c r="P1071" s="48">
        <f>Tabela174681012142230322681619252731333624210121416182426283038402481012141620222628303234362426810121424610122426244262628262681026286236[[#This Row],[Uso diário]]*5</f>
        <v>67</v>
      </c>
      <c r="Q10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1" s="25">
        <v>22</v>
      </c>
    </row>
    <row r="1072" spans="1:20" s="26" customFormat="1" x14ac:dyDescent="0.25">
      <c r="A1072" s="16">
        <v>231044</v>
      </c>
      <c r="B1072" s="30" t="s">
        <v>1510</v>
      </c>
      <c r="C1072" s="20" t="s">
        <v>641</v>
      </c>
      <c r="D1072" s="20" t="s">
        <v>704</v>
      </c>
      <c r="E1072" s="20" t="s">
        <v>3654</v>
      </c>
      <c r="F1072" s="20" t="s">
        <v>3655</v>
      </c>
      <c r="G1072" s="21">
        <v>13.4</v>
      </c>
      <c r="H1072" s="16">
        <v>26</v>
      </c>
      <c r="I1072" s="16"/>
      <c r="J10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2" s="22"/>
      <c r="L1072" s="23"/>
      <c r="M1072" s="23">
        <f>SUM(Tabela174681012142230322681619252731333624210121416182426283038402481012141620222628303234362426810121424610122426244262628262681026286236[[#This Row],[Saldo no cartão]:[Recarga Pendente]])</f>
        <v>0</v>
      </c>
      <c r="N1072" s="19">
        <f>Tabela174681012142230322681619252731333624210121416182426283038402481012141620222628303234362426810121424610122426244262628262681026286236[[#This Row],[Uso diário]]*2</f>
        <v>26.8</v>
      </c>
      <c r="O1072" s="19">
        <f>Tabela174681012142230322681619252731333624210121416182426283038402481012141620222628303234362426810121424610122426244262628262681026286236[[#This Row],[Total Acumulado]]-P1072</f>
        <v>-67</v>
      </c>
      <c r="P1072" s="48">
        <f>Tabela174681012142230322681619252731333624210121416182426283038402481012141620222628303234362426810121424610122426244262628262681026286236[[#This Row],[Uso diário]]*5</f>
        <v>67</v>
      </c>
      <c r="Q10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2" s="25">
        <v>22</v>
      </c>
    </row>
    <row r="1073" spans="1:20" s="26" customFormat="1" x14ac:dyDescent="0.25">
      <c r="A1073" s="16">
        <v>231138</v>
      </c>
      <c r="B1073" s="30" t="s">
        <v>774</v>
      </c>
      <c r="C1073" s="20" t="s">
        <v>641</v>
      </c>
      <c r="D1073" s="20" t="s">
        <v>704</v>
      </c>
      <c r="E1073" s="20" t="s">
        <v>3656</v>
      </c>
      <c r="F1073" s="20" t="s">
        <v>3657</v>
      </c>
      <c r="G1073" s="21">
        <v>18.8</v>
      </c>
      <c r="H1073" s="16">
        <v>26</v>
      </c>
      <c r="I1073" s="16"/>
      <c r="J10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73" s="22"/>
      <c r="L1073" s="23"/>
      <c r="M1073" s="23">
        <f>SUM(Tabela174681012142230322681619252731333624210121416182426283038402481012141620222628303234362426810121424610122426244262628262681026286236[[#This Row],[Saldo no cartão]:[Recarga Pendente]])</f>
        <v>0</v>
      </c>
      <c r="N1073" s="19">
        <f>Tabela174681012142230322681619252731333624210121416182426283038402481012141620222628303234362426810121424610122426244262628262681026286236[[#This Row],[Uso diário]]*2</f>
        <v>37.6</v>
      </c>
      <c r="O1073" s="19">
        <f>Tabela174681012142230322681619252731333624210121416182426283038402481012141620222628303234362426810121424610122426244262628262681026286236[[#This Row],[Total Acumulado]]-P1073</f>
        <v>-94</v>
      </c>
      <c r="P1073" s="48">
        <f>Tabela174681012142230322681619252731333624210121416182426283038402481012141620222628303234362426810121424610122426244262628262681026286236[[#This Row],[Uso diário]]*5</f>
        <v>94</v>
      </c>
      <c r="Q10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3" s="25">
        <v>22</v>
      </c>
    </row>
    <row r="1074" spans="1:20" s="26" customFormat="1" x14ac:dyDescent="0.25">
      <c r="A1074" s="16">
        <v>231509</v>
      </c>
      <c r="B1074" s="30" t="s">
        <v>798</v>
      </c>
      <c r="C1074" s="20" t="s">
        <v>641</v>
      </c>
      <c r="D1074" s="20" t="s">
        <v>743</v>
      </c>
      <c r="E1074" s="20" t="s">
        <v>3658</v>
      </c>
      <c r="F1074" s="20" t="s">
        <v>3659</v>
      </c>
      <c r="G1074" s="21">
        <v>10</v>
      </c>
      <c r="H1074" s="16">
        <v>26</v>
      </c>
      <c r="I1074" s="16"/>
      <c r="J10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260</v>
      </c>
      <c r="K1074" s="22"/>
      <c r="L1074" s="23"/>
      <c r="M1074" s="23">
        <f>SUM(Tabela174681012142230322681619252731333624210121416182426283038402481012141620222628303234362426810121424610122426244262628262681026286236[[#This Row],[Saldo no cartão]:[Recarga Pendente]])</f>
        <v>0</v>
      </c>
      <c r="N1074" s="19">
        <f>Tabela174681012142230322681619252731333624210121416182426283038402481012141620222628303234362426810121424610122426244262628262681026286236[[#This Row],[Uso diário]]*2</f>
        <v>20</v>
      </c>
      <c r="O1074" s="19">
        <f>Tabela174681012142230322681619252731333624210121416182426283038402481012141620222628303234362426810121424610122426244262628262681026286236[[#This Row],[Total Acumulado]]-P1074</f>
        <v>-50</v>
      </c>
      <c r="P1074" s="48">
        <f>Tabela174681012142230322681619252731333624210121416182426283038402481012141620222628303234362426810121424610122426244262628262681026286236[[#This Row],[Uso diário]]*5</f>
        <v>50</v>
      </c>
      <c r="Q10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260</v>
      </c>
      <c r="S10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4" s="25">
        <v>22</v>
      </c>
    </row>
    <row r="1075" spans="1:20" s="26" customFormat="1" x14ac:dyDescent="0.25">
      <c r="A1075" s="16">
        <v>231878</v>
      </c>
      <c r="B1075" s="30" t="s">
        <v>860</v>
      </c>
      <c r="C1075" s="20" t="s">
        <v>641</v>
      </c>
      <c r="D1075" s="20" t="s">
        <v>744</v>
      </c>
      <c r="E1075" s="20" t="s">
        <v>3660</v>
      </c>
      <c r="F1075" s="20" t="s">
        <v>3661</v>
      </c>
      <c r="G1075" s="21">
        <v>13.4</v>
      </c>
      <c r="H1075" s="16">
        <v>26</v>
      </c>
      <c r="I1075" s="16"/>
      <c r="J10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5" s="22"/>
      <c r="L1075" s="23"/>
      <c r="M1075" s="23">
        <f>SUM(Tabela174681012142230322681619252731333624210121416182426283038402481012141620222628303234362426810121424610122426244262628262681026286236[[#This Row],[Saldo no cartão]:[Recarga Pendente]])</f>
        <v>0</v>
      </c>
      <c r="N1075" s="19">
        <f>Tabela174681012142230322681619252731333624210121416182426283038402481012141620222628303234362426810121424610122426244262628262681026286236[[#This Row],[Uso diário]]*2</f>
        <v>26.8</v>
      </c>
      <c r="O1075" s="19">
        <f>Tabela174681012142230322681619252731333624210121416182426283038402481012141620222628303234362426810121424610122426244262628262681026286236[[#This Row],[Total Acumulado]]-P1075</f>
        <v>-67</v>
      </c>
      <c r="P1075" s="48">
        <f>Tabela174681012142230322681619252731333624210121416182426283038402481012141620222628303234362426810121424610122426244262628262681026286236[[#This Row],[Uso diário]]*5</f>
        <v>67</v>
      </c>
      <c r="Q10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5" s="25">
        <v>22</v>
      </c>
    </row>
    <row r="1076" spans="1:20" s="26" customFormat="1" x14ac:dyDescent="0.25">
      <c r="A1076" s="16">
        <v>232115</v>
      </c>
      <c r="B1076" s="30" t="s">
        <v>861</v>
      </c>
      <c r="C1076" s="20" t="s">
        <v>641</v>
      </c>
      <c r="D1076" s="20" t="s">
        <v>704</v>
      </c>
      <c r="E1076" s="20" t="s">
        <v>3662</v>
      </c>
      <c r="F1076" s="20" t="s">
        <v>3663</v>
      </c>
      <c r="G1076" s="21">
        <v>18.8</v>
      </c>
      <c r="H1076" s="16">
        <v>26</v>
      </c>
      <c r="I1076" s="16">
        <v>4</v>
      </c>
      <c r="J10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076" s="22"/>
      <c r="L1076" s="23"/>
      <c r="M1076" s="23">
        <f>SUM(Tabela174681012142230322681619252731333624210121416182426283038402481012141620222628303234362426810121424610122426244262628262681026286236[[#This Row],[Saldo no cartão]:[Recarga Pendente]])</f>
        <v>0</v>
      </c>
      <c r="N1076" s="19">
        <f>Tabela174681012142230322681619252731333624210121416182426283038402481012141620222628303234362426810121424610122426244262628262681026286236[[#This Row],[Uso diário]]*2</f>
        <v>37.6</v>
      </c>
      <c r="O1076" s="19">
        <f>Tabela174681012142230322681619252731333624210121416182426283038402481012141620222628303234362426810121424610122426244262628262681026286236[[#This Row],[Total Acumulado]]-P1076</f>
        <v>-94</v>
      </c>
      <c r="P1076" s="48">
        <f>Tabela174681012142230322681619252731333624210121416182426283038402481012141620222628303234362426810121424610122426244262628262681026286236[[#This Row],[Uso diário]]*5</f>
        <v>94</v>
      </c>
      <c r="Q10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0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6" s="25">
        <v>22</v>
      </c>
    </row>
    <row r="1077" spans="1:20" s="26" customFormat="1" x14ac:dyDescent="0.25">
      <c r="A1077" s="16">
        <v>233082</v>
      </c>
      <c r="B1077" s="30" t="s">
        <v>1012</v>
      </c>
      <c r="C1077" s="20" t="s">
        <v>641</v>
      </c>
      <c r="D1077" s="20" t="s">
        <v>704</v>
      </c>
      <c r="E1077" s="20" t="s">
        <v>3664</v>
      </c>
      <c r="F1077" s="20" t="s">
        <v>3665</v>
      </c>
      <c r="G1077" s="21">
        <v>13.4</v>
      </c>
      <c r="H1077" s="16">
        <v>26</v>
      </c>
      <c r="I1077" s="16"/>
      <c r="J10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7" s="22"/>
      <c r="L1077" s="23"/>
      <c r="M1077" s="23">
        <f>SUM(Tabela174681012142230322681619252731333624210121416182426283038402481012141620222628303234362426810121424610122426244262628262681026286236[[#This Row],[Saldo no cartão]:[Recarga Pendente]])</f>
        <v>0</v>
      </c>
      <c r="N1077" s="19">
        <f>Tabela174681012142230322681619252731333624210121416182426283038402481012141620222628303234362426810121424610122426244262628262681026286236[[#This Row],[Uso diário]]*2</f>
        <v>26.8</v>
      </c>
      <c r="O1077" s="19">
        <f>Tabela174681012142230322681619252731333624210121416182426283038402481012141620222628303234362426810121424610122426244262628262681026286236[[#This Row],[Total Acumulado]]-P1077</f>
        <v>-67</v>
      </c>
      <c r="P1077" s="48">
        <f>Tabela174681012142230322681619252731333624210121416182426283038402481012141620222628303234362426810121424610122426244262628262681026286236[[#This Row],[Uso diário]]*5</f>
        <v>67</v>
      </c>
      <c r="Q10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7" s="25">
        <v>22</v>
      </c>
    </row>
    <row r="1078" spans="1:20" s="26" customFormat="1" x14ac:dyDescent="0.25">
      <c r="A1078" s="16">
        <v>233123</v>
      </c>
      <c r="B1078" s="30" t="s">
        <v>1013</v>
      </c>
      <c r="C1078" s="20" t="s">
        <v>641</v>
      </c>
      <c r="D1078" s="20" t="s">
        <v>704</v>
      </c>
      <c r="E1078" s="20" t="s">
        <v>3666</v>
      </c>
      <c r="F1078" s="20" t="s">
        <v>3667</v>
      </c>
      <c r="G1078" s="21">
        <v>13.4</v>
      </c>
      <c r="H1078" s="16">
        <v>26</v>
      </c>
      <c r="I1078" s="16"/>
      <c r="J10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8" s="22"/>
      <c r="L1078" s="23"/>
      <c r="M1078" s="23">
        <f>SUM(Tabela174681012142230322681619252731333624210121416182426283038402481012141620222628303234362426810121424610122426244262628262681026286236[[#This Row],[Saldo no cartão]:[Recarga Pendente]])</f>
        <v>0</v>
      </c>
      <c r="N1078" s="19">
        <f>Tabela174681012142230322681619252731333624210121416182426283038402481012141620222628303234362426810121424610122426244262628262681026286236[[#This Row],[Uso diário]]*2</f>
        <v>26.8</v>
      </c>
      <c r="O1078" s="19">
        <f>Tabela174681012142230322681619252731333624210121416182426283038402481012141620222628303234362426810121424610122426244262628262681026286236[[#This Row],[Total Acumulado]]-P1078</f>
        <v>-67</v>
      </c>
      <c r="P1078" s="48">
        <f>Tabela174681012142230322681619252731333624210121416182426283038402481012141620222628303234362426810121424610122426244262628262681026286236[[#This Row],[Uso diário]]*5</f>
        <v>67</v>
      </c>
      <c r="Q10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8" s="25">
        <v>22</v>
      </c>
    </row>
    <row r="1079" spans="1:20" s="26" customFormat="1" x14ac:dyDescent="0.25">
      <c r="A1079" s="16">
        <v>234759</v>
      </c>
      <c r="B1079" s="30" t="s">
        <v>1381</v>
      </c>
      <c r="C1079" s="20" t="s">
        <v>641</v>
      </c>
      <c r="D1079" s="20" t="s">
        <v>704</v>
      </c>
      <c r="E1079" s="20" t="s">
        <v>3668</v>
      </c>
      <c r="F1079" s="20" t="s">
        <v>3669</v>
      </c>
      <c r="G1079" s="21">
        <v>13.4</v>
      </c>
      <c r="H1079" s="16">
        <v>26</v>
      </c>
      <c r="I1079" s="16"/>
      <c r="J10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79" s="22"/>
      <c r="L1079" s="23"/>
      <c r="M1079" s="23">
        <f>SUM(Tabela174681012142230322681619252731333624210121416182426283038402481012141620222628303234362426810121424610122426244262628262681026286236[[#This Row],[Saldo no cartão]:[Recarga Pendente]])</f>
        <v>0</v>
      </c>
      <c r="N1079" s="19">
        <f>Tabela174681012142230322681619252731333624210121416182426283038402481012141620222628303234362426810121424610122426244262628262681026286236[[#This Row],[Uso diário]]*2</f>
        <v>26.8</v>
      </c>
      <c r="O1079" s="19">
        <f>Tabela174681012142230322681619252731333624210121416182426283038402481012141620222628303234362426810121424610122426244262628262681026286236[[#This Row],[Total Acumulado]]-P1079</f>
        <v>-67</v>
      </c>
      <c r="P1079" s="48">
        <f>Tabela174681012142230322681619252731333624210121416182426283038402481012141620222628303234362426810121424610122426244262628262681026286236[[#This Row],[Uso diário]]*5</f>
        <v>67</v>
      </c>
      <c r="Q10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79" s="25">
        <v>22</v>
      </c>
    </row>
    <row r="1080" spans="1:20" s="26" customFormat="1" x14ac:dyDescent="0.25">
      <c r="A1080" s="16">
        <v>234818</v>
      </c>
      <c r="B1080" s="30" t="s">
        <v>1382</v>
      </c>
      <c r="C1080" s="20" t="s">
        <v>641</v>
      </c>
      <c r="D1080" s="20" t="s">
        <v>704</v>
      </c>
      <c r="E1080" s="20" t="s">
        <v>3670</v>
      </c>
      <c r="F1080" s="20" t="s">
        <v>3671</v>
      </c>
      <c r="G1080" s="21">
        <v>18.8</v>
      </c>
      <c r="H1080" s="16">
        <v>26</v>
      </c>
      <c r="I1080" s="16"/>
      <c r="J10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80" s="22"/>
      <c r="L1080" s="23"/>
      <c r="M1080" s="23">
        <f>SUM(Tabela174681012142230322681619252731333624210121416182426283038402481012141620222628303234362426810121424610122426244262628262681026286236[[#This Row],[Saldo no cartão]:[Recarga Pendente]])</f>
        <v>0</v>
      </c>
      <c r="N1080" s="19">
        <f>Tabela174681012142230322681619252731333624210121416182426283038402481012141620222628303234362426810121424610122426244262628262681026286236[[#This Row],[Uso diário]]*2</f>
        <v>37.6</v>
      </c>
      <c r="O1080" s="19">
        <f>Tabela174681012142230322681619252731333624210121416182426283038402481012141620222628303234362426810121424610122426244262628262681026286236[[#This Row],[Total Acumulado]]-P1080</f>
        <v>-94</v>
      </c>
      <c r="P1080" s="48">
        <f>Tabela174681012142230322681619252731333624210121416182426283038402481012141620222628303234362426810121424610122426244262628262681026286236[[#This Row],[Uso diário]]*5</f>
        <v>94</v>
      </c>
      <c r="Q10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0" s="25">
        <v>22</v>
      </c>
    </row>
    <row r="1081" spans="1:20" s="26" customFormat="1" x14ac:dyDescent="0.25">
      <c r="A1081" s="16">
        <v>219121</v>
      </c>
      <c r="B1081" s="30" t="s">
        <v>506</v>
      </c>
      <c r="C1081" s="20" t="s">
        <v>645</v>
      </c>
      <c r="D1081" s="20" t="s">
        <v>751</v>
      </c>
      <c r="E1081" s="20" t="s">
        <v>3672</v>
      </c>
      <c r="F1081" s="20" t="s">
        <v>3673</v>
      </c>
      <c r="G1081" s="21">
        <v>18.8</v>
      </c>
      <c r="H1081" s="16">
        <v>26</v>
      </c>
      <c r="I1081" s="16"/>
      <c r="J10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81" s="22"/>
      <c r="L1081" s="23">
        <v>201.1</v>
      </c>
      <c r="M1081" s="23">
        <f>SUM(Tabela174681012142230322681619252731333624210121416182426283038402481012141620222628303234362426810121424610122426244262628262681026286236[[#This Row],[Saldo no cartão]:[Recarga Pendente]])</f>
        <v>201.1</v>
      </c>
      <c r="N1081" s="19">
        <f>Tabela174681012142230322681619252731333624210121416182426283038402481012141620222628303234362426810121424610122426244262628262681026286236[[#This Row],[Uso diário]]*2</f>
        <v>37.6</v>
      </c>
      <c r="O1081" s="19">
        <f>Tabela174681012142230322681619252731333624210121416182426283038402481012141620222628303234362426810121424610122426244262628262681026286236[[#This Row],[Total Acumulado]]-P1081</f>
        <v>107.1</v>
      </c>
      <c r="P1081" s="48">
        <f>Tabela174681012142230322681619252731333624210121416182426283038402481012141620222628303234362426810121424610122426244262628262681026286236[[#This Row],[Uso diário]]*5</f>
        <v>94</v>
      </c>
      <c r="Q10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107.1</v>
      </c>
      <c r="R10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381.70000000000005</v>
      </c>
      <c r="S1081" s="18" t="s">
        <v>11</v>
      </c>
      <c r="T1081" s="25">
        <v>22</v>
      </c>
    </row>
    <row r="1082" spans="1:20" s="26" customFormat="1" x14ac:dyDescent="0.25">
      <c r="A1082" s="16">
        <v>222056</v>
      </c>
      <c r="B1082" s="30" t="s">
        <v>1511</v>
      </c>
      <c r="C1082" s="20" t="s">
        <v>645</v>
      </c>
      <c r="D1082" s="20" t="s">
        <v>711</v>
      </c>
      <c r="E1082" s="20" t="s">
        <v>3674</v>
      </c>
      <c r="F1082" s="20" t="s">
        <v>3675</v>
      </c>
      <c r="G1082" s="21">
        <v>13.4</v>
      </c>
      <c r="H1082" s="16">
        <v>26</v>
      </c>
      <c r="I1082" s="16">
        <v>4</v>
      </c>
      <c r="J10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082" s="22"/>
      <c r="L1082" s="23"/>
      <c r="M1082" s="23">
        <f>SUM(Tabela174681012142230322681619252731333624210121416182426283038402481012141620222628303234362426810121424610122426244262628262681026286236[[#This Row],[Saldo no cartão]:[Recarga Pendente]])</f>
        <v>0</v>
      </c>
      <c r="N1082" s="19">
        <f>Tabela174681012142230322681619252731333624210121416182426283038402481012141620222628303234362426810121424610122426244262628262681026286236[[#This Row],[Uso diário]]*2</f>
        <v>26.8</v>
      </c>
      <c r="O1082" s="19">
        <f>Tabela174681012142230322681619252731333624210121416182426283038402481012141620222628303234362426810121424610122426244262628262681026286236[[#This Row],[Total Acumulado]]-P1082</f>
        <v>-67</v>
      </c>
      <c r="P1082" s="48">
        <f>Tabela174681012142230322681619252731333624210121416182426283038402481012141620222628303234362426810121424610122426244262628262681026286236[[#This Row],[Uso diário]]*5</f>
        <v>67</v>
      </c>
      <c r="Q10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0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2" s="25">
        <v>22</v>
      </c>
    </row>
    <row r="1083" spans="1:20" s="26" customFormat="1" x14ac:dyDescent="0.25">
      <c r="A1083" s="16">
        <v>222113</v>
      </c>
      <c r="B1083" s="30" t="s">
        <v>507</v>
      </c>
      <c r="C1083" s="20" t="s">
        <v>645</v>
      </c>
      <c r="D1083" s="20" t="s">
        <v>711</v>
      </c>
      <c r="E1083" s="20" t="s">
        <v>3676</v>
      </c>
      <c r="F1083" s="20" t="s">
        <v>3677</v>
      </c>
      <c r="G1083" s="21">
        <v>13.4</v>
      </c>
      <c r="H1083" s="16">
        <v>26</v>
      </c>
      <c r="I1083" s="16">
        <v>1</v>
      </c>
      <c r="J10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083" s="22"/>
      <c r="L1083" s="23"/>
      <c r="M1083" s="23">
        <f>SUM(Tabela174681012142230322681619252731333624210121416182426283038402481012141620222628303234362426810121424610122426244262628262681026286236[[#This Row],[Saldo no cartão]:[Recarga Pendente]])</f>
        <v>0</v>
      </c>
      <c r="N1083" s="19">
        <f>Tabela174681012142230322681619252731333624210121416182426283038402481012141620222628303234362426810121424610122426244262628262681026286236[[#This Row],[Uso diário]]*2</f>
        <v>26.8</v>
      </c>
      <c r="O1083" s="19">
        <f>Tabela174681012142230322681619252731333624210121416182426283038402481012141620222628303234362426810121424610122426244262628262681026286236[[#This Row],[Total Acumulado]]-P1083</f>
        <v>-67</v>
      </c>
      <c r="P1083" s="48">
        <f>Tabela174681012142230322681619252731333624210121416182426283038402481012141620222628303234362426810121424610122426244262628262681026286236[[#This Row],[Uso diário]]*5</f>
        <v>67</v>
      </c>
      <c r="Q10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0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3" s="25">
        <v>22</v>
      </c>
    </row>
    <row r="1084" spans="1:20" s="26" customFormat="1" x14ac:dyDescent="0.25">
      <c r="A1084" s="16">
        <v>222115</v>
      </c>
      <c r="B1084" s="30" t="s">
        <v>508</v>
      </c>
      <c r="C1084" s="20" t="s">
        <v>645</v>
      </c>
      <c r="D1084" s="20" t="s">
        <v>711</v>
      </c>
      <c r="E1084" s="20" t="s">
        <v>3678</v>
      </c>
      <c r="F1084" s="20" t="s">
        <v>3679</v>
      </c>
      <c r="G1084" s="21">
        <v>13.7</v>
      </c>
      <c r="H1084" s="16">
        <v>26</v>
      </c>
      <c r="I1084" s="16"/>
      <c r="J10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356.2</v>
      </c>
      <c r="K1084" s="22"/>
      <c r="L1084" s="23"/>
      <c r="M1084" s="23">
        <f>SUM(Tabela174681012142230322681619252731333624210121416182426283038402481012141620222628303234362426810121424610122426244262628262681026286236[[#This Row],[Saldo no cartão]:[Recarga Pendente]])</f>
        <v>0</v>
      </c>
      <c r="N1084" s="19">
        <f>Tabela174681012142230322681619252731333624210121416182426283038402481012141620222628303234362426810121424610122426244262628262681026286236[[#This Row],[Uso diário]]*2</f>
        <v>27.4</v>
      </c>
      <c r="O1084" s="19">
        <f>Tabela174681012142230322681619252731333624210121416182426283038402481012141620222628303234362426810121424610122426244262628262681026286236[[#This Row],[Total Acumulado]]-P1084</f>
        <v>-68.5</v>
      </c>
      <c r="P1084" s="48">
        <f>Tabela174681012142230322681619252731333624210121416182426283038402481012141620222628303234362426810121424610122426244262628262681026286236[[#This Row],[Uso diário]]*5</f>
        <v>68.5</v>
      </c>
      <c r="Q10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356.2</v>
      </c>
      <c r="S10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4" s="25">
        <v>22</v>
      </c>
    </row>
    <row r="1085" spans="1:20" s="26" customFormat="1" x14ac:dyDescent="0.25">
      <c r="A1085" s="16">
        <v>225285</v>
      </c>
      <c r="B1085" s="30" t="s">
        <v>509</v>
      </c>
      <c r="C1085" s="20" t="s">
        <v>645</v>
      </c>
      <c r="D1085" s="20" t="s">
        <v>711</v>
      </c>
      <c r="E1085" s="20" t="s">
        <v>3680</v>
      </c>
      <c r="F1085" s="20" t="s">
        <v>3681</v>
      </c>
      <c r="G1085" s="21">
        <v>13.4</v>
      </c>
      <c r="H1085" s="16">
        <v>26</v>
      </c>
      <c r="I1085" s="16"/>
      <c r="J10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85" s="22"/>
      <c r="L1085" s="23"/>
      <c r="M1085" s="23">
        <f>SUM(Tabela174681012142230322681619252731333624210121416182426283038402481012141620222628303234362426810121424610122426244262628262681026286236[[#This Row],[Saldo no cartão]:[Recarga Pendente]])</f>
        <v>0</v>
      </c>
      <c r="N1085" s="19">
        <f>Tabela174681012142230322681619252731333624210121416182426283038402481012141620222628303234362426810121424610122426244262628262681026286236[[#This Row],[Uso diário]]*2</f>
        <v>26.8</v>
      </c>
      <c r="O1085" s="19">
        <f>Tabela174681012142230322681619252731333624210121416182426283038402481012141620222628303234362426810121424610122426244262628262681026286236[[#This Row],[Total Acumulado]]-P1085</f>
        <v>-67</v>
      </c>
      <c r="P1085" s="48">
        <f>Tabela174681012142230322681619252731333624210121416182426283038402481012141620222628303234362426810121424610122426244262628262681026286236[[#This Row],[Uso diário]]*5</f>
        <v>67</v>
      </c>
      <c r="Q10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5" s="25">
        <v>22</v>
      </c>
    </row>
    <row r="1086" spans="1:20" s="26" customFormat="1" x14ac:dyDescent="0.25">
      <c r="A1086" s="16">
        <v>232261</v>
      </c>
      <c r="B1086" s="30" t="s">
        <v>889</v>
      </c>
      <c r="C1086" s="20" t="s">
        <v>645</v>
      </c>
      <c r="D1086" s="20" t="s">
        <v>711</v>
      </c>
      <c r="E1086" s="20" t="s">
        <v>3682</v>
      </c>
      <c r="F1086" s="20" t="s">
        <v>3683</v>
      </c>
      <c r="G1086" s="21">
        <v>13.4</v>
      </c>
      <c r="H1086" s="16">
        <v>26</v>
      </c>
      <c r="I1086" s="16"/>
      <c r="J10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86" s="22"/>
      <c r="L1086" s="23"/>
      <c r="M1086" s="23">
        <f>SUM(Tabela174681012142230322681619252731333624210121416182426283038402481012141620222628303234362426810121424610122426244262628262681026286236[[#This Row],[Saldo no cartão]:[Recarga Pendente]])</f>
        <v>0</v>
      </c>
      <c r="N1086" s="19">
        <f>Tabela174681012142230322681619252731333624210121416182426283038402481012141620222628303234362426810121424610122426244262628262681026286236[[#This Row],[Uso diário]]*2</f>
        <v>26.8</v>
      </c>
      <c r="O1086" s="19">
        <f>Tabela174681012142230322681619252731333624210121416182426283038402481012141620222628303234362426810121424610122426244262628262681026286236[[#This Row],[Total Acumulado]]-P1086</f>
        <v>-67</v>
      </c>
      <c r="P1086" s="48">
        <f>Tabela174681012142230322681619252731333624210121416182426283038402481012141620222628303234362426810121424610122426244262628262681026286236[[#This Row],[Uso diário]]*5</f>
        <v>67</v>
      </c>
      <c r="Q10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6" s="25">
        <v>22</v>
      </c>
    </row>
    <row r="1087" spans="1:20" s="26" customFormat="1" x14ac:dyDescent="0.25">
      <c r="A1087" s="16">
        <v>232483</v>
      </c>
      <c r="B1087" s="30" t="s">
        <v>920</v>
      </c>
      <c r="C1087" s="20" t="s">
        <v>645</v>
      </c>
      <c r="D1087" s="20" t="s">
        <v>711</v>
      </c>
      <c r="E1087" s="20" t="s">
        <v>3684</v>
      </c>
      <c r="F1087" s="20" t="s">
        <v>3685</v>
      </c>
      <c r="G1087" s="21">
        <v>13.4</v>
      </c>
      <c r="H1087" s="16">
        <v>26</v>
      </c>
      <c r="I1087" s="16"/>
      <c r="J10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87" s="22"/>
      <c r="L1087" s="23"/>
      <c r="M1087" s="23">
        <f>SUM(Tabela174681012142230322681619252731333624210121416182426283038402481012141620222628303234362426810121424610122426244262628262681026286236[[#This Row],[Saldo no cartão]:[Recarga Pendente]])</f>
        <v>0</v>
      </c>
      <c r="N1087" s="19">
        <f>Tabela174681012142230322681619252731333624210121416182426283038402481012141620222628303234362426810121424610122426244262628262681026286236[[#This Row],[Uso diário]]*2</f>
        <v>26.8</v>
      </c>
      <c r="O1087" s="19">
        <f>Tabela174681012142230322681619252731333624210121416182426283038402481012141620222628303234362426810121424610122426244262628262681026286236[[#This Row],[Total Acumulado]]-P1087</f>
        <v>-67</v>
      </c>
      <c r="P1087" s="48">
        <f>Tabela174681012142230322681619252731333624210121416182426283038402481012141620222628303234362426810121424610122426244262628262681026286236[[#This Row],[Uso diário]]*5</f>
        <v>67</v>
      </c>
      <c r="Q10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7" s="25">
        <v>22</v>
      </c>
    </row>
    <row r="1088" spans="1:20" s="26" customFormat="1" x14ac:dyDescent="0.25">
      <c r="A1088" s="16">
        <v>233875</v>
      </c>
      <c r="B1088" s="30" t="s">
        <v>1107</v>
      </c>
      <c r="C1088" s="20" t="s">
        <v>645</v>
      </c>
      <c r="D1088" s="20" t="s">
        <v>711</v>
      </c>
      <c r="E1088" s="20" t="s">
        <v>3686</v>
      </c>
      <c r="F1088" s="20" t="s">
        <v>3687</v>
      </c>
      <c r="G1088" s="21">
        <v>13.4</v>
      </c>
      <c r="H1088" s="16">
        <v>26</v>
      </c>
      <c r="I1088" s="16"/>
      <c r="J10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88" s="22"/>
      <c r="L1088" s="23"/>
      <c r="M1088" s="23">
        <f>SUM(Tabela174681012142230322681619252731333624210121416182426283038402481012141620222628303234362426810121424610122426244262628262681026286236[[#This Row],[Saldo no cartão]:[Recarga Pendente]])</f>
        <v>0</v>
      </c>
      <c r="N1088" s="19">
        <f>Tabela174681012142230322681619252731333624210121416182426283038402481012141620222628303234362426810121424610122426244262628262681026286236[[#This Row],[Uso diário]]*2</f>
        <v>26.8</v>
      </c>
      <c r="O1088" s="19">
        <f>Tabela174681012142230322681619252731333624210121416182426283038402481012141620222628303234362426810121424610122426244262628262681026286236[[#This Row],[Total Acumulado]]-P1088</f>
        <v>-67</v>
      </c>
      <c r="P1088" s="48">
        <f>Tabela174681012142230322681619252731333624210121416182426283038402481012141620222628303234362426810121424610122426244262628262681026286236[[#This Row],[Uso diário]]*5</f>
        <v>67</v>
      </c>
      <c r="Q10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8" s="25">
        <v>22</v>
      </c>
    </row>
    <row r="1089" spans="1:20" s="26" customFormat="1" x14ac:dyDescent="0.25">
      <c r="A1089" s="16">
        <v>235076</v>
      </c>
      <c r="B1089" s="30" t="s">
        <v>1512</v>
      </c>
      <c r="C1089" s="20" t="s">
        <v>645</v>
      </c>
      <c r="D1089" s="20" t="s">
        <v>711</v>
      </c>
      <c r="E1089" s="20" t="e">
        <v>#N/A</v>
      </c>
      <c r="F1089" s="20" t="e">
        <v>#N/A</v>
      </c>
      <c r="G1089" s="21">
        <v>13.4</v>
      </c>
      <c r="H1089" s="16">
        <v>26</v>
      </c>
      <c r="I1089" s="16"/>
      <c r="J10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089" s="22"/>
      <c r="L1089" s="23"/>
      <c r="M1089" s="23">
        <f>SUM(Tabela174681012142230322681619252731333624210121416182426283038402481012141620222628303234362426810121424610122426244262628262681026286236[[#This Row],[Saldo no cartão]:[Recarga Pendente]])</f>
        <v>0</v>
      </c>
      <c r="N1089" s="19">
        <f>Tabela174681012142230322681619252731333624210121416182426283038402481012141620222628303234362426810121424610122426244262628262681026286236[[#This Row],[Uso diário]]*2</f>
        <v>26.8</v>
      </c>
      <c r="O1089" s="19">
        <f>Tabela174681012142230322681619252731333624210121416182426283038402481012141620222628303234362426810121424610122426244262628262681026286236[[#This Row],[Total Acumulado]]-P1089</f>
        <v>-67</v>
      </c>
      <c r="P1089" s="48">
        <f>Tabela174681012142230322681619252731333624210121416182426283038402481012141620222628303234362426810121424610122426244262628262681026286236[[#This Row],[Uso diário]]*5</f>
        <v>67</v>
      </c>
      <c r="Q10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0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89" s="25">
        <v>22</v>
      </c>
    </row>
    <row r="1090" spans="1:20" s="26" customFormat="1" x14ac:dyDescent="0.25">
      <c r="A1090" s="16">
        <v>209615</v>
      </c>
      <c r="B1090" s="30" t="s">
        <v>511</v>
      </c>
      <c r="C1090" s="20" t="s">
        <v>635</v>
      </c>
      <c r="D1090" s="20" t="s">
        <v>698</v>
      </c>
      <c r="E1090" s="20" t="s">
        <v>3688</v>
      </c>
      <c r="F1090" s="20" t="s">
        <v>3689</v>
      </c>
      <c r="G1090" s="21">
        <v>18.8</v>
      </c>
      <c r="H1090" s="16">
        <v>26</v>
      </c>
      <c r="I1090" s="16"/>
      <c r="J10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90" s="22"/>
      <c r="L1090" s="23"/>
      <c r="M1090" s="23">
        <f>SUM(Tabela174681012142230322681619252731333624210121416182426283038402481012141620222628303234362426810121424610122426244262628262681026286236[[#This Row],[Saldo no cartão]:[Recarga Pendente]])</f>
        <v>0</v>
      </c>
      <c r="N1090" s="19">
        <f>Tabela174681012142230322681619252731333624210121416182426283038402481012141620222628303234362426810121424610122426244262628262681026286236[[#This Row],[Uso diário]]*2</f>
        <v>37.6</v>
      </c>
      <c r="O1090" s="19">
        <f>Tabela174681012142230322681619252731333624210121416182426283038402481012141620222628303234362426810121424610122426244262628262681026286236[[#This Row],[Total Acumulado]]-P1090</f>
        <v>-94</v>
      </c>
      <c r="P1090" s="48">
        <f>Tabela174681012142230322681619252731333624210121416182426283038402481012141620222628303234362426810121424610122426244262628262681026286236[[#This Row],[Uso diário]]*5</f>
        <v>94</v>
      </c>
      <c r="Q10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0" s="25">
        <v>23</v>
      </c>
    </row>
    <row r="1091" spans="1:20" s="26" customFormat="1" x14ac:dyDescent="0.25">
      <c r="A1091" s="16">
        <v>222193</v>
      </c>
      <c r="B1091" s="30" t="s">
        <v>471</v>
      </c>
      <c r="C1091" s="20" t="s">
        <v>653</v>
      </c>
      <c r="D1091" s="20" t="s">
        <v>891</v>
      </c>
      <c r="E1091" s="20" t="s">
        <v>3690</v>
      </c>
      <c r="F1091" s="20" t="s">
        <v>3691</v>
      </c>
      <c r="G1091" s="21">
        <v>18.8</v>
      </c>
      <c r="H1091" s="16">
        <v>26</v>
      </c>
      <c r="I1091" s="16"/>
      <c r="J10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91" s="22"/>
      <c r="L1091" s="23"/>
      <c r="M1091" s="23">
        <f>SUM(Tabela174681012142230322681619252731333624210121416182426283038402481012141620222628303234362426810121424610122426244262628262681026286236[[#This Row],[Saldo no cartão]:[Recarga Pendente]])</f>
        <v>0</v>
      </c>
      <c r="N1091" s="19">
        <f>Tabela174681012142230322681619252731333624210121416182426283038402481012141620222628303234362426810121424610122426244262628262681026286236[[#This Row],[Uso diário]]*2</f>
        <v>37.6</v>
      </c>
      <c r="O1091" s="19">
        <f>Tabela174681012142230322681619252731333624210121416182426283038402481012141620222628303234362426810121424610122426244262628262681026286236[[#This Row],[Total Acumulado]]-P1091</f>
        <v>-94</v>
      </c>
      <c r="P1091" s="48">
        <f>Tabela174681012142230322681619252731333624210121416182426283038402481012141620222628303234362426810121424610122426244262628262681026286236[[#This Row],[Uso diário]]*5</f>
        <v>94</v>
      </c>
      <c r="Q10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1" s="25">
        <v>23</v>
      </c>
    </row>
    <row r="1092" spans="1:20" s="26" customFormat="1" x14ac:dyDescent="0.25">
      <c r="A1092" s="16">
        <v>229667</v>
      </c>
      <c r="B1092" s="30" t="s">
        <v>512</v>
      </c>
      <c r="C1092" s="20" t="s">
        <v>641</v>
      </c>
      <c r="D1092" s="20" t="s">
        <v>743</v>
      </c>
      <c r="E1092" s="20" t="s">
        <v>3692</v>
      </c>
      <c r="F1092" s="20" t="s">
        <v>3693</v>
      </c>
      <c r="G1092" s="21">
        <v>18.8</v>
      </c>
      <c r="H1092" s="16">
        <v>26</v>
      </c>
      <c r="I1092" s="16"/>
      <c r="J10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092" s="22"/>
      <c r="L1092" s="23"/>
      <c r="M1092" s="23">
        <f>SUM(Tabela174681012142230322681619252731333624210121416182426283038402481012141620222628303234362426810121424610122426244262628262681026286236[[#This Row],[Saldo no cartão]:[Recarga Pendente]])</f>
        <v>0</v>
      </c>
      <c r="N1092" s="19">
        <f>Tabela174681012142230322681619252731333624210121416182426283038402481012141620222628303234362426810121424610122426244262628262681026286236[[#This Row],[Uso diário]]*2</f>
        <v>37.6</v>
      </c>
      <c r="O1092" s="19">
        <f>Tabela174681012142230322681619252731333624210121416182426283038402481012141620222628303234362426810121424610122426244262628262681026286236[[#This Row],[Total Acumulado]]-P1092</f>
        <v>-94</v>
      </c>
      <c r="P1092" s="48">
        <f>Tabela174681012142230322681619252731333624210121416182426283038402481012141620222628303234362426810121424610122426244262628262681026286236[[#This Row],[Uso diário]]*5</f>
        <v>94</v>
      </c>
      <c r="Q10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0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2" s="25">
        <v>23</v>
      </c>
    </row>
    <row r="1093" spans="1:20" s="26" customFormat="1" x14ac:dyDescent="0.25">
      <c r="A1093" s="16">
        <v>212131</v>
      </c>
      <c r="B1093" s="30" t="s">
        <v>1233</v>
      </c>
      <c r="C1093" s="20" t="s">
        <v>1257</v>
      </c>
      <c r="D1093" s="20" t="s">
        <v>1264</v>
      </c>
      <c r="E1093" s="20" t="s">
        <v>3694</v>
      </c>
      <c r="F1093" s="20" t="s">
        <v>3695</v>
      </c>
      <c r="G1093" s="21">
        <v>18.8</v>
      </c>
      <c r="H1093" s="16">
        <v>22</v>
      </c>
      <c r="I1093" s="16">
        <v>3</v>
      </c>
      <c r="J10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1093" s="22"/>
      <c r="L1093" s="23"/>
      <c r="M1093" s="23">
        <f>SUM(Tabela174681012142230322681619252731333624210121416182426283038402481012141620222628303234362426810121424610122426244262628262681026286236[[#This Row],[Saldo no cartão]:[Recarga Pendente]])</f>
        <v>0</v>
      </c>
      <c r="N1093" s="19">
        <f>Tabela174681012142230322681619252731333624210121416182426283038402481012141620222628303234362426810121424610122426244262628262681026286236[[#This Row],[Uso diário]]*2</f>
        <v>37.6</v>
      </c>
      <c r="O1093" s="19">
        <f>Tabela174681012142230322681619252731333624210121416182426283038402481012141620222628303234362426810121424610122426244262628262681026286236[[#This Row],[Total Acumulado]]-P1093</f>
        <v>-94</v>
      </c>
      <c r="P1093" s="48">
        <f>Tabela174681012142230322681619252731333624210121416182426283038402481012141620222628303234362426810121424610122426244262628262681026286236[[#This Row],[Uso diário]]*5</f>
        <v>94</v>
      </c>
      <c r="Q10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10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3" s="25">
        <v>25</v>
      </c>
    </row>
    <row r="1094" spans="1:20" s="26" customFormat="1" x14ac:dyDescent="0.25">
      <c r="A1094" s="16">
        <v>201014</v>
      </c>
      <c r="B1094" s="30" t="s">
        <v>1234</v>
      </c>
      <c r="C1094" s="20" t="s">
        <v>659</v>
      </c>
      <c r="D1094" s="20" t="s">
        <v>753</v>
      </c>
      <c r="E1094" s="20" t="s">
        <v>3696</v>
      </c>
      <c r="F1094" s="20" t="s">
        <v>3697</v>
      </c>
      <c r="G1094" s="21">
        <v>26.8</v>
      </c>
      <c r="H1094" s="16">
        <v>22</v>
      </c>
      <c r="I1094" s="16"/>
      <c r="J10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589.6</v>
      </c>
      <c r="K1094" s="22"/>
      <c r="L1094" s="23"/>
      <c r="M1094" s="23">
        <f>SUM(Tabela174681012142230322681619252731333624210121416182426283038402481012141620222628303234362426810121424610122426244262628262681026286236[[#This Row],[Saldo no cartão]:[Recarga Pendente]])</f>
        <v>0</v>
      </c>
      <c r="N1094" s="19">
        <f>Tabela174681012142230322681619252731333624210121416182426283038402481012141620222628303234362426810121424610122426244262628262681026286236[[#This Row],[Uso diário]]*2</f>
        <v>53.6</v>
      </c>
      <c r="O1094" s="19">
        <f>Tabela174681012142230322681619252731333624210121416182426283038402481012141620222628303234362426810121424610122426244262628262681026286236[[#This Row],[Total Acumulado]]-P1094</f>
        <v>-134</v>
      </c>
      <c r="P1094" s="48">
        <f>Tabela174681012142230322681619252731333624210121416182426283038402481012141620222628303234362426810121424610122426244262628262681026286236[[#This Row],[Uso diário]]*5</f>
        <v>134</v>
      </c>
      <c r="Q10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589.6</v>
      </c>
      <c r="S10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4" s="25">
        <v>25</v>
      </c>
    </row>
    <row r="1095" spans="1:20" s="26" customFormat="1" x14ac:dyDescent="0.25">
      <c r="A1095" s="16">
        <v>210288</v>
      </c>
      <c r="B1095" s="30" t="s">
        <v>513</v>
      </c>
      <c r="C1095" s="20" t="s">
        <v>659</v>
      </c>
      <c r="D1095" s="20" t="s">
        <v>753</v>
      </c>
      <c r="E1095" s="20" t="s">
        <v>3698</v>
      </c>
      <c r="F1095" s="20" t="s">
        <v>3699</v>
      </c>
      <c r="G1095" s="21">
        <v>15.8</v>
      </c>
      <c r="H1095" s="16">
        <v>11</v>
      </c>
      <c r="I1095" s="16"/>
      <c r="J10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173.8</v>
      </c>
      <c r="K1095" s="22"/>
      <c r="L1095" s="23"/>
      <c r="M1095" s="23">
        <f>SUM(Tabela174681012142230322681619252731333624210121416182426283038402481012141620222628303234362426810121424610122426244262628262681026286236[[#This Row],[Saldo no cartão]:[Recarga Pendente]])</f>
        <v>0</v>
      </c>
      <c r="N1095" s="19">
        <f>Tabela174681012142230322681619252731333624210121416182426283038402481012141620222628303234362426810121424610122426244262628262681026286236[[#This Row],[Uso diário]]*2</f>
        <v>31.6</v>
      </c>
      <c r="O1095" s="19">
        <f>Tabela174681012142230322681619252731333624210121416182426283038402481012141620222628303234362426810121424610122426244262628262681026286236[[#This Row],[Total Acumulado]]-P1095</f>
        <v>-79</v>
      </c>
      <c r="P1095" s="48">
        <f>Tabela174681012142230322681619252731333624210121416182426283038402481012141620222628303234362426810121424610122426244262628262681026286236[[#This Row],[Uso diário]]*5</f>
        <v>79</v>
      </c>
      <c r="Q10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173.8</v>
      </c>
      <c r="S10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5" s="25">
        <v>25</v>
      </c>
    </row>
    <row r="1096" spans="1:20" s="26" customFormat="1" x14ac:dyDescent="0.25">
      <c r="A1096" s="16">
        <v>205924</v>
      </c>
      <c r="B1096" s="30" t="s">
        <v>1235</v>
      </c>
      <c r="C1096" s="20" t="s">
        <v>660</v>
      </c>
      <c r="D1096" s="20" t="s">
        <v>754</v>
      </c>
      <c r="E1096" s="20" t="s">
        <v>3700</v>
      </c>
      <c r="F1096" s="20" t="s">
        <v>3701</v>
      </c>
      <c r="G1096" s="21">
        <v>18.8</v>
      </c>
      <c r="H1096" s="16">
        <v>22</v>
      </c>
      <c r="I1096" s="16">
        <v>2</v>
      </c>
      <c r="J10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1096" s="22"/>
      <c r="L1096" s="23"/>
      <c r="M1096" s="23">
        <f>SUM(Tabela174681012142230322681619252731333624210121416182426283038402481012141620222628303234362426810121424610122426244262628262681026286236[[#This Row],[Saldo no cartão]:[Recarga Pendente]])</f>
        <v>0</v>
      </c>
      <c r="N1096" s="19">
        <f>Tabela174681012142230322681619252731333624210121416182426283038402481012141620222628303234362426810121424610122426244262628262681026286236[[#This Row],[Uso diário]]*2</f>
        <v>37.6</v>
      </c>
      <c r="O1096" s="19">
        <f>Tabela174681012142230322681619252731333624210121416182426283038402481012141620222628303234362426810121424610122426244262628262681026286236[[#This Row],[Total Acumulado]]-P1096</f>
        <v>-94</v>
      </c>
      <c r="P1096" s="48">
        <f>Tabela174681012142230322681619252731333624210121416182426283038402481012141620222628303234362426810121424610122426244262628262681026286236[[#This Row],[Uso diário]]*5</f>
        <v>94</v>
      </c>
      <c r="Q10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10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6" s="25">
        <v>25</v>
      </c>
    </row>
    <row r="1097" spans="1:20" s="26" customFormat="1" x14ac:dyDescent="0.25">
      <c r="A1097" s="16">
        <v>208761</v>
      </c>
      <c r="B1097" s="30" t="s">
        <v>1513</v>
      </c>
      <c r="C1097" s="20" t="s">
        <v>660</v>
      </c>
      <c r="D1097" s="20" t="s">
        <v>754</v>
      </c>
      <c r="E1097" s="20" t="s">
        <v>3702</v>
      </c>
      <c r="F1097" s="20" t="s">
        <v>3703</v>
      </c>
      <c r="G1097" s="21">
        <v>18.8</v>
      </c>
      <c r="H1097" s="16">
        <v>11</v>
      </c>
      <c r="I1097" s="16"/>
      <c r="J10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206.8</v>
      </c>
      <c r="K1097" s="22"/>
      <c r="L1097" s="23"/>
      <c r="M1097" s="23">
        <f>SUM(Tabela174681012142230322681619252731333624210121416182426283038402481012141620222628303234362426810121424610122426244262628262681026286236[[#This Row],[Saldo no cartão]:[Recarga Pendente]])</f>
        <v>0</v>
      </c>
      <c r="N1097" s="19">
        <f>Tabela174681012142230322681619252731333624210121416182426283038402481012141620222628303234362426810121424610122426244262628262681026286236[[#This Row],[Uso diário]]*2</f>
        <v>37.6</v>
      </c>
      <c r="O1097" s="19">
        <f>Tabela174681012142230322681619252731333624210121416182426283038402481012141620222628303234362426810121424610122426244262628262681026286236[[#This Row],[Total Acumulado]]-P1097</f>
        <v>-94</v>
      </c>
      <c r="P1097" s="48">
        <f>Tabela174681012142230322681619252731333624210121416182426283038402481012141620222628303234362426810121424610122426244262628262681026286236[[#This Row],[Uso diário]]*5</f>
        <v>94</v>
      </c>
      <c r="Q10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206.8</v>
      </c>
      <c r="S10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7" s="25">
        <v>25</v>
      </c>
    </row>
    <row r="1098" spans="1:20" s="26" customFormat="1" ht="22.5" x14ac:dyDescent="0.25">
      <c r="A1098" s="16">
        <v>219806</v>
      </c>
      <c r="B1098" s="30" t="s">
        <v>1236</v>
      </c>
      <c r="C1098" s="20" t="s">
        <v>1258</v>
      </c>
      <c r="D1098" s="20" t="s">
        <v>755</v>
      </c>
      <c r="E1098" s="20" t="s">
        <v>3704</v>
      </c>
      <c r="F1098" s="20" t="s">
        <v>3705</v>
      </c>
      <c r="G1098" s="21">
        <v>28.6</v>
      </c>
      <c r="H1098" s="16">
        <v>11</v>
      </c>
      <c r="I1098" s="16">
        <v>1</v>
      </c>
      <c r="J10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286</v>
      </c>
      <c r="K1098" s="22"/>
      <c r="L1098" s="23">
        <v>460.7</v>
      </c>
      <c r="M1098" s="23">
        <f>SUM(Tabela174681012142230322681619252731333624210121416182426283038402481012141620222628303234362426810121424610122426244262628262681026286236[[#This Row],[Saldo no cartão]:[Recarga Pendente]])</f>
        <v>460.7</v>
      </c>
      <c r="N1098" s="19">
        <f>Tabela174681012142230322681619252731333624210121416182426283038402481012141620222628303234362426810121424610122426244262628262681026286236[[#This Row],[Uso diário]]*2</f>
        <v>57.2</v>
      </c>
      <c r="O1098" s="19">
        <f>Tabela174681012142230322681619252731333624210121416182426283038402481012141620222628303234362426810121424610122426244262628262681026286236[[#This Row],[Total Acumulado]]-P1098</f>
        <v>317.7</v>
      </c>
      <c r="P1098" s="48">
        <f>Tabela174681012142230322681619252731333624210121416182426283038402481012141620222628303234362426810121424610122426244262628262681026286236[[#This Row],[Uso diário]]*5</f>
        <v>143</v>
      </c>
      <c r="Q10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317.7</v>
      </c>
      <c r="R10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0</v>
      </c>
      <c r="S1098" s="18" t="str">
        <f>IF(Tabela174681012142230322681619252731333624210121416182426283038402481012141620222628303234362426810121424610122426244262628262681026286236[[#This Row],[Pedido Final]]=0,"NÃO EFETUAR RECARGA","RECARGA NORMAL")</f>
        <v>NÃO EFETUAR RECARGA</v>
      </c>
      <c r="T1098" s="25">
        <v>25</v>
      </c>
    </row>
    <row r="1099" spans="1:20" s="26" customFormat="1" x14ac:dyDescent="0.25">
      <c r="A1099" s="16">
        <v>228946</v>
      </c>
      <c r="B1099" s="30" t="s">
        <v>519</v>
      </c>
      <c r="C1099" s="20" t="s">
        <v>1258</v>
      </c>
      <c r="D1099" s="20" t="s">
        <v>755</v>
      </c>
      <c r="E1099" s="20" t="e">
        <v>#N/A</v>
      </c>
      <c r="F1099" s="20" t="e">
        <v>#N/A</v>
      </c>
      <c r="G1099" s="21">
        <v>18.8</v>
      </c>
      <c r="H1099" s="16">
        <v>22</v>
      </c>
      <c r="I1099" s="16">
        <v>9</v>
      </c>
      <c r="J10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244.4</v>
      </c>
      <c r="K1099" s="22"/>
      <c r="L1099" s="23"/>
      <c r="M1099" s="23">
        <f>SUM(Tabela174681012142230322681619252731333624210121416182426283038402481012141620222628303234362426810121424610122426244262628262681026286236[[#This Row],[Saldo no cartão]:[Recarga Pendente]])</f>
        <v>0</v>
      </c>
      <c r="N1099" s="19">
        <f>Tabela174681012142230322681619252731333624210121416182426283038402481012141620222628303234362426810121424610122426244262628262681026286236[[#This Row],[Uso diário]]*2</f>
        <v>37.6</v>
      </c>
      <c r="O1099" s="19">
        <f>Tabela174681012142230322681619252731333624210121416182426283038402481012141620222628303234362426810121424610122426244262628262681026286236[[#This Row],[Total Acumulado]]-P1099</f>
        <v>-94</v>
      </c>
      <c r="P1099" s="48">
        <f>Tabela174681012142230322681619252731333624210121416182426283038402481012141620222628303234362426810121424610122426244262628262681026286236[[#This Row],[Uso diário]]*5</f>
        <v>94</v>
      </c>
      <c r="Q10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0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244.4</v>
      </c>
      <c r="S10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099" s="25">
        <v>25</v>
      </c>
    </row>
    <row r="1100" spans="1:20" s="26" customFormat="1" x14ac:dyDescent="0.25">
      <c r="A1100" s="16">
        <v>230076</v>
      </c>
      <c r="B1100" s="30" t="s">
        <v>136</v>
      </c>
      <c r="C1100" s="20" t="s">
        <v>621</v>
      </c>
      <c r="D1100" s="20" t="s">
        <v>1128</v>
      </c>
      <c r="E1100" s="20" t="s">
        <v>3706</v>
      </c>
      <c r="F1100" s="20" t="s">
        <v>3707</v>
      </c>
      <c r="G1100" s="21">
        <v>18.8</v>
      </c>
      <c r="H1100" s="16">
        <v>22</v>
      </c>
      <c r="I1100" s="16"/>
      <c r="J11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00" s="22"/>
      <c r="L1100" s="23"/>
      <c r="M1100" s="23">
        <f>SUM(Tabela174681012142230322681619252731333624210121416182426283038402481012141620222628303234362426810121424610122426244262628262681026286236[[#This Row],[Saldo no cartão]:[Recarga Pendente]])</f>
        <v>0</v>
      </c>
      <c r="N1100" s="19">
        <f>Tabela174681012142230322681619252731333624210121416182426283038402481012141620222628303234362426810121424610122426244262628262681026286236[[#This Row],[Uso diário]]*2</f>
        <v>37.6</v>
      </c>
      <c r="O1100" s="19">
        <f>Tabela174681012142230322681619252731333624210121416182426283038402481012141620222628303234362426810121424610122426244262628262681026286236[[#This Row],[Total Acumulado]]-P1100</f>
        <v>-94</v>
      </c>
      <c r="P1100" s="48">
        <f>Tabela174681012142230322681619252731333624210121416182426283038402481012141620222628303234362426810121424610122426244262628262681026286236[[#This Row],[Uso diário]]*5</f>
        <v>94</v>
      </c>
      <c r="Q11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0" s="25">
        <v>25</v>
      </c>
    </row>
    <row r="1101" spans="1:20" s="26" customFormat="1" x14ac:dyDescent="0.25">
      <c r="A1101" s="16">
        <v>218894</v>
      </c>
      <c r="B1101" s="30" t="s">
        <v>515</v>
      </c>
      <c r="C1101" s="20" t="s">
        <v>661</v>
      </c>
      <c r="D1101" s="20" t="s">
        <v>756</v>
      </c>
      <c r="E1101" s="20" t="s">
        <v>3708</v>
      </c>
      <c r="F1101" s="20" t="s">
        <v>3709</v>
      </c>
      <c r="G1101" s="21">
        <v>10</v>
      </c>
      <c r="H1101" s="16">
        <v>22</v>
      </c>
      <c r="I1101" s="16"/>
      <c r="J11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220</v>
      </c>
      <c r="K1101" s="22"/>
      <c r="L1101" s="23"/>
      <c r="M1101" s="23">
        <f>SUM(Tabela174681012142230322681619252731333624210121416182426283038402481012141620222628303234362426810121424610122426244262628262681026286236[[#This Row],[Saldo no cartão]:[Recarga Pendente]])</f>
        <v>0</v>
      </c>
      <c r="N1101" s="19">
        <f>Tabela174681012142230322681619252731333624210121416182426283038402481012141620222628303234362426810121424610122426244262628262681026286236[[#This Row],[Uso diário]]*2</f>
        <v>20</v>
      </c>
      <c r="O1101" s="19">
        <f>Tabela174681012142230322681619252731333624210121416182426283038402481012141620222628303234362426810121424610122426244262628262681026286236[[#This Row],[Total Acumulado]]-P1101</f>
        <v>-50</v>
      </c>
      <c r="P1101" s="48">
        <f>Tabela174681012142230322681619252731333624210121416182426283038402481012141620222628303234362426810121424610122426244262628262681026286236[[#This Row],[Uso diário]]*5</f>
        <v>50</v>
      </c>
      <c r="Q11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220</v>
      </c>
      <c r="S11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1" s="25">
        <v>25</v>
      </c>
    </row>
    <row r="1102" spans="1:20" s="26" customFormat="1" x14ac:dyDescent="0.25">
      <c r="A1102" s="16">
        <v>20420</v>
      </c>
      <c r="B1102" s="30" t="s">
        <v>516</v>
      </c>
      <c r="C1102" s="20" t="s">
        <v>662</v>
      </c>
      <c r="D1102" s="20" t="s">
        <v>757</v>
      </c>
      <c r="E1102" s="20" t="s">
        <v>3710</v>
      </c>
      <c r="F1102" s="20" t="s">
        <v>3711</v>
      </c>
      <c r="G1102" s="21">
        <v>18.8</v>
      </c>
      <c r="H1102" s="16">
        <v>22</v>
      </c>
      <c r="I1102" s="16"/>
      <c r="J11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02" s="22"/>
      <c r="L1102" s="23">
        <v>42.3</v>
      </c>
      <c r="M1102" s="23">
        <f>SUM(Tabela174681012142230322681619252731333624210121416182426283038402481012141620222628303234362426810121424610122426244262628262681026286236[[#This Row],[Saldo no cartão]:[Recarga Pendente]])</f>
        <v>42.3</v>
      </c>
      <c r="N1102" s="19">
        <f>Tabela174681012142230322681619252731333624210121416182426283038402481012141620222628303234362426810121424610122426244262628262681026286236[[#This Row],[Uso diário]]*2</f>
        <v>37.6</v>
      </c>
      <c r="O1102" s="19">
        <f>Tabela174681012142230322681619252731333624210121416182426283038402481012141620222628303234362426810121424610122426244262628262681026286236[[#This Row],[Total Acumulado]]-P1102</f>
        <v>-51.7</v>
      </c>
      <c r="P1102" s="48">
        <f>Tabela174681012142230322681619252731333624210121416182426283038402481012141620222628303234362426810121424610122426244262628262681026286236[[#This Row],[Uso diário]]*5</f>
        <v>94</v>
      </c>
      <c r="Q11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2" s="25">
        <v>25</v>
      </c>
    </row>
    <row r="1103" spans="1:20" s="26" customFormat="1" x14ac:dyDescent="0.25">
      <c r="A1103" s="16">
        <v>224425</v>
      </c>
      <c r="B1103" s="30" t="s">
        <v>1237</v>
      </c>
      <c r="C1103" s="20" t="s">
        <v>1259</v>
      </c>
      <c r="D1103" s="20" t="s">
        <v>1265</v>
      </c>
      <c r="E1103" s="20" t="s">
        <v>3712</v>
      </c>
      <c r="F1103" s="20" t="s">
        <v>3713</v>
      </c>
      <c r="G1103" s="21">
        <v>34.200000000000003</v>
      </c>
      <c r="H1103" s="16">
        <v>22</v>
      </c>
      <c r="I1103" s="16"/>
      <c r="J11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752.40000000000009</v>
      </c>
      <c r="K1103" s="22"/>
      <c r="L1103" s="23"/>
      <c r="M1103" s="23">
        <f>SUM(Tabela174681012142230322681619252731333624210121416182426283038402481012141620222628303234362426810121424610122426244262628262681026286236[[#This Row],[Saldo no cartão]:[Recarga Pendente]])</f>
        <v>0</v>
      </c>
      <c r="N1103" s="19">
        <f>Tabela174681012142230322681619252731333624210121416182426283038402481012141620222628303234362426810121424610122426244262628262681026286236[[#This Row],[Uso diário]]*2</f>
        <v>68.400000000000006</v>
      </c>
      <c r="O1103" s="19">
        <f>Tabela174681012142230322681619252731333624210121416182426283038402481012141620222628303234362426810121424610122426244262628262681026286236[[#This Row],[Total Acumulado]]-P1103</f>
        <v>-171</v>
      </c>
      <c r="P1103" s="48">
        <f>Tabela174681012142230322681619252731333624210121416182426283038402481012141620222628303234362426810121424610122426244262628262681026286236[[#This Row],[Uso diário]]*5</f>
        <v>171</v>
      </c>
      <c r="Q11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752.40000000000009</v>
      </c>
      <c r="S11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3" s="25">
        <v>25</v>
      </c>
    </row>
    <row r="1104" spans="1:20" s="26" customFormat="1" x14ac:dyDescent="0.25">
      <c r="A1104" s="16">
        <v>227054</v>
      </c>
      <c r="B1104" s="30" t="s">
        <v>1238</v>
      </c>
      <c r="C1104" s="20" t="s">
        <v>1259</v>
      </c>
      <c r="D1104" s="20" t="s">
        <v>1266</v>
      </c>
      <c r="E1104" s="20" t="s">
        <v>3714</v>
      </c>
      <c r="F1104" s="20" t="s">
        <v>3715</v>
      </c>
      <c r="G1104" s="21">
        <v>15.2</v>
      </c>
      <c r="H1104" s="16">
        <v>22</v>
      </c>
      <c r="I1104" s="16"/>
      <c r="J11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334.4</v>
      </c>
      <c r="K1104" s="22"/>
      <c r="L1104" s="23"/>
      <c r="M1104" s="23">
        <f>SUM(Tabela174681012142230322681619252731333624210121416182426283038402481012141620222628303234362426810121424610122426244262628262681026286236[[#This Row],[Saldo no cartão]:[Recarga Pendente]])</f>
        <v>0</v>
      </c>
      <c r="N1104" s="19">
        <f>Tabela174681012142230322681619252731333624210121416182426283038402481012141620222628303234362426810121424610122426244262628262681026286236[[#This Row],[Uso diário]]*2</f>
        <v>30.4</v>
      </c>
      <c r="O1104" s="19">
        <f>Tabela174681012142230322681619252731333624210121416182426283038402481012141620222628303234362426810121424610122426244262628262681026286236[[#This Row],[Total Acumulado]]-P1104</f>
        <v>-76</v>
      </c>
      <c r="P1104" s="48">
        <f>Tabela174681012142230322681619252731333624210121416182426283038402481012141620222628303234362426810121424610122426244262628262681026286236[[#This Row],[Uso diário]]*5</f>
        <v>76</v>
      </c>
      <c r="Q11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334.4</v>
      </c>
      <c r="S11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4" s="25">
        <v>25</v>
      </c>
    </row>
    <row r="1105" spans="1:20" s="26" customFormat="1" x14ac:dyDescent="0.25">
      <c r="A1105" s="16">
        <v>5069</v>
      </c>
      <c r="B1105" s="30" t="s">
        <v>862</v>
      </c>
      <c r="C1105" s="20" t="s">
        <v>628</v>
      </c>
      <c r="D1105" s="20" t="s">
        <v>758</v>
      </c>
      <c r="E1105" s="20" t="s">
        <v>3716</v>
      </c>
      <c r="F1105" s="20" t="s">
        <v>3717</v>
      </c>
      <c r="G1105" s="21">
        <v>18.8</v>
      </c>
      <c r="H1105" s="16">
        <v>22</v>
      </c>
      <c r="I1105" s="16"/>
      <c r="J11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05" s="22"/>
      <c r="L1105" s="23"/>
      <c r="M1105" s="23">
        <f>SUM(Tabela174681012142230322681619252731333624210121416182426283038402481012141620222628303234362426810121424610122426244262628262681026286236[[#This Row],[Saldo no cartão]:[Recarga Pendente]])</f>
        <v>0</v>
      </c>
      <c r="N1105" s="19">
        <f>Tabela174681012142230322681619252731333624210121416182426283038402481012141620222628303234362426810121424610122426244262628262681026286236[[#This Row],[Uso diário]]*2</f>
        <v>37.6</v>
      </c>
      <c r="O1105" s="19">
        <f>Tabela174681012142230322681619252731333624210121416182426283038402481012141620222628303234362426810121424610122426244262628262681026286236[[#This Row],[Total Acumulado]]-P1105</f>
        <v>-94</v>
      </c>
      <c r="P1105" s="48">
        <f>Tabela174681012142230322681619252731333624210121416182426283038402481012141620222628303234362426810121424610122426244262628262681026286236[[#This Row],[Uso diário]]*5</f>
        <v>94</v>
      </c>
      <c r="Q11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5" s="25">
        <v>25</v>
      </c>
    </row>
    <row r="1106" spans="1:20" s="26" customFormat="1" x14ac:dyDescent="0.25">
      <c r="A1106" s="16">
        <v>219140</v>
      </c>
      <c r="B1106" s="30" t="s">
        <v>517</v>
      </c>
      <c r="C1106" s="20" t="s">
        <v>663</v>
      </c>
      <c r="D1106" s="20" t="s">
        <v>759</v>
      </c>
      <c r="E1106" s="20" t="s">
        <v>3718</v>
      </c>
      <c r="F1106" s="20" t="s">
        <v>3719</v>
      </c>
      <c r="G1106" s="21">
        <v>18.8</v>
      </c>
      <c r="H1106" s="16">
        <v>22</v>
      </c>
      <c r="I1106" s="16"/>
      <c r="J11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06" s="22"/>
      <c r="L1106" s="23"/>
      <c r="M1106" s="23">
        <f>SUM(Tabela174681012142230322681619252731333624210121416182426283038402481012141620222628303234362426810121424610122426244262628262681026286236[[#This Row],[Saldo no cartão]:[Recarga Pendente]])</f>
        <v>0</v>
      </c>
      <c r="N1106" s="19">
        <f>Tabela174681012142230322681619252731333624210121416182426283038402481012141620222628303234362426810121424610122426244262628262681026286236[[#This Row],[Uso diário]]*2</f>
        <v>37.6</v>
      </c>
      <c r="O1106" s="19">
        <f>Tabela174681012142230322681619252731333624210121416182426283038402481012141620222628303234362426810121424610122426244262628262681026286236[[#This Row],[Total Acumulado]]-P1106</f>
        <v>-94</v>
      </c>
      <c r="P1106" s="48">
        <f>Tabela174681012142230322681619252731333624210121416182426283038402481012141620222628303234362426810121424610122426244262628262681026286236[[#This Row],[Uso diário]]*5</f>
        <v>94</v>
      </c>
      <c r="Q11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6" s="25">
        <v>25</v>
      </c>
    </row>
    <row r="1107" spans="1:20" s="26" customFormat="1" x14ac:dyDescent="0.25">
      <c r="A1107" s="16">
        <v>218851</v>
      </c>
      <c r="B1107" s="30" t="s">
        <v>518</v>
      </c>
      <c r="C1107" s="20" t="s">
        <v>664</v>
      </c>
      <c r="D1107" s="20" t="s">
        <v>760</v>
      </c>
      <c r="E1107" s="20" t="s">
        <v>3720</v>
      </c>
      <c r="F1107" s="20" t="s">
        <v>3721</v>
      </c>
      <c r="G1107" s="21">
        <v>25.3</v>
      </c>
      <c r="H1107" s="16">
        <v>22</v>
      </c>
      <c r="I1107" s="16"/>
      <c r="J11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556.6</v>
      </c>
      <c r="K1107" s="22"/>
      <c r="L1107" s="23"/>
      <c r="M1107" s="23">
        <f>SUM(Tabela174681012142230322681619252731333624210121416182426283038402481012141620222628303234362426810121424610122426244262628262681026286236[[#This Row],[Saldo no cartão]:[Recarga Pendente]])</f>
        <v>0</v>
      </c>
      <c r="N1107" s="19">
        <f>Tabela174681012142230322681619252731333624210121416182426283038402481012141620222628303234362426810121424610122426244262628262681026286236[[#This Row],[Uso diário]]*2</f>
        <v>50.6</v>
      </c>
      <c r="O1107" s="19">
        <f>Tabela174681012142230322681619252731333624210121416182426283038402481012141620222628303234362426810121424610122426244262628262681026286236[[#This Row],[Total Acumulado]]-P1107</f>
        <v>-126.5</v>
      </c>
      <c r="P1107" s="48">
        <f>Tabela174681012142230322681619252731333624210121416182426283038402481012141620222628303234362426810121424610122426244262628262681026286236[[#This Row],[Uso diário]]*5</f>
        <v>126.5</v>
      </c>
      <c r="Q11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556.6</v>
      </c>
      <c r="S11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7" s="25">
        <v>25</v>
      </c>
    </row>
    <row r="1108" spans="1:20" s="26" customFormat="1" x14ac:dyDescent="0.25">
      <c r="A1108" s="16">
        <v>219070</v>
      </c>
      <c r="B1108" s="30" t="s">
        <v>1239</v>
      </c>
      <c r="C1108" s="20" t="s">
        <v>664</v>
      </c>
      <c r="D1108" s="20" t="s">
        <v>1267</v>
      </c>
      <c r="E1108" s="20" t="s">
        <v>3722</v>
      </c>
      <c r="F1108" s="20" t="s">
        <v>3723</v>
      </c>
      <c r="G1108" s="21">
        <v>18.8</v>
      </c>
      <c r="H1108" s="16">
        <v>22</v>
      </c>
      <c r="I1108" s="16"/>
      <c r="J11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08" s="22"/>
      <c r="L1108" s="23"/>
      <c r="M1108" s="23">
        <f>SUM(Tabela174681012142230322681619252731333624210121416182426283038402481012141620222628303234362426810121424610122426244262628262681026286236[[#This Row],[Saldo no cartão]:[Recarga Pendente]])</f>
        <v>0</v>
      </c>
      <c r="N1108" s="19">
        <f>Tabela174681012142230322681619252731333624210121416182426283038402481012141620222628303234362426810121424610122426244262628262681026286236[[#This Row],[Uso diário]]*2</f>
        <v>37.6</v>
      </c>
      <c r="O1108" s="19">
        <f>Tabela174681012142230322681619252731333624210121416182426283038402481012141620222628303234362426810121424610122426244262628262681026286236[[#This Row],[Total Acumulado]]-P1108</f>
        <v>-94</v>
      </c>
      <c r="P1108" s="48">
        <f>Tabela174681012142230322681619252731333624210121416182426283038402481012141620222628303234362426810121424610122426244262628262681026286236[[#This Row],[Uso diário]]*5</f>
        <v>94</v>
      </c>
      <c r="Q11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8" s="25">
        <v>25</v>
      </c>
    </row>
    <row r="1109" spans="1:20" s="26" customFormat="1" x14ac:dyDescent="0.25">
      <c r="A1109" s="16">
        <v>211933</v>
      </c>
      <c r="B1109" s="30" t="s">
        <v>799</v>
      </c>
      <c r="C1109" s="20" t="s">
        <v>665</v>
      </c>
      <c r="D1109" s="20" t="s">
        <v>761</v>
      </c>
      <c r="E1109" s="20" t="s">
        <v>3724</v>
      </c>
      <c r="F1109" s="20" t="s">
        <v>3725</v>
      </c>
      <c r="G1109" s="21">
        <v>18.8</v>
      </c>
      <c r="H1109" s="16">
        <v>22</v>
      </c>
      <c r="I1109" s="16"/>
      <c r="J11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09" s="22"/>
      <c r="L1109" s="23"/>
      <c r="M1109" s="23">
        <f>SUM(Tabela174681012142230322681619252731333624210121416182426283038402481012141620222628303234362426810121424610122426244262628262681026286236[[#This Row],[Saldo no cartão]:[Recarga Pendente]])</f>
        <v>0</v>
      </c>
      <c r="N1109" s="19">
        <f>Tabela174681012142230322681619252731333624210121416182426283038402481012141620222628303234362426810121424610122426244262628262681026286236[[#This Row],[Uso diário]]*2</f>
        <v>37.6</v>
      </c>
      <c r="O1109" s="19">
        <f>Tabela174681012142230322681619252731333624210121416182426283038402481012141620222628303234362426810121424610122426244262628262681026286236[[#This Row],[Total Acumulado]]-P1109</f>
        <v>-94</v>
      </c>
      <c r="P1109" s="48">
        <f>Tabela174681012142230322681619252731333624210121416182426283038402481012141620222628303234362426810121424610122426244262628262681026286236[[#This Row],[Uso diário]]*5</f>
        <v>94</v>
      </c>
      <c r="Q11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09" s="25">
        <v>25</v>
      </c>
    </row>
    <row r="1110" spans="1:20" s="26" customFormat="1" x14ac:dyDescent="0.25">
      <c r="A1110" s="16">
        <v>222836</v>
      </c>
      <c r="B1110" s="30" t="s">
        <v>1514</v>
      </c>
      <c r="C1110" s="20" t="s">
        <v>634</v>
      </c>
      <c r="D1110" s="20" t="s">
        <v>688</v>
      </c>
      <c r="E1110" s="20" t="s">
        <v>3726</v>
      </c>
      <c r="F1110" s="20" t="s">
        <v>3727</v>
      </c>
      <c r="G1110" s="21">
        <v>13.4</v>
      </c>
      <c r="H1110" s="16">
        <v>22</v>
      </c>
      <c r="I1110" s="16">
        <v>1</v>
      </c>
      <c r="J11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1110" s="22"/>
      <c r="L1110" s="23"/>
      <c r="M1110" s="23">
        <f>SUM(Tabela174681012142230322681619252731333624210121416182426283038402481012141620222628303234362426810121424610122426244262628262681026286236[[#This Row],[Saldo no cartão]:[Recarga Pendente]])</f>
        <v>0</v>
      </c>
      <c r="N1110" s="19">
        <f>Tabela174681012142230322681619252731333624210121416182426283038402481012141620222628303234362426810121424610122426244262628262681026286236[[#This Row],[Uso diário]]*2</f>
        <v>26.8</v>
      </c>
      <c r="O1110" s="19">
        <f>Tabela174681012142230322681619252731333624210121416182426283038402481012141620222628303234362426810121424610122426244262628262681026286236[[#This Row],[Total Acumulado]]-P1110</f>
        <v>-67</v>
      </c>
      <c r="P1110" s="48">
        <f>Tabela174681012142230322681619252731333624210121416182426283038402481012141620222628303234362426810121424610122426244262628262681026286236[[#This Row],[Uso diário]]*5</f>
        <v>67</v>
      </c>
      <c r="Q11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11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0" s="25">
        <v>25</v>
      </c>
    </row>
    <row r="1111" spans="1:20" s="26" customFormat="1" x14ac:dyDescent="0.25">
      <c r="A1111" s="16">
        <v>231315</v>
      </c>
      <c r="B1111" s="30" t="s">
        <v>782</v>
      </c>
      <c r="C1111" s="20" t="s">
        <v>1388</v>
      </c>
      <c r="D1111" s="20" t="s">
        <v>1390</v>
      </c>
      <c r="E1111" s="20" t="s">
        <v>3728</v>
      </c>
      <c r="F1111" s="20" t="s">
        <v>3729</v>
      </c>
      <c r="G1111" s="21">
        <v>18.8</v>
      </c>
      <c r="H1111" s="16">
        <v>22</v>
      </c>
      <c r="I1111" s="16"/>
      <c r="J11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11" s="22"/>
      <c r="L1111" s="23"/>
      <c r="M1111" s="23">
        <f>SUM(Tabela174681012142230322681619252731333624210121416182426283038402481012141620222628303234362426810121424610122426244262628262681026286236[[#This Row],[Saldo no cartão]:[Recarga Pendente]])</f>
        <v>0</v>
      </c>
      <c r="N1111" s="19">
        <f>Tabela174681012142230322681619252731333624210121416182426283038402481012141620222628303234362426810121424610122426244262628262681026286236[[#This Row],[Uso diário]]*2</f>
        <v>37.6</v>
      </c>
      <c r="O1111" s="19">
        <f>Tabela174681012142230322681619252731333624210121416182426283038402481012141620222628303234362426810121424610122426244262628262681026286236[[#This Row],[Total Acumulado]]-P1111</f>
        <v>-94</v>
      </c>
      <c r="P1111" s="48">
        <f>Tabela174681012142230322681619252731333624210121416182426283038402481012141620222628303234362426810121424610122426244262628262681026286236[[#This Row],[Uso diário]]*5</f>
        <v>94</v>
      </c>
      <c r="Q11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1" s="25">
        <v>25</v>
      </c>
    </row>
    <row r="1112" spans="1:20" s="26" customFormat="1" x14ac:dyDescent="0.25">
      <c r="A1112" s="16">
        <v>218069</v>
      </c>
      <c r="B1112" s="30" t="s">
        <v>921</v>
      </c>
      <c r="C1112" s="20" t="s">
        <v>635</v>
      </c>
      <c r="D1112" s="20" t="s">
        <v>780</v>
      </c>
      <c r="E1112" s="20" t="s">
        <v>3730</v>
      </c>
      <c r="F1112" s="20" t="s">
        <v>3731</v>
      </c>
      <c r="G1112" s="21">
        <v>20.8</v>
      </c>
      <c r="H1112" s="16">
        <v>22</v>
      </c>
      <c r="I1112" s="16">
        <v>1</v>
      </c>
      <c r="J11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436.8</v>
      </c>
      <c r="K1112" s="22"/>
      <c r="L1112" s="23"/>
      <c r="M1112" s="23">
        <f>SUM(Tabela174681012142230322681619252731333624210121416182426283038402481012141620222628303234362426810121424610122426244262628262681026286236[[#This Row],[Saldo no cartão]:[Recarga Pendente]])</f>
        <v>0</v>
      </c>
      <c r="N1112" s="19">
        <f>Tabela174681012142230322681619252731333624210121416182426283038402481012141620222628303234362426810121424610122426244262628262681026286236[[#This Row],[Uso diário]]*2</f>
        <v>41.6</v>
      </c>
      <c r="O1112" s="19">
        <f>Tabela174681012142230322681619252731333624210121416182426283038402481012141620222628303234362426810121424610122426244262628262681026286236[[#This Row],[Total Acumulado]]-P1112</f>
        <v>-104</v>
      </c>
      <c r="P1112" s="48">
        <f>Tabela174681012142230322681619252731333624210121416182426283038402481012141620222628303234362426810121424610122426244262628262681026286236[[#This Row],[Uso diário]]*5</f>
        <v>104</v>
      </c>
      <c r="Q11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436.8</v>
      </c>
      <c r="S11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2" s="25">
        <v>25</v>
      </c>
    </row>
    <row r="1113" spans="1:20" s="26" customFormat="1" x14ac:dyDescent="0.25">
      <c r="A1113" s="16">
        <v>232167</v>
      </c>
      <c r="B1113" s="30" t="s">
        <v>890</v>
      </c>
      <c r="C1113" s="20" t="s">
        <v>882</v>
      </c>
      <c r="D1113" s="20" t="s">
        <v>892</v>
      </c>
      <c r="E1113" s="20" t="s">
        <v>3732</v>
      </c>
      <c r="F1113" s="20" t="s">
        <v>3733</v>
      </c>
      <c r="G1113" s="21">
        <v>36.5</v>
      </c>
      <c r="H1113" s="16">
        <v>22</v>
      </c>
      <c r="I1113" s="16"/>
      <c r="J11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803</v>
      </c>
      <c r="K1113" s="22"/>
      <c r="L1113" s="23"/>
      <c r="M1113" s="23">
        <f>SUM(Tabela174681012142230322681619252731333624210121416182426283038402481012141620222628303234362426810121424610122426244262628262681026286236[[#This Row],[Saldo no cartão]:[Recarga Pendente]])</f>
        <v>0</v>
      </c>
      <c r="N1113" s="19">
        <f>Tabela174681012142230322681619252731333624210121416182426283038402481012141620222628303234362426810121424610122426244262628262681026286236[[#This Row],[Uso diário]]*2</f>
        <v>73</v>
      </c>
      <c r="O1113" s="19">
        <f>Tabela174681012142230322681619252731333624210121416182426283038402481012141620222628303234362426810121424610122426244262628262681026286236[[#This Row],[Total Acumulado]]-P1113</f>
        <v>-182.5</v>
      </c>
      <c r="P1113" s="48">
        <f>Tabela174681012142230322681619252731333624210121416182426283038402481012141620222628303234362426810121424610122426244262628262681026286236[[#This Row],[Uso diário]]*5</f>
        <v>182.5</v>
      </c>
      <c r="Q11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803</v>
      </c>
      <c r="S11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3" s="25">
        <v>25</v>
      </c>
    </row>
    <row r="1114" spans="1:20" s="26" customFormat="1" x14ac:dyDescent="0.25">
      <c r="A1114" s="16">
        <v>219762</v>
      </c>
      <c r="B1114" s="30" t="s">
        <v>514</v>
      </c>
      <c r="C1114" s="20" t="s">
        <v>656</v>
      </c>
      <c r="D1114" s="20" t="s">
        <v>947</v>
      </c>
      <c r="E1114" s="20" t="s">
        <v>3734</v>
      </c>
      <c r="F1114" s="20" t="s">
        <v>3735</v>
      </c>
      <c r="G1114" s="21">
        <v>41.7</v>
      </c>
      <c r="H1114" s="16">
        <v>22</v>
      </c>
      <c r="I1114" s="16"/>
      <c r="J11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917.40000000000009</v>
      </c>
      <c r="K1114" s="22"/>
      <c r="L1114" s="23"/>
      <c r="M1114" s="23">
        <f>SUM(Tabela174681012142230322681619252731333624210121416182426283038402481012141620222628303234362426810121424610122426244262628262681026286236[[#This Row],[Saldo no cartão]:[Recarga Pendente]])</f>
        <v>0</v>
      </c>
      <c r="N1114" s="19">
        <f>Tabela174681012142230322681619252731333624210121416182426283038402481012141620222628303234362426810121424610122426244262628262681026286236[[#This Row],[Uso diário]]*2</f>
        <v>83.4</v>
      </c>
      <c r="O1114" s="19">
        <f>Tabela174681012142230322681619252731333624210121416182426283038402481012141620222628303234362426810121424610122426244262628262681026286236[[#This Row],[Total Acumulado]]-P1114</f>
        <v>-208.5</v>
      </c>
      <c r="P1114" s="48">
        <f>Tabela174681012142230322681619252731333624210121416182426283038402481012141620222628303234362426810121424610122426244262628262681026286236[[#This Row],[Uso diário]]*5</f>
        <v>208.5</v>
      </c>
      <c r="Q11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917.40000000000009</v>
      </c>
      <c r="S11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4" s="25">
        <v>25</v>
      </c>
    </row>
    <row r="1115" spans="1:20" s="26" customFormat="1" x14ac:dyDescent="0.25">
      <c r="A1115" s="16">
        <v>222124</v>
      </c>
      <c r="B1115" s="30" t="s">
        <v>1515</v>
      </c>
      <c r="C1115" s="20" t="s">
        <v>656</v>
      </c>
      <c r="D1115" s="20" t="s">
        <v>1545</v>
      </c>
      <c r="E1115" s="20" t="s">
        <v>3736</v>
      </c>
      <c r="F1115" s="20" t="s">
        <v>3737</v>
      </c>
      <c r="G1115" s="21">
        <v>18.8</v>
      </c>
      <c r="H1115" s="16">
        <v>22</v>
      </c>
      <c r="I1115" s="16"/>
      <c r="J11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15" s="22"/>
      <c r="L1115" s="23"/>
      <c r="M1115" s="23">
        <f>SUM(Tabela174681012142230322681619252731333624210121416182426283038402481012141620222628303234362426810121424610122426244262628262681026286236[[#This Row],[Saldo no cartão]:[Recarga Pendente]])</f>
        <v>0</v>
      </c>
      <c r="N1115" s="19">
        <f>Tabela174681012142230322681619252731333624210121416182426283038402481012141620222628303234362426810121424610122426244262628262681026286236[[#This Row],[Uso diário]]*2</f>
        <v>37.6</v>
      </c>
      <c r="O1115" s="19">
        <f>Tabela174681012142230322681619252731333624210121416182426283038402481012141620222628303234362426810121424610122426244262628262681026286236[[#This Row],[Total Acumulado]]-P1115</f>
        <v>-94</v>
      </c>
      <c r="P1115" s="48">
        <f>Tabela174681012142230322681619252731333624210121416182426283038402481012141620222628303234362426810121424610122426244262628262681026286236[[#This Row],[Uso diário]]*5</f>
        <v>94</v>
      </c>
      <c r="Q11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5" s="25">
        <v>25</v>
      </c>
    </row>
    <row r="1116" spans="1:20" s="26" customFormat="1" x14ac:dyDescent="0.25">
      <c r="A1116" s="16">
        <v>231366</v>
      </c>
      <c r="B1116" s="30" t="s">
        <v>81</v>
      </c>
      <c r="C1116" s="20" t="s">
        <v>656</v>
      </c>
      <c r="D1116" s="20" t="s">
        <v>762</v>
      </c>
      <c r="E1116" s="20" t="s">
        <v>3738</v>
      </c>
      <c r="F1116" s="20" t="s">
        <v>3739</v>
      </c>
      <c r="G1116" s="21">
        <v>18.8</v>
      </c>
      <c r="H1116" s="16">
        <v>22</v>
      </c>
      <c r="I1116" s="16">
        <v>2</v>
      </c>
      <c r="J11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376</v>
      </c>
      <c r="K1116" s="22"/>
      <c r="L1116" s="23"/>
      <c r="M1116" s="23">
        <f>SUM(Tabela174681012142230322681619252731333624210121416182426283038402481012141620222628303234362426810121424610122426244262628262681026286236[[#This Row],[Saldo no cartão]:[Recarga Pendente]])</f>
        <v>0</v>
      </c>
      <c r="N1116" s="19">
        <f>Tabela174681012142230322681619252731333624210121416182426283038402481012141620222628303234362426810121424610122426244262628262681026286236[[#This Row],[Uso diário]]*2</f>
        <v>37.6</v>
      </c>
      <c r="O1116" s="19">
        <f>Tabela174681012142230322681619252731333624210121416182426283038402481012141620222628303234362426810121424610122426244262628262681026286236[[#This Row],[Total Acumulado]]-P1116</f>
        <v>-94</v>
      </c>
      <c r="P1116" s="48">
        <f>Tabela174681012142230322681619252731333624210121416182426283038402481012141620222628303234362426810121424610122426244262628262681026286236[[#This Row],[Uso diário]]*5</f>
        <v>94</v>
      </c>
      <c r="Q11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376</v>
      </c>
      <c r="S11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6" s="25">
        <v>25</v>
      </c>
    </row>
    <row r="1117" spans="1:20" s="26" customFormat="1" x14ac:dyDescent="0.25">
      <c r="A1117" s="16">
        <v>232641</v>
      </c>
      <c r="B1117" s="30" t="s">
        <v>948</v>
      </c>
      <c r="C1117" s="20" t="s">
        <v>656</v>
      </c>
      <c r="D1117" s="20" t="s">
        <v>762</v>
      </c>
      <c r="E1117" s="20" t="s">
        <v>3740</v>
      </c>
      <c r="F1117" s="20" t="s">
        <v>3741</v>
      </c>
      <c r="G1117" s="21">
        <v>18.8</v>
      </c>
      <c r="H1117" s="16">
        <v>22</v>
      </c>
      <c r="I1117" s="16"/>
      <c r="J11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117" s="22"/>
      <c r="L1117" s="23"/>
      <c r="M1117" s="23">
        <f>SUM(Tabela174681012142230322681619252731333624210121416182426283038402481012141620222628303234362426810121424610122426244262628262681026286236[[#This Row],[Saldo no cartão]:[Recarga Pendente]])</f>
        <v>0</v>
      </c>
      <c r="N1117" s="19">
        <f>Tabela174681012142230322681619252731333624210121416182426283038402481012141620222628303234362426810121424610122426244262628262681026286236[[#This Row],[Uso diário]]*2</f>
        <v>37.6</v>
      </c>
      <c r="O1117" s="19">
        <f>Tabela174681012142230322681619252731333624210121416182426283038402481012141620222628303234362426810121424610122426244262628262681026286236[[#This Row],[Total Acumulado]]-P1117</f>
        <v>-94</v>
      </c>
      <c r="P1117" s="48">
        <f>Tabela174681012142230322681619252731333624210121416182426283038402481012141620222628303234362426810121424610122426244262628262681026286236[[#This Row],[Uso diário]]*5</f>
        <v>94</v>
      </c>
      <c r="Q11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1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7" s="25">
        <v>25</v>
      </c>
    </row>
    <row r="1118" spans="1:20" s="26" customFormat="1" x14ac:dyDescent="0.25">
      <c r="A1118" s="16">
        <v>225826</v>
      </c>
      <c r="B1118" s="30" t="s">
        <v>520</v>
      </c>
      <c r="C1118" s="20" t="s">
        <v>640</v>
      </c>
      <c r="D1118" s="20" t="s">
        <v>702</v>
      </c>
      <c r="E1118" s="20" t="s">
        <v>3742</v>
      </c>
      <c r="F1118" s="20" t="s">
        <v>3743</v>
      </c>
      <c r="G1118" s="21">
        <v>18.8</v>
      </c>
      <c r="H1118" s="16">
        <v>22</v>
      </c>
      <c r="I1118" s="16">
        <v>1</v>
      </c>
      <c r="J11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118" s="22"/>
      <c r="L1118" s="23"/>
      <c r="M1118" s="23">
        <f>SUM(Tabela174681012142230322681619252731333624210121416182426283038402481012141620222628303234362426810121424610122426244262628262681026286236[[#This Row],[Saldo no cartão]:[Recarga Pendente]])</f>
        <v>0</v>
      </c>
      <c r="N1118" s="19">
        <f>Tabela174681012142230322681619252731333624210121416182426283038402481012141620222628303234362426810121424610122426244262628262681026286236[[#This Row],[Uso diário]]*2</f>
        <v>37.6</v>
      </c>
      <c r="O1118" s="19">
        <f>Tabela174681012142230322681619252731333624210121416182426283038402481012141620222628303234362426810121424610122426244262628262681026286236[[#This Row],[Total Acumulado]]-P1118</f>
        <v>-94</v>
      </c>
      <c r="P1118" s="48">
        <f>Tabela174681012142230322681619252731333624210121416182426283038402481012141620222628303234362426810121424610122426244262628262681026286236[[#This Row],[Uso diário]]*5</f>
        <v>94</v>
      </c>
      <c r="Q11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1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8" s="25">
        <v>25</v>
      </c>
    </row>
    <row r="1119" spans="1:20" s="26" customFormat="1" x14ac:dyDescent="0.25">
      <c r="A1119" s="16">
        <v>218861</v>
      </c>
      <c r="B1119" s="30" t="s">
        <v>521</v>
      </c>
      <c r="C1119" s="20" t="s">
        <v>647</v>
      </c>
      <c r="D1119" s="20" t="s">
        <v>723</v>
      </c>
      <c r="E1119" s="20" t="s">
        <v>3744</v>
      </c>
      <c r="F1119" s="20" t="s">
        <v>3745</v>
      </c>
      <c r="G1119" s="21">
        <v>18.8</v>
      </c>
      <c r="H1119" s="16">
        <v>26</v>
      </c>
      <c r="I1119" s="16"/>
      <c r="J11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119" s="22"/>
      <c r="L1119" s="23"/>
      <c r="M1119" s="23">
        <f>SUM(Tabela174681012142230322681619252731333624210121416182426283038402481012141620222628303234362426810121424610122426244262628262681026286236[[#This Row],[Saldo no cartão]:[Recarga Pendente]])</f>
        <v>0</v>
      </c>
      <c r="N1119" s="19">
        <f>Tabela174681012142230322681619252731333624210121416182426283038402481012141620222628303234362426810121424610122426244262628262681026286236[[#This Row],[Uso diário]]*2</f>
        <v>37.6</v>
      </c>
      <c r="O1119" s="19">
        <f>Tabela174681012142230322681619252731333624210121416182426283038402481012141620222628303234362426810121424610122426244262628262681026286236[[#This Row],[Total Acumulado]]-P1119</f>
        <v>-94</v>
      </c>
      <c r="P1119" s="48">
        <f>Tabela174681012142230322681619252731333624210121416182426283038402481012141620222628303234362426810121424610122426244262628262681026286236[[#This Row],[Uso diário]]*5</f>
        <v>94</v>
      </c>
      <c r="Q11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1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19" s="25">
        <v>26</v>
      </c>
    </row>
    <row r="1120" spans="1:20" s="26" customFormat="1" x14ac:dyDescent="0.25">
      <c r="A1120" s="16">
        <v>222089</v>
      </c>
      <c r="B1120" s="30" t="s">
        <v>522</v>
      </c>
      <c r="C1120" s="20" t="s">
        <v>647</v>
      </c>
      <c r="D1120" s="20" t="s">
        <v>720</v>
      </c>
      <c r="E1120" s="20" t="s">
        <v>3746</v>
      </c>
      <c r="F1120" s="20" t="s">
        <v>3747</v>
      </c>
      <c r="G1120" s="21">
        <v>13.7</v>
      </c>
      <c r="H1120" s="16">
        <v>26</v>
      </c>
      <c r="I1120" s="16"/>
      <c r="J11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356.2</v>
      </c>
      <c r="K1120" s="22"/>
      <c r="L1120" s="23"/>
      <c r="M1120" s="23">
        <f>SUM(Tabela174681012142230322681619252731333624210121416182426283038402481012141620222628303234362426810121424610122426244262628262681026286236[[#This Row],[Saldo no cartão]:[Recarga Pendente]])</f>
        <v>0</v>
      </c>
      <c r="N1120" s="19">
        <f>Tabela174681012142230322681619252731333624210121416182426283038402481012141620222628303234362426810121424610122426244262628262681026286236[[#This Row],[Uso diário]]*2</f>
        <v>27.4</v>
      </c>
      <c r="O1120" s="19">
        <f>Tabela174681012142230322681619252731333624210121416182426283038402481012141620222628303234362426810121424610122426244262628262681026286236[[#This Row],[Total Acumulado]]-P1120</f>
        <v>-68.5</v>
      </c>
      <c r="P1120" s="48">
        <f>Tabela174681012142230322681619252731333624210121416182426283038402481012141620222628303234362426810121424610122426244262628262681026286236[[#This Row],[Uso diário]]*5</f>
        <v>68.5</v>
      </c>
      <c r="Q11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356.2</v>
      </c>
      <c r="S11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0" s="25">
        <v>26</v>
      </c>
    </row>
    <row r="1121" spans="1:20" s="26" customFormat="1" x14ac:dyDescent="0.25">
      <c r="A1121" s="16">
        <v>222739</v>
      </c>
      <c r="B1121" s="30" t="s">
        <v>523</v>
      </c>
      <c r="C1121" s="20" t="s">
        <v>647</v>
      </c>
      <c r="D1121" s="20" t="s">
        <v>720</v>
      </c>
      <c r="E1121" s="20" t="s">
        <v>3748</v>
      </c>
      <c r="F1121" s="20" t="s">
        <v>3749</v>
      </c>
      <c r="G1121" s="21">
        <v>13.4</v>
      </c>
      <c r="H1121" s="16">
        <v>26</v>
      </c>
      <c r="I1121" s="16">
        <v>1</v>
      </c>
      <c r="J11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121" s="22"/>
      <c r="L1121" s="23"/>
      <c r="M1121" s="23">
        <f>SUM(Tabela174681012142230322681619252731333624210121416182426283038402481012141620222628303234362426810121424610122426244262628262681026286236[[#This Row],[Saldo no cartão]:[Recarga Pendente]])</f>
        <v>0</v>
      </c>
      <c r="N1121" s="19">
        <f>Tabela174681012142230322681619252731333624210121416182426283038402481012141620222628303234362426810121424610122426244262628262681026286236[[#This Row],[Uso diário]]*2</f>
        <v>26.8</v>
      </c>
      <c r="O1121" s="19">
        <f>Tabela174681012142230322681619252731333624210121416182426283038402481012141620222628303234362426810121424610122426244262628262681026286236[[#This Row],[Total Acumulado]]-P1121</f>
        <v>-67</v>
      </c>
      <c r="P1121" s="48">
        <f>Tabela174681012142230322681619252731333624210121416182426283038402481012141620222628303234362426810121424610122426244262628262681026286236[[#This Row],[Uso diário]]*5</f>
        <v>67</v>
      </c>
      <c r="Q11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1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1" s="25">
        <v>26</v>
      </c>
    </row>
    <row r="1122" spans="1:20" s="26" customFormat="1" x14ac:dyDescent="0.25">
      <c r="A1122" s="16">
        <v>228082</v>
      </c>
      <c r="B1122" s="30" t="s">
        <v>1240</v>
      </c>
      <c r="C1122" s="20" t="s">
        <v>647</v>
      </c>
      <c r="D1122" s="20" t="s">
        <v>720</v>
      </c>
      <c r="E1122" s="20" t="s">
        <v>3750</v>
      </c>
      <c r="F1122" s="20" t="s">
        <v>3751</v>
      </c>
      <c r="G1122" s="21">
        <v>18.8</v>
      </c>
      <c r="H1122" s="16">
        <v>26</v>
      </c>
      <c r="I1122" s="16"/>
      <c r="J11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122" s="22"/>
      <c r="L1122" s="23"/>
      <c r="M1122" s="23">
        <f>SUM(Tabela174681012142230322681619252731333624210121416182426283038402481012141620222628303234362426810121424610122426244262628262681026286236[[#This Row],[Saldo no cartão]:[Recarga Pendente]])</f>
        <v>0</v>
      </c>
      <c r="N1122" s="19">
        <f>Tabela174681012142230322681619252731333624210121416182426283038402481012141620222628303234362426810121424610122426244262628262681026286236[[#This Row],[Uso diário]]*2</f>
        <v>37.6</v>
      </c>
      <c r="O1122" s="19">
        <f>Tabela174681012142230322681619252731333624210121416182426283038402481012141620222628303234362426810121424610122426244262628262681026286236[[#This Row],[Total Acumulado]]-P1122</f>
        <v>-94</v>
      </c>
      <c r="P1122" s="48">
        <f>Tabela174681012142230322681619252731333624210121416182426283038402481012141620222628303234362426810121424610122426244262628262681026286236[[#This Row],[Uso diário]]*5</f>
        <v>94</v>
      </c>
      <c r="Q11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1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2" s="25">
        <v>26</v>
      </c>
    </row>
    <row r="1123" spans="1:20" s="26" customFormat="1" x14ac:dyDescent="0.25">
      <c r="A1123" s="16">
        <v>230686</v>
      </c>
      <c r="B1123" s="30" t="s">
        <v>524</v>
      </c>
      <c r="C1123" s="20" t="s">
        <v>647</v>
      </c>
      <c r="D1123" s="20" t="s">
        <v>721</v>
      </c>
      <c r="E1123" s="20" t="s">
        <v>3752</v>
      </c>
      <c r="F1123" s="20" t="s">
        <v>3753</v>
      </c>
      <c r="G1123" s="21">
        <v>13.4</v>
      </c>
      <c r="H1123" s="16">
        <v>26</v>
      </c>
      <c r="I1123" s="16"/>
      <c r="J11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23" s="22"/>
      <c r="L1123" s="23"/>
      <c r="M1123" s="23">
        <f>SUM(Tabela174681012142230322681619252731333624210121416182426283038402481012141620222628303234362426810121424610122426244262628262681026286236[[#This Row],[Saldo no cartão]:[Recarga Pendente]])</f>
        <v>0</v>
      </c>
      <c r="N1123" s="19">
        <f>Tabela174681012142230322681619252731333624210121416182426283038402481012141620222628303234362426810121424610122426244262628262681026286236[[#This Row],[Uso diário]]*2</f>
        <v>26.8</v>
      </c>
      <c r="O1123" s="19">
        <f>Tabela174681012142230322681619252731333624210121416182426283038402481012141620222628303234362426810121424610122426244262628262681026286236[[#This Row],[Total Acumulado]]-P1123</f>
        <v>-67</v>
      </c>
      <c r="P1123" s="48">
        <f>Tabela174681012142230322681619252731333624210121416182426283038402481012141620222628303234362426810121424610122426244262628262681026286236[[#This Row],[Uso diário]]*5</f>
        <v>67</v>
      </c>
      <c r="Q11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3" s="25">
        <v>26</v>
      </c>
    </row>
    <row r="1124" spans="1:20" s="26" customFormat="1" x14ac:dyDescent="0.25">
      <c r="A1124" s="16">
        <v>230688</v>
      </c>
      <c r="B1124" s="30" t="s">
        <v>525</v>
      </c>
      <c r="C1124" s="20" t="s">
        <v>647</v>
      </c>
      <c r="D1124" s="20" t="s">
        <v>721</v>
      </c>
      <c r="E1124" s="20" t="s">
        <v>3754</v>
      </c>
      <c r="F1124" s="20" t="s">
        <v>3755</v>
      </c>
      <c r="G1124" s="21">
        <v>13.4</v>
      </c>
      <c r="H1124" s="16">
        <v>26</v>
      </c>
      <c r="I1124" s="16">
        <v>7</v>
      </c>
      <c r="J11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254.6</v>
      </c>
      <c r="K1124" s="22"/>
      <c r="L1124" s="23"/>
      <c r="M1124" s="23">
        <f>SUM(Tabela174681012142230322681619252731333624210121416182426283038402481012141620222628303234362426810121424610122426244262628262681026286236[[#This Row],[Saldo no cartão]:[Recarga Pendente]])</f>
        <v>0</v>
      </c>
      <c r="N1124" s="19">
        <f>Tabela174681012142230322681619252731333624210121416182426283038402481012141620222628303234362426810121424610122426244262628262681026286236[[#This Row],[Uso diário]]*2</f>
        <v>26.8</v>
      </c>
      <c r="O1124" s="19">
        <f>Tabela174681012142230322681619252731333624210121416182426283038402481012141620222628303234362426810121424610122426244262628262681026286236[[#This Row],[Total Acumulado]]-P1124</f>
        <v>-67</v>
      </c>
      <c r="P1124" s="48">
        <f>Tabela174681012142230322681619252731333624210121416182426283038402481012141620222628303234362426810121424610122426244262628262681026286236[[#This Row],[Uso diário]]*5</f>
        <v>67</v>
      </c>
      <c r="Q11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254.6</v>
      </c>
      <c r="S11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4" s="25">
        <v>26</v>
      </c>
    </row>
    <row r="1125" spans="1:20" s="26" customFormat="1" x14ac:dyDescent="0.25">
      <c r="A1125" s="16">
        <v>230699</v>
      </c>
      <c r="B1125" s="30" t="s">
        <v>526</v>
      </c>
      <c r="C1125" s="20" t="s">
        <v>647</v>
      </c>
      <c r="D1125" s="20" t="s">
        <v>721</v>
      </c>
      <c r="E1125" s="20" t="s">
        <v>3756</v>
      </c>
      <c r="F1125" s="20" t="s">
        <v>3757</v>
      </c>
      <c r="G1125" s="21">
        <v>13.4</v>
      </c>
      <c r="H1125" s="16">
        <v>26</v>
      </c>
      <c r="I1125" s="16"/>
      <c r="J11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25" s="22"/>
      <c r="L1125" s="23"/>
      <c r="M1125" s="23">
        <f>SUM(Tabela174681012142230322681619252731333624210121416182426283038402481012141620222628303234362426810121424610122426244262628262681026286236[[#This Row],[Saldo no cartão]:[Recarga Pendente]])</f>
        <v>0</v>
      </c>
      <c r="N1125" s="19">
        <f>Tabela174681012142230322681619252731333624210121416182426283038402481012141620222628303234362426810121424610122426244262628262681026286236[[#This Row],[Uso diário]]*2</f>
        <v>26.8</v>
      </c>
      <c r="O1125" s="19">
        <f>Tabela174681012142230322681619252731333624210121416182426283038402481012141620222628303234362426810121424610122426244262628262681026286236[[#This Row],[Total Acumulado]]-P1125</f>
        <v>-67</v>
      </c>
      <c r="P1125" s="48">
        <f>Tabela174681012142230322681619252731333624210121416182426283038402481012141620222628303234362426810121424610122426244262628262681026286236[[#This Row],[Uso diário]]*5</f>
        <v>67</v>
      </c>
      <c r="Q11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5" s="25">
        <v>26</v>
      </c>
    </row>
    <row r="1126" spans="1:20" s="26" customFormat="1" x14ac:dyDescent="0.25">
      <c r="A1126" s="16">
        <v>230702</v>
      </c>
      <c r="B1126" s="30" t="s">
        <v>1516</v>
      </c>
      <c r="C1126" s="20" t="s">
        <v>647</v>
      </c>
      <c r="D1126" s="20" t="s">
        <v>721</v>
      </c>
      <c r="E1126" s="20" t="s">
        <v>3758</v>
      </c>
      <c r="F1126" s="20" t="s">
        <v>3759</v>
      </c>
      <c r="G1126" s="21">
        <v>13.4</v>
      </c>
      <c r="H1126" s="16">
        <v>26</v>
      </c>
      <c r="I1126" s="16"/>
      <c r="J11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26" s="22"/>
      <c r="L1126" s="23"/>
      <c r="M1126" s="23">
        <f>SUM(Tabela174681012142230322681619252731333624210121416182426283038402481012141620222628303234362426810121424610122426244262628262681026286236[[#This Row],[Saldo no cartão]:[Recarga Pendente]])</f>
        <v>0</v>
      </c>
      <c r="N1126" s="19">
        <f>Tabela174681012142230322681619252731333624210121416182426283038402481012141620222628303234362426810121424610122426244262628262681026286236[[#This Row],[Uso diário]]*2</f>
        <v>26.8</v>
      </c>
      <c r="O1126" s="19">
        <f>Tabela174681012142230322681619252731333624210121416182426283038402481012141620222628303234362426810121424610122426244262628262681026286236[[#This Row],[Total Acumulado]]-P1126</f>
        <v>-67</v>
      </c>
      <c r="P1126" s="48">
        <f>Tabela174681012142230322681619252731333624210121416182426283038402481012141620222628303234362426810121424610122426244262628262681026286236[[#This Row],[Uso diário]]*5</f>
        <v>67</v>
      </c>
      <c r="Q11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6" s="25">
        <v>26</v>
      </c>
    </row>
    <row r="1127" spans="1:20" s="26" customFormat="1" x14ac:dyDescent="0.25">
      <c r="A1127" s="16">
        <v>230713</v>
      </c>
      <c r="B1127" s="30" t="s">
        <v>527</v>
      </c>
      <c r="C1127" s="20" t="s">
        <v>647</v>
      </c>
      <c r="D1127" s="20" t="s">
        <v>720</v>
      </c>
      <c r="E1127" s="20" t="s">
        <v>3760</v>
      </c>
      <c r="F1127" s="20" t="s">
        <v>3761</v>
      </c>
      <c r="G1127" s="21">
        <v>13.4</v>
      </c>
      <c r="H1127" s="16">
        <v>26</v>
      </c>
      <c r="I1127" s="16"/>
      <c r="J11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27" s="22"/>
      <c r="L1127" s="23"/>
      <c r="M1127" s="23">
        <f>SUM(Tabela174681012142230322681619252731333624210121416182426283038402481012141620222628303234362426810121424610122426244262628262681026286236[[#This Row],[Saldo no cartão]:[Recarga Pendente]])</f>
        <v>0</v>
      </c>
      <c r="N1127" s="19">
        <f>Tabela174681012142230322681619252731333624210121416182426283038402481012141620222628303234362426810121424610122426244262628262681026286236[[#This Row],[Uso diário]]*2</f>
        <v>26.8</v>
      </c>
      <c r="O1127" s="19">
        <f>Tabela174681012142230322681619252731333624210121416182426283038402481012141620222628303234362426810121424610122426244262628262681026286236[[#This Row],[Total Acumulado]]-P1127</f>
        <v>-67</v>
      </c>
      <c r="P1127" s="48">
        <f>Tabela174681012142230322681619252731333624210121416182426283038402481012141620222628303234362426810121424610122426244262628262681026286236[[#This Row],[Uso diário]]*5</f>
        <v>67</v>
      </c>
      <c r="Q11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7" s="25">
        <v>26</v>
      </c>
    </row>
    <row r="1128" spans="1:20" s="26" customFormat="1" x14ac:dyDescent="0.25">
      <c r="A1128" s="16">
        <v>230904</v>
      </c>
      <c r="B1128" s="30" t="s">
        <v>528</v>
      </c>
      <c r="C1128" s="20" t="s">
        <v>647</v>
      </c>
      <c r="D1128" s="20" t="s">
        <v>720</v>
      </c>
      <c r="E1128" s="20" t="s">
        <v>3762</v>
      </c>
      <c r="F1128" s="20" t="s">
        <v>3763</v>
      </c>
      <c r="G1128" s="21">
        <v>18.8</v>
      </c>
      <c r="H1128" s="16">
        <v>26</v>
      </c>
      <c r="I1128" s="16"/>
      <c r="J11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128" s="22"/>
      <c r="L1128" s="23"/>
      <c r="M1128" s="23">
        <f>SUM(Tabela174681012142230322681619252731333624210121416182426283038402481012141620222628303234362426810121424610122426244262628262681026286236[[#This Row],[Saldo no cartão]:[Recarga Pendente]])</f>
        <v>0</v>
      </c>
      <c r="N1128" s="19">
        <f>Tabela174681012142230322681619252731333624210121416182426283038402481012141620222628303234362426810121424610122426244262628262681026286236[[#This Row],[Uso diário]]*2</f>
        <v>37.6</v>
      </c>
      <c r="O1128" s="19">
        <f>Tabela174681012142230322681619252731333624210121416182426283038402481012141620222628303234362426810121424610122426244262628262681026286236[[#This Row],[Total Acumulado]]-P1128</f>
        <v>-94</v>
      </c>
      <c r="P1128" s="48">
        <f>Tabela174681012142230322681619252731333624210121416182426283038402481012141620222628303234362426810121424610122426244262628262681026286236[[#This Row],[Uso diário]]*5</f>
        <v>94</v>
      </c>
      <c r="Q11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1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8" s="25">
        <v>26</v>
      </c>
    </row>
    <row r="1129" spans="1:20" s="26" customFormat="1" x14ac:dyDescent="0.25">
      <c r="A1129" s="16">
        <v>230911</v>
      </c>
      <c r="B1129" s="30" t="s">
        <v>530</v>
      </c>
      <c r="C1129" s="20" t="s">
        <v>647</v>
      </c>
      <c r="D1129" s="20" t="s">
        <v>721</v>
      </c>
      <c r="E1129" s="20" t="s">
        <v>3764</v>
      </c>
      <c r="F1129" s="20" t="s">
        <v>3765</v>
      </c>
      <c r="G1129" s="21">
        <v>13.4</v>
      </c>
      <c r="H1129" s="16">
        <v>26</v>
      </c>
      <c r="I1129" s="16"/>
      <c r="J11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29" s="22"/>
      <c r="L1129" s="23"/>
      <c r="M1129" s="23">
        <f>SUM(Tabela174681012142230322681619252731333624210121416182426283038402481012141620222628303234362426810121424610122426244262628262681026286236[[#This Row],[Saldo no cartão]:[Recarga Pendente]])</f>
        <v>0</v>
      </c>
      <c r="N1129" s="19">
        <f>Tabela174681012142230322681619252731333624210121416182426283038402481012141620222628303234362426810121424610122426244262628262681026286236[[#This Row],[Uso diário]]*2</f>
        <v>26.8</v>
      </c>
      <c r="O1129" s="19">
        <f>Tabela174681012142230322681619252731333624210121416182426283038402481012141620222628303234362426810121424610122426244262628262681026286236[[#This Row],[Total Acumulado]]-P1129</f>
        <v>-67</v>
      </c>
      <c r="P1129" s="48">
        <f>Tabela174681012142230322681619252731333624210121416182426283038402481012141620222628303234362426810121424610122426244262628262681026286236[[#This Row],[Uso diário]]*5</f>
        <v>67</v>
      </c>
      <c r="Q11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29" s="25">
        <v>26</v>
      </c>
    </row>
    <row r="1130" spans="1:20" s="26" customFormat="1" x14ac:dyDescent="0.25">
      <c r="A1130" s="16">
        <v>230912</v>
      </c>
      <c r="B1130" s="30" t="s">
        <v>531</v>
      </c>
      <c r="C1130" s="20" t="s">
        <v>647</v>
      </c>
      <c r="D1130" s="20" t="s">
        <v>720</v>
      </c>
      <c r="E1130" s="20" t="s">
        <v>3766</v>
      </c>
      <c r="F1130" s="20" t="s">
        <v>3767</v>
      </c>
      <c r="G1130" s="21">
        <v>13.4</v>
      </c>
      <c r="H1130" s="16">
        <v>26</v>
      </c>
      <c r="I1130" s="16"/>
      <c r="J11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0" s="22"/>
      <c r="L1130" s="23"/>
      <c r="M1130" s="23">
        <f>SUM(Tabela174681012142230322681619252731333624210121416182426283038402481012141620222628303234362426810121424610122426244262628262681026286236[[#This Row],[Saldo no cartão]:[Recarga Pendente]])</f>
        <v>0</v>
      </c>
      <c r="N1130" s="19">
        <f>Tabela174681012142230322681619252731333624210121416182426283038402481012141620222628303234362426810121424610122426244262628262681026286236[[#This Row],[Uso diário]]*2</f>
        <v>26.8</v>
      </c>
      <c r="O1130" s="19">
        <f>Tabela174681012142230322681619252731333624210121416182426283038402481012141620222628303234362426810121424610122426244262628262681026286236[[#This Row],[Total Acumulado]]-P1130</f>
        <v>-67</v>
      </c>
      <c r="P1130" s="48">
        <f>Tabela174681012142230322681619252731333624210121416182426283038402481012141620222628303234362426810121424610122426244262628262681026286236[[#This Row],[Uso diário]]*5</f>
        <v>67</v>
      </c>
      <c r="Q11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0" s="25">
        <v>26</v>
      </c>
    </row>
    <row r="1131" spans="1:20" s="26" customFormat="1" x14ac:dyDescent="0.25">
      <c r="A1131" s="16">
        <v>230914</v>
      </c>
      <c r="B1131" s="30" t="s">
        <v>532</v>
      </c>
      <c r="C1131" s="20" t="s">
        <v>647</v>
      </c>
      <c r="D1131" s="20" t="s">
        <v>720</v>
      </c>
      <c r="E1131" s="20" t="s">
        <v>3768</v>
      </c>
      <c r="F1131" s="20" t="s">
        <v>3769</v>
      </c>
      <c r="G1131" s="21">
        <v>13.4</v>
      </c>
      <c r="H1131" s="16">
        <v>26</v>
      </c>
      <c r="I1131" s="16"/>
      <c r="J11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1" s="22"/>
      <c r="L1131" s="23"/>
      <c r="M1131" s="23">
        <f>SUM(Tabela174681012142230322681619252731333624210121416182426283038402481012141620222628303234362426810121424610122426244262628262681026286236[[#This Row],[Saldo no cartão]:[Recarga Pendente]])</f>
        <v>0</v>
      </c>
      <c r="N1131" s="19">
        <f>Tabela174681012142230322681619252731333624210121416182426283038402481012141620222628303234362426810121424610122426244262628262681026286236[[#This Row],[Uso diário]]*2</f>
        <v>26.8</v>
      </c>
      <c r="O1131" s="19">
        <f>Tabela174681012142230322681619252731333624210121416182426283038402481012141620222628303234362426810121424610122426244262628262681026286236[[#This Row],[Total Acumulado]]-P1131</f>
        <v>-67</v>
      </c>
      <c r="P1131" s="48">
        <f>Tabela174681012142230322681619252731333624210121416182426283038402481012141620222628303234362426810121424610122426244262628262681026286236[[#This Row],[Uso diário]]*5</f>
        <v>67</v>
      </c>
      <c r="Q11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1" s="25">
        <v>26</v>
      </c>
    </row>
    <row r="1132" spans="1:20" s="26" customFormat="1" x14ac:dyDescent="0.25">
      <c r="A1132" s="16">
        <v>232843</v>
      </c>
      <c r="B1132" s="30" t="s">
        <v>1383</v>
      </c>
      <c r="C1132" s="20" t="s">
        <v>647</v>
      </c>
      <c r="D1132" s="20" t="s">
        <v>721</v>
      </c>
      <c r="E1132" s="20" t="s">
        <v>3770</v>
      </c>
      <c r="F1132" s="20" t="s">
        <v>3771</v>
      </c>
      <c r="G1132" s="21">
        <v>13.4</v>
      </c>
      <c r="H1132" s="16">
        <v>26</v>
      </c>
      <c r="I1132" s="16">
        <v>3</v>
      </c>
      <c r="J11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1132" s="22"/>
      <c r="L1132" s="23"/>
      <c r="M1132" s="23">
        <f>SUM(Tabela174681012142230322681619252731333624210121416182426283038402481012141620222628303234362426810121424610122426244262628262681026286236[[#This Row],[Saldo no cartão]:[Recarga Pendente]])</f>
        <v>0</v>
      </c>
      <c r="N1132" s="19">
        <f>Tabela174681012142230322681619252731333624210121416182426283038402481012141620222628303234362426810121424610122426244262628262681026286236[[#This Row],[Uso diário]]*2</f>
        <v>26.8</v>
      </c>
      <c r="O1132" s="19">
        <f>Tabela174681012142230322681619252731333624210121416182426283038402481012141620222628303234362426810121424610122426244262628262681026286236[[#This Row],[Total Acumulado]]-P1132</f>
        <v>-67</v>
      </c>
      <c r="P1132" s="48">
        <f>Tabela174681012142230322681619252731333624210121416182426283038402481012141620222628303234362426810121424610122426244262628262681026286236[[#This Row],[Uso diário]]*5</f>
        <v>67</v>
      </c>
      <c r="Q11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11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2" s="25">
        <v>26</v>
      </c>
    </row>
    <row r="1133" spans="1:20" s="26" customFormat="1" x14ac:dyDescent="0.25">
      <c r="A1133" s="16">
        <v>232869</v>
      </c>
      <c r="B1133" s="30" t="s">
        <v>949</v>
      </c>
      <c r="C1133" s="20" t="s">
        <v>647</v>
      </c>
      <c r="D1133" s="20" t="s">
        <v>724</v>
      </c>
      <c r="E1133" s="20" t="s">
        <v>3772</v>
      </c>
      <c r="F1133" s="20" t="s">
        <v>3773</v>
      </c>
      <c r="G1133" s="21">
        <v>13.4</v>
      </c>
      <c r="H1133" s="16">
        <v>26</v>
      </c>
      <c r="I1133" s="16"/>
      <c r="J11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3" s="22"/>
      <c r="L1133" s="23"/>
      <c r="M1133" s="23">
        <f>SUM(Tabela174681012142230322681619252731333624210121416182426283038402481012141620222628303234362426810121424610122426244262628262681026286236[[#This Row],[Saldo no cartão]:[Recarga Pendente]])</f>
        <v>0</v>
      </c>
      <c r="N1133" s="19">
        <f>Tabela174681012142230322681619252731333624210121416182426283038402481012141620222628303234362426810121424610122426244262628262681026286236[[#This Row],[Uso diário]]*2</f>
        <v>26.8</v>
      </c>
      <c r="O1133" s="19">
        <f>Tabela174681012142230322681619252731333624210121416182426283038402481012141620222628303234362426810121424610122426244262628262681026286236[[#This Row],[Total Acumulado]]-P1133</f>
        <v>-67</v>
      </c>
      <c r="P1133" s="48">
        <f>Tabela174681012142230322681619252731333624210121416182426283038402481012141620222628303234362426810121424610122426244262628262681026286236[[#This Row],[Uso diário]]*5</f>
        <v>67</v>
      </c>
      <c r="Q11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3" s="25">
        <v>26</v>
      </c>
    </row>
    <row r="1134" spans="1:20" s="26" customFormat="1" x14ac:dyDescent="0.25">
      <c r="A1134" s="16">
        <v>233379</v>
      </c>
      <c r="B1134" s="30" t="s">
        <v>1108</v>
      </c>
      <c r="C1134" s="20" t="s">
        <v>647</v>
      </c>
      <c r="D1134" s="20" t="s">
        <v>721</v>
      </c>
      <c r="E1134" s="20" t="s">
        <v>3774</v>
      </c>
      <c r="F1134" s="20" t="s">
        <v>3775</v>
      </c>
      <c r="G1134" s="21">
        <v>13.4</v>
      </c>
      <c r="H1134" s="16">
        <v>26</v>
      </c>
      <c r="I1134" s="16"/>
      <c r="J11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4" s="22"/>
      <c r="L1134" s="23"/>
      <c r="M1134" s="23">
        <f>SUM(Tabela174681012142230322681619252731333624210121416182426283038402481012141620222628303234362426810121424610122426244262628262681026286236[[#This Row],[Saldo no cartão]:[Recarga Pendente]])</f>
        <v>0</v>
      </c>
      <c r="N1134" s="19">
        <f>Tabela174681012142230322681619252731333624210121416182426283038402481012141620222628303234362426810121424610122426244262628262681026286236[[#This Row],[Uso diário]]*2</f>
        <v>26.8</v>
      </c>
      <c r="O1134" s="19">
        <f>Tabela174681012142230322681619252731333624210121416182426283038402481012141620222628303234362426810121424610122426244262628262681026286236[[#This Row],[Total Acumulado]]-P1134</f>
        <v>-67</v>
      </c>
      <c r="P1134" s="48">
        <f>Tabela174681012142230322681619252731333624210121416182426283038402481012141620222628303234362426810121424610122426244262628262681026286236[[#This Row],[Uso diário]]*5</f>
        <v>67</v>
      </c>
      <c r="Q11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4" s="25">
        <v>26</v>
      </c>
    </row>
    <row r="1135" spans="1:20" s="26" customFormat="1" x14ac:dyDescent="0.25">
      <c r="A1135" s="16">
        <v>212136</v>
      </c>
      <c r="B1135" s="30" t="s">
        <v>533</v>
      </c>
      <c r="C1135" s="20" t="s">
        <v>629</v>
      </c>
      <c r="D1135" s="20" t="s">
        <v>682</v>
      </c>
      <c r="E1135" s="20" t="s">
        <v>3776</v>
      </c>
      <c r="F1135" s="20" t="s">
        <v>3777</v>
      </c>
      <c r="G1135" s="21">
        <v>13.4</v>
      </c>
      <c r="H1135" s="16">
        <v>26</v>
      </c>
      <c r="I1135" s="16"/>
      <c r="J11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5" s="22"/>
      <c r="L1135" s="23"/>
      <c r="M1135" s="23">
        <f>SUM(Tabela174681012142230322681619252731333624210121416182426283038402481012141620222628303234362426810121424610122426244262628262681026286236[[#This Row],[Saldo no cartão]:[Recarga Pendente]])</f>
        <v>0</v>
      </c>
      <c r="N1135" s="19">
        <f>Tabela174681012142230322681619252731333624210121416182426283038402481012141620222628303234362426810121424610122426244262628262681026286236[[#This Row],[Uso diário]]*2</f>
        <v>26.8</v>
      </c>
      <c r="O1135" s="19">
        <f>Tabela174681012142230322681619252731333624210121416182426283038402481012141620222628303234362426810121424610122426244262628262681026286236[[#This Row],[Total Acumulado]]-P1135</f>
        <v>-67</v>
      </c>
      <c r="P1135" s="48">
        <f>Tabela174681012142230322681619252731333624210121416182426283038402481012141620222628303234362426810121424610122426244262628262681026286236[[#This Row],[Uso diário]]*5</f>
        <v>67</v>
      </c>
      <c r="Q11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5" s="25">
        <v>26</v>
      </c>
    </row>
    <row r="1136" spans="1:20" s="26" customFormat="1" x14ac:dyDescent="0.25">
      <c r="A1136" s="16">
        <v>222035</v>
      </c>
      <c r="B1136" s="30" t="s">
        <v>534</v>
      </c>
      <c r="C1136" s="20" t="s">
        <v>630</v>
      </c>
      <c r="D1136" s="20" t="s">
        <v>736</v>
      </c>
      <c r="E1136" s="20" t="s">
        <v>3778</v>
      </c>
      <c r="F1136" s="20" t="s">
        <v>3779</v>
      </c>
      <c r="G1136" s="21">
        <v>18.8</v>
      </c>
      <c r="H1136" s="16">
        <v>22</v>
      </c>
      <c r="I1136" s="16">
        <v>1</v>
      </c>
      <c r="J11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136" s="22"/>
      <c r="L1136" s="23"/>
      <c r="M1136" s="23">
        <f>SUM(Tabela174681012142230322681619252731333624210121416182426283038402481012141620222628303234362426810121424610122426244262628262681026286236[[#This Row],[Saldo no cartão]:[Recarga Pendente]])</f>
        <v>0</v>
      </c>
      <c r="N1136" s="19">
        <f>Tabela174681012142230322681619252731333624210121416182426283038402481012141620222628303234362426810121424610122426244262628262681026286236[[#This Row],[Uso diário]]*2</f>
        <v>37.6</v>
      </c>
      <c r="O1136" s="19">
        <f>Tabela174681012142230322681619252731333624210121416182426283038402481012141620222628303234362426810121424610122426244262628262681026286236[[#This Row],[Total Acumulado]]-P1136</f>
        <v>-94</v>
      </c>
      <c r="P1136" s="48">
        <f>Tabela174681012142230322681619252731333624210121416182426283038402481012141620222628303234362426810121424610122426244262628262681026286236[[#This Row],[Uso diário]]*5</f>
        <v>94</v>
      </c>
      <c r="Q11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1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6" s="25">
        <v>26</v>
      </c>
    </row>
    <row r="1137" spans="1:20" s="26" customFormat="1" x14ac:dyDescent="0.25">
      <c r="A1137" s="16">
        <v>219538</v>
      </c>
      <c r="B1137" s="30" t="s">
        <v>535</v>
      </c>
      <c r="C1137" s="20" t="s">
        <v>648</v>
      </c>
      <c r="D1137" s="20" t="s">
        <v>737</v>
      </c>
      <c r="E1137" s="20" t="s">
        <v>3780</v>
      </c>
      <c r="F1137" s="20" t="s">
        <v>3781</v>
      </c>
      <c r="G1137" s="21">
        <v>18.8</v>
      </c>
      <c r="H1137" s="16">
        <v>26</v>
      </c>
      <c r="I1137" s="16">
        <v>3</v>
      </c>
      <c r="J11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432.40000000000003</v>
      </c>
      <c r="K1137" s="22"/>
      <c r="L1137" s="23"/>
      <c r="M1137" s="23">
        <f>SUM(Tabela174681012142230322681619252731333624210121416182426283038402481012141620222628303234362426810121424610122426244262628262681026286236[[#This Row],[Saldo no cartão]:[Recarga Pendente]])</f>
        <v>0</v>
      </c>
      <c r="N1137" s="19">
        <f>Tabela174681012142230322681619252731333624210121416182426283038402481012141620222628303234362426810121424610122426244262628262681026286236[[#This Row],[Uso diário]]*2</f>
        <v>37.6</v>
      </c>
      <c r="O1137" s="19">
        <f>Tabela174681012142230322681619252731333624210121416182426283038402481012141620222628303234362426810121424610122426244262628262681026286236[[#This Row],[Total Acumulado]]-P1137</f>
        <v>-94</v>
      </c>
      <c r="P1137" s="48">
        <f>Tabela174681012142230322681619252731333624210121416182426283038402481012141620222628303234362426810121424610122426244262628262681026286236[[#This Row],[Uso diário]]*5</f>
        <v>94</v>
      </c>
      <c r="Q11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432.40000000000003</v>
      </c>
      <c r="S11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7" s="25">
        <v>26</v>
      </c>
    </row>
    <row r="1138" spans="1:20" s="26" customFormat="1" x14ac:dyDescent="0.25">
      <c r="A1138" s="16">
        <v>222709</v>
      </c>
      <c r="B1138" s="30" t="s">
        <v>536</v>
      </c>
      <c r="C1138" s="20" t="s">
        <v>648</v>
      </c>
      <c r="D1138" s="20" t="s">
        <v>718</v>
      </c>
      <c r="E1138" s="20" t="s">
        <v>3782</v>
      </c>
      <c r="F1138" s="20" t="s">
        <v>3783</v>
      </c>
      <c r="G1138" s="21">
        <v>13.4</v>
      </c>
      <c r="H1138" s="16">
        <v>26</v>
      </c>
      <c r="I1138" s="16"/>
      <c r="J11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8" s="22"/>
      <c r="L1138" s="23"/>
      <c r="M1138" s="23">
        <f>SUM(Tabela174681012142230322681619252731333624210121416182426283038402481012141620222628303234362426810121424610122426244262628262681026286236[[#This Row],[Saldo no cartão]:[Recarga Pendente]])</f>
        <v>0</v>
      </c>
      <c r="N1138" s="19">
        <f>Tabela174681012142230322681619252731333624210121416182426283038402481012141620222628303234362426810121424610122426244262628262681026286236[[#This Row],[Uso diário]]*2</f>
        <v>26.8</v>
      </c>
      <c r="O1138" s="19">
        <f>Tabela174681012142230322681619252731333624210121416182426283038402481012141620222628303234362426810121424610122426244262628262681026286236[[#This Row],[Total Acumulado]]-P1138</f>
        <v>-67</v>
      </c>
      <c r="P1138" s="48">
        <f>Tabela174681012142230322681619252731333624210121416182426283038402481012141620222628303234362426810121424610122426244262628262681026286236[[#This Row],[Uso diário]]*5</f>
        <v>67</v>
      </c>
      <c r="Q11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8" s="25">
        <v>26</v>
      </c>
    </row>
    <row r="1139" spans="1:20" s="26" customFormat="1" x14ac:dyDescent="0.25">
      <c r="A1139" s="16">
        <v>230849</v>
      </c>
      <c r="B1139" s="30" t="s">
        <v>537</v>
      </c>
      <c r="C1139" s="20" t="s">
        <v>648</v>
      </c>
      <c r="D1139" s="20" t="s">
        <v>718</v>
      </c>
      <c r="E1139" s="20" t="s">
        <v>3784</v>
      </c>
      <c r="F1139" s="20" t="s">
        <v>3785</v>
      </c>
      <c r="G1139" s="21">
        <v>13.4</v>
      </c>
      <c r="H1139" s="16">
        <v>26</v>
      </c>
      <c r="I1139" s="16"/>
      <c r="J11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39" s="22"/>
      <c r="L1139" s="23"/>
      <c r="M1139" s="23">
        <f>SUM(Tabela174681012142230322681619252731333624210121416182426283038402481012141620222628303234362426810121424610122426244262628262681026286236[[#This Row],[Saldo no cartão]:[Recarga Pendente]])</f>
        <v>0</v>
      </c>
      <c r="N1139" s="19">
        <f>Tabela174681012142230322681619252731333624210121416182426283038402481012141620222628303234362426810121424610122426244262628262681026286236[[#This Row],[Uso diário]]*2</f>
        <v>26.8</v>
      </c>
      <c r="O1139" s="19">
        <f>Tabela174681012142230322681619252731333624210121416182426283038402481012141620222628303234362426810121424610122426244262628262681026286236[[#This Row],[Total Acumulado]]-P1139</f>
        <v>-67</v>
      </c>
      <c r="P1139" s="48">
        <f>Tabela174681012142230322681619252731333624210121416182426283038402481012141620222628303234362426810121424610122426244262628262681026286236[[#This Row],[Uso diário]]*5</f>
        <v>67</v>
      </c>
      <c r="Q11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39" s="25">
        <v>26</v>
      </c>
    </row>
    <row r="1140" spans="1:20" s="26" customFormat="1" x14ac:dyDescent="0.25">
      <c r="A1140" s="16">
        <v>230851</v>
      </c>
      <c r="B1140" s="30" t="s">
        <v>1517</v>
      </c>
      <c r="C1140" s="20" t="s">
        <v>648</v>
      </c>
      <c r="D1140" s="20" t="s">
        <v>718</v>
      </c>
      <c r="E1140" s="20" t="s">
        <v>3786</v>
      </c>
      <c r="F1140" s="20" t="s">
        <v>3787</v>
      </c>
      <c r="G1140" s="21">
        <v>13.4</v>
      </c>
      <c r="H1140" s="16">
        <v>26</v>
      </c>
      <c r="I1140" s="16"/>
      <c r="J11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40" s="22"/>
      <c r="L1140" s="23"/>
      <c r="M1140" s="23">
        <f>SUM(Tabela174681012142230322681619252731333624210121416182426283038402481012141620222628303234362426810121424610122426244262628262681026286236[[#This Row],[Saldo no cartão]:[Recarga Pendente]])</f>
        <v>0</v>
      </c>
      <c r="N1140" s="19">
        <f>Tabela174681012142230322681619252731333624210121416182426283038402481012141620222628303234362426810121424610122426244262628262681026286236[[#This Row],[Uso diário]]*2</f>
        <v>26.8</v>
      </c>
      <c r="O1140" s="19">
        <f>Tabela174681012142230322681619252731333624210121416182426283038402481012141620222628303234362426810121424610122426244262628262681026286236[[#This Row],[Total Acumulado]]-P1140</f>
        <v>-67</v>
      </c>
      <c r="P1140" s="48">
        <f>Tabela174681012142230322681619252731333624210121416182426283038402481012141620222628303234362426810121424610122426244262628262681026286236[[#This Row],[Uso diário]]*5</f>
        <v>67</v>
      </c>
      <c r="Q11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0" s="25">
        <v>26</v>
      </c>
    </row>
    <row r="1141" spans="1:20" s="26" customFormat="1" x14ac:dyDescent="0.25">
      <c r="A1141" s="16">
        <v>233519</v>
      </c>
      <c r="B1141" s="30" t="s">
        <v>1109</v>
      </c>
      <c r="C1141" s="20" t="s">
        <v>648</v>
      </c>
      <c r="D1141" s="20" t="s">
        <v>718</v>
      </c>
      <c r="E1141" s="20" t="s">
        <v>3788</v>
      </c>
      <c r="F1141" s="20" t="s">
        <v>3789</v>
      </c>
      <c r="G1141" s="21">
        <v>13.4</v>
      </c>
      <c r="H1141" s="16">
        <v>26</v>
      </c>
      <c r="I1141" s="16"/>
      <c r="J11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41" s="22"/>
      <c r="L1141" s="23"/>
      <c r="M1141" s="23">
        <f>SUM(Tabela174681012142230322681619252731333624210121416182426283038402481012141620222628303234362426810121424610122426244262628262681026286236[[#This Row],[Saldo no cartão]:[Recarga Pendente]])</f>
        <v>0</v>
      </c>
      <c r="N1141" s="19">
        <f>Tabela174681012142230322681619252731333624210121416182426283038402481012141620222628303234362426810121424610122426244262628262681026286236[[#This Row],[Uso diário]]*2</f>
        <v>26.8</v>
      </c>
      <c r="O1141" s="19">
        <f>Tabela174681012142230322681619252731333624210121416182426283038402481012141620222628303234362426810121424610122426244262628262681026286236[[#This Row],[Total Acumulado]]-P1141</f>
        <v>-67</v>
      </c>
      <c r="P1141" s="48">
        <f>Tabela174681012142230322681619252731333624210121416182426283038402481012141620222628303234362426810121424610122426244262628262681026286236[[#This Row],[Uso diário]]*5</f>
        <v>67</v>
      </c>
      <c r="Q11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1" s="25">
        <v>26</v>
      </c>
    </row>
    <row r="1142" spans="1:20" s="26" customFormat="1" x14ac:dyDescent="0.25">
      <c r="A1142" s="16">
        <v>233876</v>
      </c>
      <c r="B1142" s="30" t="s">
        <v>1110</v>
      </c>
      <c r="C1142" s="20" t="s">
        <v>648</v>
      </c>
      <c r="D1142" s="20" t="s">
        <v>718</v>
      </c>
      <c r="E1142" s="20" t="s">
        <v>3790</v>
      </c>
      <c r="F1142" s="20" t="s">
        <v>3791</v>
      </c>
      <c r="G1142" s="21">
        <v>13.4</v>
      </c>
      <c r="H1142" s="16">
        <v>26</v>
      </c>
      <c r="I1142" s="16"/>
      <c r="J11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42" s="22"/>
      <c r="L1142" s="23"/>
      <c r="M1142" s="23">
        <f>SUM(Tabela174681012142230322681619252731333624210121416182426283038402481012141620222628303234362426810121424610122426244262628262681026286236[[#This Row],[Saldo no cartão]:[Recarga Pendente]])</f>
        <v>0</v>
      </c>
      <c r="N1142" s="19">
        <f>Tabela174681012142230322681619252731333624210121416182426283038402481012141620222628303234362426810121424610122426244262628262681026286236[[#This Row],[Uso diário]]*2</f>
        <v>26.8</v>
      </c>
      <c r="O1142" s="19">
        <f>Tabela174681012142230322681619252731333624210121416182426283038402481012141620222628303234362426810121424610122426244262628262681026286236[[#This Row],[Total Acumulado]]-P1142</f>
        <v>-67</v>
      </c>
      <c r="P1142" s="48">
        <f>Tabela174681012142230322681619252731333624210121416182426283038402481012141620222628303234362426810121424610122426244262628262681026286236[[#This Row],[Uso diário]]*5</f>
        <v>67</v>
      </c>
      <c r="Q11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2" s="25">
        <v>26</v>
      </c>
    </row>
    <row r="1143" spans="1:20" s="26" customFormat="1" x14ac:dyDescent="0.25">
      <c r="A1143" s="16">
        <v>219372</v>
      </c>
      <c r="B1143" s="30" t="s">
        <v>1111</v>
      </c>
      <c r="C1143" s="20" t="s">
        <v>649</v>
      </c>
      <c r="D1143" s="20" t="s">
        <v>725</v>
      </c>
      <c r="E1143" s="20" t="s">
        <v>3792</v>
      </c>
      <c r="F1143" s="20" t="s">
        <v>3793</v>
      </c>
      <c r="G1143" s="21">
        <v>18.8</v>
      </c>
      <c r="H1143" s="16">
        <v>26</v>
      </c>
      <c r="I1143" s="16">
        <v>1</v>
      </c>
      <c r="J11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143" s="22"/>
      <c r="L1143" s="23"/>
      <c r="M1143" s="23">
        <f>SUM(Tabela174681012142230322681619252731333624210121416182426283038402481012141620222628303234362426810121424610122426244262628262681026286236[[#This Row],[Saldo no cartão]:[Recarga Pendente]])</f>
        <v>0</v>
      </c>
      <c r="N1143" s="19">
        <f>Tabela174681012142230322681619252731333624210121416182426283038402481012141620222628303234362426810121424610122426244262628262681026286236[[#This Row],[Uso diário]]*2</f>
        <v>37.6</v>
      </c>
      <c r="O1143" s="19">
        <f>Tabela174681012142230322681619252731333624210121416182426283038402481012141620222628303234362426810121424610122426244262628262681026286236[[#This Row],[Total Acumulado]]-P1143</f>
        <v>-94</v>
      </c>
      <c r="P1143" s="48">
        <f>Tabela174681012142230322681619252731333624210121416182426283038402481012141620222628303234362426810121424610122426244262628262681026286236[[#This Row],[Uso diário]]*5</f>
        <v>94</v>
      </c>
      <c r="Q11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1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3" s="25">
        <v>26</v>
      </c>
    </row>
    <row r="1144" spans="1:20" s="26" customFormat="1" x14ac:dyDescent="0.25">
      <c r="A1144" s="16">
        <v>221301</v>
      </c>
      <c r="B1144" s="30" t="s">
        <v>863</v>
      </c>
      <c r="C1144" s="20" t="s">
        <v>649</v>
      </c>
      <c r="D1144" s="20" t="s">
        <v>725</v>
      </c>
      <c r="E1144" s="20" t="s">
        <v>3794</v>
      </c>
      <c r="F1144" s="20" t="s">
        <v>3795</v>
      </c>
      <c r="G1144" s="21">
        <v>13.4</v>
      </c>
      <c r="H1144" s="16">
        <v>26</v>
      </c>
      <c r="I1144" s="16"/>
      <c r="J11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44" s="22"/>
      <c r="L1144" s="23"/>
      <c r="M1144" s="23">
        <f>SUM(Tabela174681012142230322681619252731333624210121416182426283038402481012141620222628303234362426810121424610122426244262628262681026286236[[#This Row],[Saldo no cartão]:[Recarga Pendente]])</f>
        <v>0</v>
      </c>
      <c r="N1144" s="19">
        <f>Tabela174681012142230322681619252731333624210121416182426283038402481012141620222628303234362426810121424610122426244262628262681026286236[[#This Row],[Uso diário]]*2</f>
        <v>26.8</v>
      </c>
      <c r="O1144" s="19">
        <f>Tabela174681012142230322681619252731333624210121416182426283038402481012141620222628303234362426810121424610122426244262628262681026286236[[#This Row],[Total Acumulado]]-P1144</f>
        <v>-67</v>
      </c>
      <c r="P1144" s="48">
        <f>Tabela174681012142230322681619252731333624210121416182426283038402481012141620222628303234362426810121424610122426244262628262681026286236[[#This Row],[Uso diário]]*5</f>
        <v>67</v>
      </c>
      <c r="Q11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4" s="25">
        <v>26</v>
      </c>
    </row>
    <row r="1145" spans="1:20" s="26" customFormat="1" x14ac:dyDescent="0.25">
      <c r="A1145" s="16">
        <v>222237</v>
      </c>
      <c r="B1145" s="30" t="s">
        <v>548</v>
      </c>
      <c r="C1145" s="20" t="s">
        <v>649</v>
      </c>
      <c r="D1145" s="20" t="s">
        <v>725</v>
      </c>
      <c r="E1145" s="20" t="s">
        <v>3796</v>
      </c>
      <c r="F1145" s="20" t="s">
        <v>3797</v>
      </c>
      <c r="G1145" s="21">
        <v>13.4</v>
      </c>
      <c r="H1145" s="16">
        <v>26</v>
      </c>
      <c r="I1145" s="16"/>
      <c r="J11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45" s="22"/>
      <c r="L1145" s="23"/>
      <c r="M1145" s="23">
        <f>SUM(Tabela174681012142230322681619252731333624210121416182426283038402481012141620222628303234362426810121424610122426244262628262681026286236[[#This Row],[Saldo no cartão]:[Recarga Pendente]])</f>
        <v>0</v>
      </c>
      <c r="N1145" s="19">
        <f>Tabela174681012142230322681619252731333624210121416182426283038402481012141620222628303234362426810121424610122426244262628262681026286236[[#This Row],[Uso diário]]*2</f>
        <v>26.8</v>
      </c>
      <c r="O1145" s="19">
        <f>Tabela174681012142230322681619252731333624210121416182426283038402481012141620222628303234362426810121424610122426244262628262681026286236[[#This Row],[Total Acumulado]]-P1145</f>
        <v>-67</v>
      </c>
      <c r="P1145" s="48">
        <f>Tabela174681012142230322681619252731333624210121416182426283038402481012141620222628303234362426810121424610122426244262628262681026286236[[#This Row],[Uso diário]]*5</f>
        <v>67</v>
      </c>
      <c r="Q11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5" s="25">
        <v>26</v>
      </c>
    </row>
    <row r="1146" spans="1:20" s="26" customFormat="1" x14ac:dyDescent="0.25">
      <c r="A1146" s="16">
        <v>227085</v>
      </c>
      <c r="B1146" s="30" t="s">
        <v>428</v>
      </c>
      <c r="C1146" s="20" t="s">
        <v>649</v>
      </c>
      <c r="D1146" s="20" t="s">
        <v>725</v>
      </c>
      <c r="E1146" s="20" t="s">
        <v>3798</v>
      </c>
      <c r="F1146" s="20" t="s">
        <v>3799</v>
      </c>
      <c r="G1146" s="21">
        <v>15.4</v>
      </c>
      <c r="H1146" s="16">
        <v>26</v>
      </c>
      <c r="I1146" s="16"/>
      <c r="J11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146" s="22"/>
      <c r="L1146" s="23"/>
      <c r="M1146" s="23">
        <f>SUM(Tabela174681012142230322681619252731333624210121416182426283038402481012141620222628303234362426810121424610122426244262628262681026286236[[#This Row],[Saldo no cartão]:[Recarga Pendente]])</f>
        <v>0</v>
      </c>
      <c r="N1146" s="19">
        <f>Tabela174681012142230322681619252731333624210121416182426283038402481012141620222628303234362426810121424610122426244262628262681026286236[[#This Row],[Uso diário]]*2</f>
        <v>30.8</v>
      </c>
      <c r="O1146" s="19">
        <f>Tabela174681012142230322681619252731333624210121416182426283038402481012141620222628303234362426810121424610122426244262628262681026286236[[#This Row],[Total Acumulado]]-P1146</f>
        <v>-77</v>
      </c>
      <c r="P1146" s="48">
        <f>Tabela174681012142230322681619252731333624210121416182426283038402481012141620222628303234362426810121424610122426244262628262681026286236[[#This Row],[Uso diário]]*5</f>
        <v>77</v>
      </c>
      <c r="Q11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1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6" s="25">
        <v>26</v>
      </c>
    </row>
    <row r="1147" spans="1:20" s="26" customFormat="1" x14ac:dyDescent="0.25">
      <c r="A1147" s="16">
        <v>228155</v>
      </c>
      <c r="B1147" s="30" t="s">
        <v>1241</v>
      </c>
      <c r="C1147" s="20" t="s">
        <v>649</v>
      </c>
      <c r="D1147" s="20" t="s">
        <v>725</v>
      </c>
      <c r="E1147" s="20" t="s">
        <v>3800</v>
      </c>
      <c r="F1147" s="20" t="s">
        <v>3801</v>
      </c>
      <c r="G1147" s="21">
        <v>14.2</v>
      </c>
      <c r="H1147" s="16">
        <v>26</v>
      </c>
      <c r="I1147" s="16"/>
      <c r="J11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369.2</v>
      </c>
      <c r="K1147" s="22"/>
      <c r="L1147" s="23"/>
      <c r="M1147" s="23">
        <f>SUM(Tabela174681012142230322681619252731333624210121416182426283038402481012141620222628303234362426810121424610122426244262628262681026286236[[#This Row],[Saldo no cartão]:[Recarga Pendente]])</f>
        <v>0</v>
      </c>
      <c r="N1147" s="19">
        <f>Tabela174681012142230322681619252731333624210121416182426283038402481012141620222628303234362426810121424610122426244262628262681026286236[[#This Row],[Uso diário]]*2</f>
        <v>28.4</v>
      </c>
      <c r="O1147" s="19">
        <f>Tabela174681012142230322681619252731333624210121416182426283038402481012141620222628303234362426810121424610122426244262628262681026286236[[#This Row],[Total Acumulado]]-P1147</f>
        <v>-71</v>
      </c>
      <c r="P1147" s="48">
        <f>Tabela174681012142230322681619252731333624210121416182426283038402481012141620222628303234362426810121424610122426244262628262681026286236[[#This Row],[Uso diário]]*5</f>
        <v>71</v>
      </c>
      <c r="Q11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369.2</v>
      </c>
      <c r="S11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7" s="25">
        <v>26</v>
      </c>
    </row>
    <row r="1148" spans="1:20" s="26" customFormat="1" x14ac:dyDescent="0.25">
      <c r="A1148" s="16">
        <v>230540</v>
      </c>
      <c r="B1148" s="30" t="s">
        <v>1518</v>
      </c>
      <c r="C1148" s="20" t="s">
        <v>649</v>
      </c>
      <c r="D1148" s="20" t="s">
        <v>725</v>
      </c>
      <c r="E1148" s="20" t="s">
        <v>3802</v>
      </c>
      <c r="F1148" s="20" t="s">
        <v>3803</v>
      </c>
      <c r="G1148" s="21">
        <v>13.4</v>
      </c>
      <c r="H1148" s="16">
        <v>26</v>
      </c>
      <c r="I1148" s="16"/>
      <c r="J11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48" s="22"/>
      <c r="L1148" s="23"/>
      <c r="M1148" s="23">
        <f>SUM(Tabela174681012142230322681619252731333624210121416182426283038402481012141620222628303234362426810121424610122426244262628262681026286236[[#This Row],[Saldo no cartão]:[Recarga Pendente]])</f>
        <v>0</v>
      </c>
      <c r="N1148" s="19">
        <f>Tabela174681012142230322681619252731333624210121416182426283038402481012141620222628303234362426810121424610122426244262628262681026286236[[#This Row],[Uso diário]]*2</f>
        <v>26.8</v>
      </c>
      <c r="O1148" s="19">
        <f>Tabela174681012142230322681619252731333624210121416182426283038402481012141620222628303234362426810121424610122426244262628262681026286236[[#This Row],[Total Acumulado]]-P1148</f>
        <v>-67</v>
      </c>
      <c r="P1148" s="48">
        <f>Tabela174681012142230322681619252731333624210121416182426283038402481012141620222628303234362426810121424610122426244262628262681026286236[[#This Row],[Uso diário]]*5</f>
        <v>67</v>
      </c>
      <c r="Q11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8" s="25">
        <v>26</v>
      </c>
    </row>
    <row r="1149" spans="1:20" s="26" customFormat="1" x14ac:dyDescent="0.25">
      <c r="A1149" s="16">
        <v>231136</v>
      </c>
      <c r="B1149" s="30" t="s">
        <v>772</v>
      </c>
      <c r="C1149" s="20" t="s">
        <v>649</v>
      </c>
      <c r="D1149" s="20" t="s">
        <v>725</v>
      </c>
      <c r="E1149" s="20" t="s">
        <v>3804</v>
      </c>
      <c r="F1149" s="20" t="s">
        <v>3805</v>
      </c>
      <c r="G1149" s="21">
        <v>13.4</v>
      </c>
      <c r="H1149" s="16">
        <v>26</v>
      </c>
      <c r="I1149" s="16">
        <v>1</v>
      </c>
      <c r="J11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149" s="22"/>
      <c r="L1149" s="23"/>
      <c r="M1149" s="23">
        <f>SUM(Tabela174681012142230322681619252731333624210121416182426283038402481012141620222628303234362426810121424610122426244262628262681026286236[[#This Row],[Saldo no cartão]:[Recarga Pendente]])</f>
        <v>0</v>
      </c>
      <c r="N1149" s="19">
        <f>Tabela174681012142230322681619252731333624210121416182426283038402481012141620222628303234362426810121424610122426244262628262681026286236[[#This Row],[Uso diário]]*2</f>
        <v>26.8</v>
      </c>
      <c r="O1149" s="19">
        <f>Tabela174681012142230322681619252731333624210121416182426283038402481012141620222628303234362426810121424610122426244262628262681026286236[[#This Row],[Total Acumulado]]-P1149</f>
        <v>-67</v>
      </c>
      <c r="P1149" s="48">
        <f>Tabela174681012142230322681619252731333624210121416182426283038402481012141620222628303234362426810121424610122426244262628262681026286236[[#This Row],[Uso diário]]*5</f>
        <v>67</v>
      </c>
      <c r="Q11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1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49" s="25">
        <v>26</v>
      </c>
    </row>
    <row r="1150" spans="1:20" s="26" customFormat="1" x14ac:dyDescent="0.25">
      <c r="A1150" s="16">
        <v>234375</v>
      </c>
      <c r="B1150" s="30" t="s">
        <v>1299</v>
      </c>
      <c r="C1150" s="20" t="s">
        <v>649</v>
      </c>
      <c r="D1150" s="20" t="s">
        <v>725</v>
      </c>
      <c r="E1150" s="20" t="s">
        <v>3806</v>
      </c>
      <c r="F1150" s="20" t="s">
        <v>3807</v>
      </c>
      <c r="G1150" s="21">
        <v>13.4</v>
      </c>
      <c r="H1150" s="16">
        <v>26</v>
      </c>
      <c r="I1150" s="16">
        <v>1</v>
      </c>
      <c r="J11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150" s="22"/>
      <c r="L1150" s="23"/>
      <c r="M1150" s="23">
        <f>SUM(Tabela174681012142230322681619252731333624210121416182426283038402481012141620222628303234362426810121424610122426244262628262681026286236[[#This Row],[Saldo no cartão]:[Recarga Pendente]])</f>
        <v>0</v>
      </c>
      <c r="N1150" s="19">
        <f>Tabela174681012142230322681619252731333624210121416182426283038402481012141620222628303234362426810121424610122426244262628262681026286236[[#This Row],[Uso diário]]*2</f>
        <v>26.8</v>
      </c>
      <c r="O1150" s="19">
        <f>Tabela174681012142230322681619252731333624210121416182426283038402481012141620222628303234362426810121424610122426244262628262681026286236[[#This Row],[Total Acumulado]]-P1150</f>
        <v>-67</v>
      </c>
      <c r="P1150" s="48">
        <f>Tabela174681012142230322681619252731333624210121416182426283038402481012141620222628303234362426810121424610122426244262628262681026286236[[#This Row],[Uso diário]]*5</f>
        <v>67</v>
      </c>
      <c r="Q11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1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0" s="25">
        <v>26</v>
      </c>
    </row>
    <row r="1151" spans="1:20" s="26" customFormat="1" x14ac:dyDescent="0.25">
      <c r="A1151" s="16">
        <v>223763</v>
      </c>
      <c r="B1151" s="30" t="s">
        <v>430</v>
      </c>
      <c r="C1151" s="20" t="s">
        <v>650</v>
      </c>
      <c r="D1151" s="20" t="s">
        <v>726</v>
      </c>
      <c r="E1151" s="20" t="s">
        <v>3808</v>
      </c>
      <c r="F1151" s="20" t="s">
        <v>3809</v>
      </c>
      <c r="G1151" s="21">
        <v>15.4</v>
      </c>
      <c r="H1151" s="16">
        <v>26</v>
      </c>
      <c r="I1151" s="16"/>
      <c r="J11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151" s="22"/>
      <c r="L1151" s="23"/>
      <c r="M1151" s="23">
        <f>SUM(Tabela174681012142230322681619252731333624210121416182426283038402481012141620222628303234362426810121424610122426244262628262681026286236[[#This Row],[Saldo no cartão]:[Recarga Pendente]])</f>
        <v>0</v>
      </c>
      <c r="N1151" s="19">
        <f>Tabela174681012142230322681619252731333624210121416182426283038402481012141620222628303234362426810121424610122426244262628262681026286236[[#This Row],[Uso diário]]*2</f>
        <v>30.8</v>
      </c>
      <c r="O1151" s="19">
        <f>Tabela174681012142230322681619252731333624210121416182426283038402481012141620222628303234362426810121424610122426244262628262681026286236[[#This Row],[Total Acumulado]]-P1151</f>
        <v>-77</v>
      </c>
      <c r="P1151" s="48">
        <f>Tabela174681012142230322681619252731333624210121416182426283038402481012141620222628303234362426810121424610122426244262628262681026286236[[#This Row],[Uso diário]]*5</f>
        <v>77</v>
      </c>
      <c r="Q11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1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1" s="25">
        <v>26</v>
      </c>
    </row>
    <row r="1152" spans="1:20" s="26" customFormat="1" x14ac:dyDescent="0.25">
      <c r="A1152" s="16">
        <v>230691</v>
      </c>
      <c r="B1152" s="30" t="s">
        <v>539</v>
      </c>
      <c r="C1152" s="20" t="s">
        <v>650</v>
      </c>
      <c r="D1152" s="20" t="s">
        <v>726</v>
      </c>
      <c r="E1152" s="20" t="s">
        <v>3810</v>
      </c>
      <c r="F1152" s="20" t="s">
        <v>3811</v>
      </c>
      <c r="G1152" s="21">
        <v>13.4</v>
      </c>
      <c r="H1152" s="16">
        <v>26</v>
      </c>
      <c r="I1152" s="16"/>
      <c r="J11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2" s="22"/>
      <c r="L1152" s="23"/>
      <c r="M1152" s="23">
        <f>SUM(Tabela174681012142230322681619252731333624210121416182426283038402481012141620222628303234362426810121424610122426244262628262681026286236[[#This Row],[Saldo no cartão]:[Recarga Pendente]])</f>
        <v>0</v>
      </c>
      <c r="N1152" s="19">
        <f>Tabela174681012142230322681619252731333624210121416182426283038402481012141620222628303234362426810121424610122426244262628262681026286236[[#This Row],[Uso diário]]*2</f>
        <v>26.8</v>
      </c>
      <c r="O1152" s="19">
        <f>Tabela174681012142230322681619252731333624210121416182426283038402481012141620222628303234362426810121424610122426244262628262681026286236[[#This Row],[Total Acumulado]]-P1152</f>
        <v>-67</v>
      </c>
      <c r="P1152" s="48">
        <f>Tabela174681012142230322681619252731333624210121416182426283038402481012141620222628303234362426810121424610122426244262628262681026286236[[#This Row],[Uso diário]]*5</f>
        <v>67</v>
      </c>
      <c r="Q11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2" s="25">
        <v>26</v>
      </c>
    </row>
    <row r="1153" spans="1:20" s="26" customFormat="1" x14ac:dyDescent="0.25">
      <c r="A1153" s="16">
        <v>230709</v>
      </c>
      <c r="B1153" s="30" t="s">
        <v>1519</v>
      </c>
      <c r="C1153" s="20" t="s">
        <v>650</v>
      </c>
      <c r="D1153" s="20" t="s">
        <v>726</v>
      </c>
      <c r="E1153" s="20" t="s">
        <v>3812</v>
      </c>
      <c r="F1153" s="20" t="s">
        <v>3813</v>
      </c>
      <c r="G1153" s="21">
        <v>13.4</v>
      </c>
      <c r="H1153" s="16">
        <v>26</v>
      </c>
      <c r="I1153" s="16"/>
      <c r="J11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3" s="22"/>
      <c r="L1153" s="23"/>
      <c r="M1153" s="23">
        <f>SUM(Tabela174681012142230322681619252731333624210121416182426283038402481012141620222628303234362426810121424610122426244262628262681026286236[[#This Row],[Saldo no cartão]:[Recarga Pendente]])</f>
        <v>0</v>
      </c>
      <c r="N1153" s="19">
        <f>Tabela174681012142230322681619252731333624210121416182426283038402481012141620222628303234362426810121424610122426244262628262681026286236[[#This Row],[Uso diário]]*2</f>
        <v>26.8</v>
      </c>
      <c r="O1153" s="19">
        <f>Tabela174681012142230322681619252731333624210121416182426283038402481012141620222628303234362426810121424610122426244262628262681026286236[[#This Row],[Total Acumulado]]-P1153</f>
        <v>-67</v>
      </c>
      <c r="P1153" s="48">
        <f>Tabela174681012142230322681619252731333624210121416182426283038402481012141620222628303234362426810121424610122426244262628262681026286236[[#This Row],[Uso diário]]*5</f>
        <v>67</v>
      </c>
      <c r="Q11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3" s="25">
        <v>26</v>
      </c>
    </row>
    <row r="1154" spans="1:20" s="26" customFormat="1" x14ac:dyDescent="0.25">
      <c r="A1154" s="16">
        <v>230869</v>
      </c>
      <c r="B1154" s="30" t="s">
        <v>541</v>
      </c>
      <c r="C1154" s="20" t="s">
        <v>650</v>
      </c>
      <c r="D1154" s="20" t="s">
        <v>726</v>
      </c>
      <c r="E1154" s="20" t="s">
        <v>3814</v>
      </c>
      <c r="F1154" s="20" t="s">
        <v>3815</v>
      </c>
      <c r="G1154" s="21">
        <v>13.4</v>
      </c>
      <c r="H1154" s="16">
        <v>26</v>
      </c>
      <c r="I1154" s="16"/>
      <c r="J11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4" s="22"/>
      <c r="L1154" s="23"/>
      <c r="M1154" s="23">
        <f>SUM(Tabela174681012142230322681619252731333624210121416182426283038402481012141620222628303234362426810121424610122426244262628262681026286236[[#This Row],[Saldo no cartão]:[Recarga Pendente]])</f>
        <v>0</v>
      </c>
      <c r="N1154" s="19">
        <f>Tabela174681012142230322681619252731333624210121416182426283038402481012141620222628303234362426810121424610122426244262628262681026286236[[#This Row],[Uso diário]]*2</f>
        <v>26.8</v>
      </c>
      <c r="O1154" s="19">
        <f>Tabela174681012142230322681619252731333624210121416182426283038402481012141620222628303234362426810121424610122426244262628262681026286236[[#This Row],[Total Acumulado]]-P1154</f>
        <v>-67</v>
      </c>
      <c r="P1154" s="48">
        <f>Tabela174681012142230322681619252731333624210121416182426283038402481012141620222628303234362426810121424610122426244262628262681026286236[[#This Row],[Uso diário]]*5</f>
        <v>67</v>
      </c>
      <c r="Q11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4" s="25">
        <v>26</v>
      </c>
    </row>
    <row r="1155" spans="1:20" s="26" customFormat="1" x14ac:dyDescent="0.25">
      <c r="A1155" s="16">
        <v>230913</v>
      </c>
      <c r="B1155" s="30" t="s">
        <v>542</v>
      </c>
      <c r="C1155" s="20" t="s">
        <v>650</v>
      </c>
      <c r="D1155" s="20" t="s">
        <v>726</v>
      </c>
      <c r="E1155" s="20" t="s">
        <v>3816</v>
      </c>
      <c r="F1155" s="20" t="s">
        <v>3817</v>
      </c>
      <c r="G1155" s="21">
        <v>13.4</v>
      </c>
      <c r="H1155" s="16">
        <v>26</v>
      </c>
      <c r="I1155" s="16"/>
      <c r="J11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5" s="22"/>
      <c r="L1155" s="23"/>
      <c r="M1155" s="23">
        <f>SUM(Tabela174681012142230322681619252731333624210121416182426283038402481012141620222628303234362426810121424610122426244262628262681026286236[[#This Row],[Saldo no cartão]:[Recarga Pendente]])</f>
        <v>0</v>
      </c>
      <c r="N1155" s="19">
        <f>Tabela174681012142230322681619252731333624210121416182426283038402481012141620222628303234362426810121424610122426244262628262681026286236[[#This Row],[Uso diário]]*2</f>
        <v>26.8</v>
      </c>
      <c r="O1155" s="19">
        <f>Tabela174681012142230322681619252731333624210121416182426283038402481012141620222628303234362426810121424610122426244262628262681026286236[[#This Row],[Total Acumulado]]-P1155</f>
        <v>-67</v>
      </c>
      <c r="P1155" s="48">
        <f>Tabela174681012142230322681619252731333624210121416182426283038402481012141620222628303234362426810121424610122426244262628262681026286236[[#This Row],[Uso diário]]*5</f>
        <v>67</v>
      </c>
      <c r="Q11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5" s="25">
        <v>26</v>
      </c>
    </row>
    <row r="1156" spans="1:20" s="26" customFormat="1" x14ac:dyDescent="0.25">
      <c r="A1156" s="16">
        <v>231010</v>
      </c>
      <c r="B1156" s="30" t="s">
        <v>543</v>
      </c>
      <c r="C1156" s="20" t="s">
        <v>650</v>
      </c>
      <c r="D1156" s="20" t="s">
        <v>726</v>
      </c>
      <c r="E1156" s="20" t="s">
        <v>3818</v>
      </c>
      <c r="F1156" s="20" t="s">
        <v>3819</v>
      </c>
      <c r="G1156" s="21">
        <v>13.4</v>
      </c>
      <c r="H1156" s="16">
        <v>26</v>
      </c>
      <c r="I1156" s="16"/>
      <c r="J11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6" s="22"/>
      <c r="L1156" s="23"/>
      <c r="M1156" s="23">
        <f>SUM(Tabela174681012142230322681619252731333624210121416182426283038402481012141620222628303234362426810121424610122426244262628262681026286236[[#This Row],[Saldo no cartão]:[Recarga Pendente]])</f>
        <v>0</v>
      </c>
      <c r="N1156" s="19">
        <f>Tabela174681012142230322681619252731333624210121416182426283038402481012141620222628303234362426810121424610122426244262628262681026286236[[#This Row],[Uso diário]]*2</f>
        <v>26.8</v>
      </c>
      <c r="O1156" s="19">
        <f>Tabela174681012142230322681619252731333624210121416182426283038402481012141620222628303234362426810121424610122426244262628262681026286236[[#This Row],[Total Acumulado]]-P1156</f>
        <v>-67</v>
      </c>
      <c r="P1156" s="48">
        <f>Tabela174681012142230322681619252731333624210121416182426283038402481012141620222628303234362426810121424610122426244262628262681026286236[[#This Row],[Uso diário]]*5</f>
        <v>67</v>
      </c>
      <c r="Q11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6" s="25">
        <v>26</v>
      </c>
    </row>
    <row r="1157" spans="1:20" s="26" customFormat="1" x14ac:dyDescent="0.25">
      <c r="A1157" s="16">
        <v>232467</v>
      </c>
      <c r="B1157" s="30" t="s">
        <v>922</v>
      </c>
      <c r="C1157" s="20" t="s">
        <v>650</v>
      </c>
      <c r="D1157" s="20" t="s">
        <v>738</v>
      </c>
      <c r="E1157" s="20" t="s">
        <v>3820</v>
      </c>
      <c r="F1157" s="20" t="s">
        <v>3821</v>
      </c>
      <c r="G1157" s="21">
        <v>13.4</v>
      </c>
      <c r="H1157" s="16">
        <v>26</v>
      </c>
      <c r="I1157" s="16"/>
      <c r="J11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7" s="22"/>
      <c r="L1157" s="23">
        <v>133.6</v>
      </c>
      <c r="M1157" s="23">
        <f>SUM(Tabela174681012142230322681619252731333624210121416182426283038402481012141620222628303234362426810121424610122426244262628262681026286236[[#This Row],[Saldo no cartão]:[Recarga Pendente]])</f>
        <v>133.6</v>
      </c>
      <c r="N1157" s="19">
        <f>Tabela174681012142230322681619252731333624210121416182426283038402481012141620222628303234362426810121424610122426244262628262681026286236[[#This Row],[Uso diário]]*2</f>
        <v>26.8</v>
      </c>
      <c r="O1157" s="19">
        <f>Tabela174681012142230322681619252731333624210121416182426283038402481012141620222628303234362426810121424610122426244262628262681026286236[[#This Row],[Total Acumulado]]-P1157</f>
        <v>66.599999999999994</v>
      </c>
      <c r="P1157" s="48">
        <f>Tabela174681012142230322681619252731333624210121416182426283038402481012141620222628303234362426810121424610122426244262628262681026286236[[#This Row],[Uso diário]]*5</f>
        <v>67</v>
      </c>
      <c r="Q11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66.599999999999994</v>
      </c>
      <c r="R11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281.80000000000007</v>
      </c>
      <c r="S1157" s="18" t="s">
        <v>11</v>
      </c>
      <c r="T1157" s="25">
        <v>26</v>
      </c>
    </row>
    <row r="1158" spans="1:20" s="26" customFormat="1" x14ac:dyDescent="0.25">
      <c r="A1158" s="16">
        <v>232704</v>
      </c>
      <c r="B1158" s="30" t="s">
        <v>1520</v>
      </c>
      <c r="C1158" s="20" t="s">
        <v>650</v>
      </c>
      <c r="D1158" s="20" t="s">
        <v>726</v>
      </c>
      <c r="E1158" s="20" t="s">
        <v>3822</v>
      </c>
      <c r="F1158" s="20" t="s">
        <v>3823</v>
      </c>
      <c r="G1158" s="21">
        <v>13.4</v>
      </c>
      <c r="H1158" s="16">
        <v>26</v>
      </c>
      <c r="I1158" s="16"/>
      <c r="J11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8" s="22"/>
      <c r="L1158" s="23"/>
      <c r="M1158" s="23">
        <f>SUM(Tabela174681012142230322681619252731333624210121416182426283038402481012141620222628303234362426810121424610122426244262628262681026286236[[#This Row],[Saldo no cartão]:[Recarga Pendente]])</f>
        <v>0</v>
      </c>
      <c r="N1158" s="19">
        <f>Tabela174681012142230322681619252731333624210121416182426283038402481012141620222628303234362426810121424610122426244262628262681026286236[[#This Row],[Uso diário]]*2</f>
        <v>26.8</v>
      </c>
      <c r="O1158" s="19">
        <f>Tabela174681012142230322681619252731333624210121416182426283038402481012141620222628303234362426810121424610122426244262628262681026286236[[#This Row],[Total Acumulado]]-P1158</f>
        <v>-67</v>
      </c>
      <c r="P1158" s="48">
        <f>Tabela174681012142230322681619252731333624210121416182426283038402481012141620222628303234362426810121424610122426244262628262681026286236[[#This Row],[Uso diário]]*5</f>
        <v>67</v>
      </c>
      <c r="Q11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8" s="25">
        <v>26</v>
      </c>
    </row>
    <row r="1159" spans="1:20" s="26" customFormat="1" x14ac:dyDescent="0.25">
      <c r="A1159" s="16">
        <v>233543</v>
      </c>
      <c r="B1159" s="30" t="s">
        <v>1112</v>
      </c>
      <c r="C1159" s="20" t="s">
        <v>650</v>
      </c>
      <c r="D1159" s="20" t="s">
        <v>726</v>
      </c>
      <c r="E1159" s="20" t="s">
        <v>3824</v>
      </c>
      <c r="F1159" s="20" t="s">
        <v>3825</v>
      </c>
      <c r="G1159" s="21">
        <v>13.4</v>
      </c>
      <c r="H1159" s="16">
        <v>26</v>
      </c>
      <c r="I1159" s="16"/>
      <c r="J11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59" s="22"/>
      <c r="L1159" s="23"/>
      <c r="M1159" s="23">
        <f>SUM(Tabela174681012142230322681619252731333624210121416182426283038402481012141620222628303234362426810121424610122426244262628262681026286236[[#This Row],[Saldo no cartão]:[Recarga Pendente]])</f>
        <v>0</v>
      </c>
      <c r="N1159" s="19">
        <f>Tabela174681012142230322681619252731333624210121416182426283038402481012141620222628303234362426810121424610122426244262628262681026286236[[#This Row],[Uso diário]]*2</f>
        <v>26.8</v>
      </c>
      <c r="O1159" s="19">
        <f>Tabela174681012142230322681619252731333624210121416182426283038402481012141620222628303234362426810121424610122426244262628262681026286236[[#This Row],[Total Acumulado]]-P1159</f>
        <v>-67</v>
      </c>
      <c r="P1159" s="48">
        <f>Tabela174681012142230322681619252731333624210121416182426283038402481012141620222628303234362426810121424610122426244262628262681026286236[[#This Row],[Uso diário]]*5</f>
        <v>67</v>
      </c>
      <c r="Q11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59" s="25">
        <v>26</v>
      </c>
    </row>
    <row r="1160" spans="1:20" s="26" customFormat="1" x14ac:dyDescent="0.25">
      <c r="A1160" s="16">
        <v>234076</v>
      </c>
      <c r="B1160" s="30" t="s">
        <v>1242</v>
      </c>
      <c r="C1160" s="20" t="s">
        <v>650</v>
      </c>
      <c r="D1160" s="20" t="s">
        <v>726</v>
      </c>
      <c r="E1160" s="20" t="s">
        <v>3826</v>
      </c>
      <c r="F1160" s="20" t="s">
        <v>3827</v>
      </c>
      <c r="G1160" s="21">
        <v>13.4</v>
      </c>
      <c r="H1160" s="16">
        <v>26</v>
      </c>
      <c r="I1160" s="16"/>
      <c r="J11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60" s="22"/>
      <c r="L1160" s="23"/>
      <c r="M1160" s="23">
        <f>SUM(Tabela174681012142230322681619252731333624210121416182426283038402481012141620222628303234362426810121424610122426244262628262681026286236[[#This Row],[Saldo no cartão]:[Recarga Pendente]])</f>
        <v>0</v>
      </c>
      <c r="N1160" s="19">
        <f>Tabela174681012142230322681619252731333624210121416182426283038402481012141620222628303234362426810121424610122426244262628262681026286236[[#This Row],[Uso diário]]*2</f>
        <v>26.8</v>
      </c>
      <c r="O1160" s="19">
        <f>Tabela174681012142230322681619252731333624210121416182426283038402481012141620222628303234362426810121424610122426244262628262681026286236[[#This Row],[Total Acumulado]]-P1160</f>
        <v>-67</v>
      </c>
      <c r="P1160" s="48">
        <f>Tabela174681012142230322681619252731333624210121416182426283038402481012141620222628303234362426810121424610122426244262628262681026286236[[#This Row],[Uso diário]]*5</f>
        <v>67</v>
      </c>
      <c r="Q11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0" s="25">
        <v>26</v>
      </c>
    </row>
    <row r="1161" spans="1:20" s="26" customFormat="1" x14ac:dyDescent="0.25">
      <c r="A1161" s="16">
        <v>6629</v>
      </c>
      <c r="B1161" s="30" t="s">
        <v>544</v>
      </c>
      <c r="C1161" s="20" t="s">
        <v>651</v>
      </c>
      <c r="D1161" s="20" t="s">
        <v>727</v>
      </c>
      <c r="E1161" s="20" t="s">
        <v>3828</v>
      </c>
      <c r="F1161" s="20" t="s">
        <v>3829</v>
      </c>
      <c r="G1161" s="21">
        <v>18.8</v>
      </c>
      <c r="H1161" s="16">
        <v>26</v>
      </c>
      <c r="I1161" s="16"/>
      <c r="J11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161" s="22"/>
      <c r="L1161" s="23"/>
      <c r="M1161" s="23">
        <f>SUM(Tabela174681012142230322681619252731333624210121416182426283038402481012141620222628303234362426810121424610122426244262628262681026286236[[#This Row],[Saldo no cartão]:[Recarga Pendente]])</f>
        <v>0</v>
      </c>
      <c r="N1161" s="19">
        <f>Tabela174681012142230322681619252731333624210121416182426283038402481012141620222628303234362426810121424610122426244262628262681026286236[[#This Row],[Uso diário]]*2</f>
        <v>37.6</v>
      </c>
      <c r="O1161" s="19">
        <f>Tabela174681012142230322681619252731333624210121416182426283038402481012141620222628303234362426810121424610122426244262628262681026286236[[#This Row],[Total Acumulado]]-P1161</f>
        <v>-94</v>
      </c>
      <c r="P1161" s="48">
        <f>Tabela174681012142230322681619252731333624210121416182426283038402481012141620222628303234362426810121424610122426244262628262681026286236[[#This Row],[Uso diário]]*5</f>
        <v>94</v>
      </c>
      <c r="Q11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1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1" s="25">
        <v>26</v>
      </c>
    </row>
    <row r="1162" spans="1:20" s="26" customFormat="1" x14ac:dyDescent="0.25">
      <c r="A1162" s="16">
        <v>216621</v>
      </c>
      <c r="B1162" s="30" t="s">
        <v>1113</v>
      </c>
      <c r="C1162" s="20" t="s">
        <v>651</v>
      </c>
      <c r="D1162" s="20" t="s">
        <v>717</v>
      </c>
      <c r="E1162" s="20" t="s">
        <v>3830</v>
      </c>
      <c r="F1162" s="20" t="s">
        <v>3831</v>
      </c>
      <c r="G1162" s="21">
        <v>13.4</v>
      </c>
      <c r="H1162" s="16">
        <v>16</v>
      </c>
      <c r="I1162" s="16"/>
      <c r="J11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62" s="22"/>
      <c r="L1162" s="23"/>
      <c r="M1162" s="23">
        <f>SUM(Tabela174681012142230322681619252731333624210121416182426283038402481012141620222628303234362426810121424610122426244262628262681026286236[[#This Row],[Saldo no cartão]:[Recarga Pendente]])</f>
        <v>0</v>
      </c>
      <c r="N1162" s="19">
        <f>Tabela174681012142230322681619252731333624210121416182426283038402481012141620222628303234362426810121424610122426244262628262681026286236[[#This Row],[Uso diário]]*2</f>
        <v>26.8</v>
      </c>
      <c r="O1162" s="19">
        <f>Tabela174681012142230322681619252731333624210121416182426283038402481012141620222628303234362426810121424610122426244262628262681026286236[[#This Row],[Total Acumulado]]-P1162</f>
        <v>-67</v>
      </c>
      <c r="P1162" s="48">
        <f>Tabela174681012142230322681619252731333624210121416182426283038402481012141620222628303234362426810121424610122426244262628262681026286236[[#This Row],[Uso diário]]*5</f>
        <v>67</v>
      </c>
      <c r="Q11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2" s="25">
        <v>26</v>
      </c>
    </row>
    <row r="1163" spans="1:20" s="26" customFormat="1" x14ac:dyDescent="0.25">
      <c r="A1163" s="16">
        <v>217014</v>
      </c>
      <c r="B1163" s="30" t="s">
        <v>545</v>
      </c>
      <c r="C1163" s="20" t="s">
        <v>651</v>
      </c>
      <c r="D1163" s="20" t="s">
        <v>719</v>
      </c>
      <c r="E1163" s="20" t="s">
        <v>3832</v>
      </c>
      <c r="F1163" s="20" t="s">
        <v>3833</v>
      </c>
      <c r="G1163" s="21">
        <v>13.4</v>
      </c>
      <c r="H1163" s="16">
        <v>16</v>
      </c>
      <c r="I1163" s="16"/>
      <c r="J11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63" s="22"/>
      <c r="L1163" s="23"/>
      <c r="M1163" s="23">
        <f>SUM(Tabela174681012142230322681619252731333624210121416182426283038402481012141620222628303234362426810121424610122426244262628262681026286236[[#This Row],[Saldo no cartão]:[Recarga Pendente]])</f>
        <v>0</v>
      </c>
      <c r="N1163" s="19">
        <f>Tabela174681012142230322681619252731333624210121416182426283038402481012141620222628303234362426810121424610122426244262628262681026286236[[#This Row],[Uso diário]]*2</f>
        <v>26.8</v>
      </c>
      <c r="O1163" s="19">
        <f>Tabela174681012142230322681619252731333624210121416182426283038402481012141620222628303234362426810121424610122426244262628262681026286236[[#This Row],[Total Acumulado]]-P1163</f>
        <v>-67</v>
      </c>
      <c r="P1163" s="48">
        <f>Tabela174681012142230322681619252731333624210121416182426283038402481012141620222628303234362426810121424610122426244262628262681026286236[[#This Row],[Uso diário]]*5</f>
        <v>67</v>
      </c>
      <c r="Q11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3" s="25">
        <v>26</v>
      </c>
    </row>
    <row r="1164" spans="1:20" s="26" customFormat="1" x14ac:dyDescent="0.25">
      <c r="A1164" s="16">
        <v>219536</v>
      </c>
      <c r="B1164" s="30" t="s">
        <v>546</v>
      </c>
      <c r="C1164" s="20" t="s">
        <v>651</v>
      </c>
      <c r="D1164" s="20" t="s">
        <v>719</v>
      </c>
      <c r="E1164" s="20" t="s">
        <v>3834</v>
      </c>
      <c r="F1164" s="20" t="s">
        <v>3835</v>
      </c>
      <c r="G1164" s="21">
        <v>13.4</v>
      </c>
      <c r="H1164" s="16">
        <v>16</v>
      </c>
      <c r="I1164" s="16"/>
      <c r="J11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64" s="22"/>
      <c r="L1164" s="23"/>
      <c r="M1164" s="23">
        <f>SUM(Tabela174681012142230322681619252731333624210121416182426283038402481012141620222628303234362426810121424610122426244262628262681026286236[[#This Row],[Saldo no cartão]:[Recarga Pendente]])</f>
        <v>0</v>
      </c>
      <c r="N1164" s="19">
        <f>Tabela174681012142230322681619252731333624210121416182426283038402481012141620222628303234362426810121424610122426244262628262681026286236[[#This Row],[Uso diário]]*2</f>
        <v>26.8</v>
      </c>
      <c r="O1164" s="19">
        <f>Tabela174681012142230322681619252731333624210121416182426283038402481012141620222628303234362426810121424610122426244262628262681026286236[[#This Row],[Total Acumulado]]-P1164</f>
        <v>-67</v>
      </c>
      <c r="P1164" s="48">
        <f>Tabela174681012142230322681619252731333624210121416182426283038402481012141620222628303234362426810121424610122426244262628262681026286236[[#This Row],[Uso diário]]*5</f>
        <v>67</v>
      </c>
      <c r="Q11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4" s="25">
        <v>26</v>
      </c>
    </row>
    <row r="1165" spans="1:20" s="26" customFormat="1" x14ac:dyDescent="0.25">
      <c r="A1165" s="16">
        <v>221423</v>
      </c>
      <c r="B1165" s="30" t="s">
        <v>547</v>
      </c>
      <c r="C1165" s="20" t="s">
        <v>651</v>
      </c>
      <c r="D1165" s="20" t="s">
        <v>717</v>
      </c>
      <c r="E1165" s="20" t="s">
        <v>3836</v>
      </c>
      <c r="F1165" s="20" t="s">
        <v>3837</v>
      </c>
      <c r="G1165" s="21">
        <v>13.4</v>
      </c>
      <c r="H1165" s="16">
        <v>16</v>
      </c>
      <c r="I1165" s="16"/>
      <c r="J11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65" s="22"/>
      <c r="L1165" s="23"/>
      <c r="M1165" s="23">
        <f>SUM(Tabela174681012142230322681619252731333624210121416182426283038402481012141620222628303234362426810121424610122426244262628262681026286236[[#This Row],[Saldo no cartão]:[Recarga Pendente]])</f>
        <v>0</v>
      </c>
      <c r="N1165" s="19">
        <f>Tabela174681012142230322681619252731333624210121416182426283038402481012141620222628303234362426810121424610122426244262628262681026286236[[#This Row],[Uso diário]]*2</f>
        <v>26.8</v>
      </c>
      <c r="O1165" s="19">
        <f>Tabela174681012142230322681619252731333624210121416182426283038402481012141620222628303234362426810121424610122426244262628262681026286236[[#This Row],[Total Acumulado]]-P1165</f>
        <v>-67</v>
      </c>
      <c r="P1165" s="48">
        <f>Tabela174681012142230322681619252731333624210121416182426283038402481012141620222628303234362426810121424610122426244262628262681026286236[[#This Row],[Uso diário]]*5</f>
        <v>67</v>
      </c>
      <c r="Q11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5" s="25">
        <v>26</v>
      </c>
    </row>
    <row r="1166" spans="1:20" s="26" customFormat="1" x14ac:dyDescent="0.25">
      <c r="A1166" s="16">
        <v>222907</v>
      </c>
      <c r="B1166" s="30" t="s">
        <v>1114</v>
      </c>
      <c r="C1166" s="20" t="s">
        <v>651</v>
      </c>
      <c r="D1166" s="20" t="s">
        <v>719</v>
      </c>
      <c r="E1166" s="20" t="s">
        <v>3838</v>
      </c>
      <c r="F1166" s="20" t="s">
        <v>3839</v>
      </c>
      <c r="G1166" s="21">
        <v>18.8</v>
      </c>
      <c r="H1166" s="16">
        <v>16</v>
      </c>
      <c r="I1166" s="16"/>
      <c r="J11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166" s="22"/>
      <c r="L1166" s="23"/>
      <c r="M1166" s="23">
        <f>SUM(Tabela174681012142230322681619252731333624210121416182426283038402481012141620222628303234362426810121424610122426244262628262681026286236[[#This Row],[Saldo no cartão]:[Recarga Pendente]])</f>
        <v>0</v>
      </c>
      <c r="N1166" s="19">
        <f>Tabela174681012142230322681619252731333624210121416182426283038402481012141620222628303234362426810121424610122426244262628262681026286236[[#This Row],[Uso diário]]*2</f>
        <v>37.6</v>
      </c>
      <c r="O1166" s="19">
        <f>Tabela174681012142230322681619252731333624210121416182426283038402481012141620222628303234362426810121424610122426244262628262681026286236[[#This Row],[Total Acumulado]]-P1166</f>
        <v>-94</v>
      </c>
      <c r="P1166" s="48">
        <f>Tabela174681012142230322681619252731333624210121416182426283038402481012141620222628303234362426810121424610122426244262628262681026286236[[#This Row],[Uso diário]]*5</f>
        <v>94</v>
      </c>
      <c r="Q11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1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6" s="25">
        <v>26</v>
      </c>
    </row>
    <row r="1167" spans="1:20" s="26" customFormat="1" x14ac:dyDescent="0.25">
      <c r="A1167" s="16">
        <v>223112</v>
      </c>
      <c r="B1167" s="30" t="s">
        <v>1243</v>
      </c>
      <c r="C1167" s="20" t="s">
        <v>651</v>
      </c>
      <c r="D1167" s="20" t="s">
        <v>717</v>
      </c>
      <c r="E1167" s="20" t="s">
        <v>3840</v>
      </c>
      <c r="F1167" s="20" t="s">
        <v>3841</v>
      </c>
      <c r="G1167" s="21">
        <v>14.2</v>
      </c>
      <c r="H1167" s="16">
        <v>16</v>
      </c>
      <c r="I1167" s="16"/>
      <c r="J11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227.2</v>
      </c>
      <c r="K1167" s="22"/>
      <c r="L1167" s="23"/>
      <c r="M1167" s="23">
        <f>SUM(Tabela174681012142230322681619252731333624210121416182426283038402481012141620222628303234362426810121424610122426244262628262681026286236[[#This Row],[Saldo no cartão]:[Recarga Pendente]])</f>
        <v>0</v>
      </c>
      <c r="N1167" s="19">
        <f>Tabela174681012142230322681619252731333624210121416182426283038402481012141620222628303234362426810121424610122426244262628262681026286236[[#This Row],[Uso diário]]*2</f>
        <v>28.4</v>
      </c>
      <c r="O1167" s="19">
        <f>Tabela174681012142230322681619252731333624210121416182426283038402481012141620222628303234362426810121424610122426244262628262681026286236[[#This Row],[Total Acumulado]]-P1167</f>
        <v>-71</v>
      </c>
      <c r="P1167" s="48">
        <f>Tabela174681012142230322681619252731333624210121416182426283038402481012141620222628303234362426810121424610122426244262628262681026286236[[#This Row],[Uso diário]]*5</f>
        <v>71</v>
      </c>
      <c r="Q11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227.2</v>
      </c>
      <c r="S11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7" s="25">
        <v>26</v>
      </c>
    </row>
    <row r="1168" spans="1:20" s="26" customFormat="1" x14ac:dyDescent="0.25">
      <c r="A1168" s="16">
        <v>224150</v>
      </c>
      <c r="B1168" s="30" t="s">
        <v>1521</v>
      </c>
      <c r="C1168" s="20" t="s">
        <v>651</v>
      </c>
      <c r="D1168" s="20" t="s">
        <v>719</v>
      </c>
      <c r="E1168" s="20" t="s">
        <v>3842</v>
      </c>
      <c r="F1168" s="20" t="s">
        <v>3843</v>
      </c>
      <c r="G1168" s="21">
        <v>13.4</v>
      </c>
      <c r="H1168" s="16">
        <v>16</v>
      </c>
      <c r="I1168" s="16"/>
      <c r="J11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68" s="22"/>
      <c r="L1168" s="23"/>
      <c r="M1168" s="23">
        <f>SUM(Tabela174681012142230322681619252731333624210121416182426283038402481012141620222628303234362426810121424610122426244262628262681026286236[[#This Row],[Saldo no cartão]:[Recarga Pendente]])</f>
        <v>0</v>
      </c>
      <c r="N1168" s="19">
        <f>Tabela174681012142230322681619252731333624210121416182426283038402481012141620222628303234362426810121424610122426244262628262681026286236[[#This Row],[Uso diário]]*2</f>
        <v>26.8</v>
      </c>
      <c r="O1168" s="19">
        <f>Tabela174681012142230322681619252731333624210121416182426283038402481012141620222628303234362426810121424610122426244262628262681026286236[[#This Row],[Total Acumulado]]-P1168</f>
        <v>-67</v>
      </c>
      <c r="P1168" s="48">
        <f>Tabela174681012142230322681619252731333624210121416182426283038402481012141620222628303234362426810121424610122426244262628262681026286236[[#This Row],[Uso diário]]*5</f>
        <v>67</v>
      </c>
      <c r="Q11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8" s="25">
        <v>26</v>
      </c>
    </row>
    <row r="1169" spans="1:20" s="26" customFormat="1" x14ac:dyDescent="0.25">
      <c r="A1169" s="16">
        <v>224485</v>
      </c>
      <c r="B1169" s="30" t="s">
        <v>550</v>
      </c>
      <c r="C1169" s="20" t="s">
        <v>651</v>
      </c>
      <c r="D1169" s="20" t="s">
        <v>719</v>
      </c>
      <c r="E1169" s="20" t="s">
        <v>3844</v>
      </c>
      <c r="F1169" s="20" t="s">
        <v>3845</v>
      </c>
      <c r="G1169" s="21">
        <v>18.8</v>
      </c>
      <c r="H1169" s="16">
        <v>16</v>
      </c>
      <c r="I1169" s="16">
        <v>2</v>
      </c>
      <c r="J11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263.2</v>
      </c>
      <c r="K1169" s="22"/>
      <c r="L1169" s="23"/>
      <c r="M1169" s="23">
        <f>SUM(Tabela174681012142230322681619252731333624210121416182426283038402481012141620222628303234362426810121424610122426244262628262681026286236[[#This Row],[Saldo no cartão]:[Recarga Pendente]])</f>
        <v>0</v>
      </c>
      <c r="N1169" s="19">
        <f>Tabela174681012142230322681619252731333624210121416182426283038402481012141620222628303234362426810121424610122426244262628262681026286236[[#This Row],[Uso diário]]*2</f>
        <v>37.6</v>
      </c>
      <c r="O1169" s="19">
        <f>Tabela174681012142230322681619252731333624210121416182426283038402481012141620222628303234362426810121424610122426244262628262681026286236[[#This Row],[Total Acumulado]]-P1169</f>
        <v>-94</v>
      </c>
      <c r="P1169" s="48">
        <f>Tabela174681012142230322681619252731333624210121416182426283038402481012141620222628303234362426810121424610122426244262628262681026286236[[#This Row],[Uso diário]]*5</f>
        <v>94</v>
      </c>
      <c r="Q11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263.2</v>
      </c>
      <c r="S11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69" s="25">
        <v>26</v>
      </c>
    </row>
    <row r="1170" spans="1:20" s="26" customFormat="1" x14ac:dyDescent="0.25">
      <c r="A1170" s="16">
        <v>224710</v>
      </c>
      <c r="B1170" s="30" t="s">
        <v>551</v>
      </c>
      <c r="C1170" s="20" t="s">
        <v>651</v>
      </c>
      <c r="D1170" s="20" t="s">
        <v>717</v>
      </c>
      <c r="E1170" s="20" t="s">
        <v>3846</v>
      </c>
      <c r="F1170" s="20" t="s">
        <v>3847</v>
      </c>
      <c r="G1170" s="21">
        <v>13.4</v>
      </c>
      <c r="H1170" s="16">
        <v>16</v>
      </c>
      <c r="I1170" s="16"/>
      <c r="J11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70" s="22"/>
      <c r="L1170" s="23"/>
      <c r="M1170" s="23">
        <f>SUM(Tabela174681012142230322681619252731333624210121416182426283038402481012141620222628303234362426810121424610122426244262628262681026286236[[#This Row],[Saldo no cartão]:[Recarga Pendente]])</f>
        <v>0</v>
      </c>
      <c r="N1170" s="19">
        <f>Tabela174681012142230322681619252731333624210121416182426283038402481012141620222628303234362426810121424610122426244262628262681026286236[[#This Row],[Uso diário]]*2</f>
        <v>26.8</v>
      </c>
      <c r="O1170" s="19">
        <f>Tabela174681012142230322681619252731333624210121416182426283038402481012141620222628303234362426810121424610122426244262628262681026286236[[#This Row],[Total Acumulado]]-P1170</f>
        <v>-67</v>
      </c>
      <c r="P1170" s="48">
        <f>Tabela174681012142230322681619252731333624210121416182426283038402481012141620222628303234362426810121424610122426244262628262681026286236[[#This Row],[Uso diário]]*5</f>
        <v>67</v>
      </c>
      <c r="Q11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0" s="25">
        <v>26</v>
      </c>
    </row>
    <row r="1171" spans="1:20" s="26" customFormat="1" x14ac:dyDescent="0.25">
      <c r="A1171" s="16">
        <v>224954</v>
      </c>
      <c r="B1171" s="30" t="s">
        <v>552</v>
      </c>
      <c r="C1171" s="20" t="s">
        <v>651</v>
      </c>
      <c r="D1171" s="20" t="s">
        <v>717</v>
      </c>
      <c r="E1171" s="20" t="s">
        <v>3848</v>
      </c>
      <c r="F1171" s="20" t="s">
        <v>3849</v>
      </c>
      <c r="G1171" s="21">
        <v>13.4</v>
      </c>
      <c r="H1171" s="16">
        <v>16</v>
      </c>
      <c r="I1171" s="16"/>
      <c r="J11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71" s="22"/>
      <c r="L1171" s="23"/>
      <c r="M1171" s="23">
        <f>SUM(Tabela174681012142230322681619252731333624210121416182426283038402481012141620222628303234362426810121424610122426244262628262681026286236[[#This Row],[Saldo no cartão]:[Recarga Pendente]])</f>
        <v>0</v>
      </c>
      <c r="N1171" s="19">
        <f>Tabela174681012142230322681619252731333624210121416182426283038402481012141620222628303234362426810121424610122426244262628262681026286236[[#This Row],[Uso diário]]*2</f>
        <v>26.8</v>
      </c>
      <c r="O1171" s="19">
        <f>Tabela174681012142230322681619252731333624210121416182426283038402481012141620222628303234362426810121424610122426244262628262681026286236[[#This Row],[Total Acumulado]]-P1171</f>
        <v>-67</v>
      </c>
      <c r="P1171" s="48">
        <f>Tabela174681012142230322681619252731333624210121416182426283038402481012141620222628303234362426810121424610122426244262628262681026286236[[#This Row],[Uso diário]]*5</f>
        <v>67</v>
      </c>
      <c r="Q11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1" s="25">
        <v>26</v>
      </c>
    </row>
    <row r="1172" spans="1:20" s="26" customFormat="1" x14ac:dyDescent="0.25">
      <c r="A1172" s="16">
        <v>228687</v>
      </c>
      <c r="B1172" s="30" t="s">
        <v>1244</v>
      </c>
      <c r="C1172" s="20" t="s">
        <v>651</v>
      </c>
      <c r="D1172" s="20" t="s">
        <v>719</v>
      </c>
      <c r="E1172" s="20" t="s">
        <v>3850</v>
      </c>
      <c r="F1172" s="20" t="s">
        <v>3851</v>
      </c>
      <c r="G1172" s="21">
        <v>13.4</v>
      </c>
      <c r="H1172" s="16">
        <v>16</v>
      </c>
      <c r="I1172" s="16"/>
      <c r="J11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72" s="22"/>
      <c r="L1172" s="23"/>
      <c r="M1172" s="23">
        <f>SUM(Tabela174681012142230322681619252731333624210121416182426283038402481012141620222628303234362426810121424610122426244262628262681026286236[[#This Row],[Saldo no cartão]:[Recarga Pendente]])</f>
        <v>0</v>
      </c>
      <c r="N1172" s="19">
        <f>Tabela174681012142230322681619252731333624210121416182426283038402481012141620222628303234362426810121424610122426244262628262681026286236[[#This Row],[Uso diário]]*2</f>
        <v>26.8</v>
      </c>
      <c r="O1172" s="19">
        <f>Tabela174681012142230322681619252731333624210121416182426283038402481012141620222628303234362426810121424610122426244262628262681026286236[[#This Row],[Total Acumulado]]-P1172</f>
        <v>-67</v>
      </c>
      <c r="P1172" s="48">
        <f>Tabela174681012142230322681619252731333624210121416182426283038402481012141620222628303234362426810121424610122426244262628262681026286236[[#This Row],[Uso diário]]*5</f>
        <v>67</v>
      </c>
      <c r="Q11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2" s="25">
        <v>26</v>
      </c>
    </row>
    <row r="1173" spans="1:20" s="26" customFormat="1" x14ac:dyDescent="0.25">
      <c r="A1173" s="16">
        <v>228921</v>
      </c>
      <c r="B1173" s="30" t="s">
        <v>553</v>
      </c>
      <c r="C1173" s="20" t="s">
        <v>651</v>
      </c>
      <c r="D1173" s="20" t="s">
        <v>719</v>
      </c>
      <c r="E1173" s="20" t="s">
        <v>3852</v>
      </c>
      <c r="F1173" s="20" t="s">
        <v>3853</v>
      </c>
      <c r="G1173" s="21">
        <v>18.8</v>
      </c>
      <c r="H1173" s="16">
        <v>16</v>
      </c>
      <c r="I1173" s="16">
        <v>1</v>
      </c>
      <c r="J11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282</v>
      </c>
      <c r="K1173" s="22"/>
      <c r="L1173" s="23"/>
      <c r="M1173" s="23">
        <f>SUM(Tabela174681012142230322681619252731333624210121416182426283038402481012141620222628303234362426810121424610122426244262628262681026286236[[#This Row],[Saldo no cartão]:[Recarga Pendente]])</f>
        <v>0</v>
      </c>
      <c r="N1173" s="19">
        <f>Tabela174681012142230322681619252731333624210121416182426283038402481012141620222628303234362426810121424610122426244262628262681026286236[[#This Row],[Uso diário]]*2</f>
        <v>37.6</v>
      </c>
      <c r="O1173" s="19">
        <f>Tabela174681012142230322681619252731333624210121416182426283038402481012141620222628303234362426810121424610122426244262628262681026286236[[#This Row],[Total Acumulado]]-P1173</f>
        <v>-94</v>
      </c>
      <c r="P1173" s="48">
        <f>Tabela174681012142230322681619252731333624210121416182426283038402481012141620222628303234362426810121424610122426244262628262681026286236[[#This Row],[Uso diário]]*5</f>
        <v>94</v>
      </c>
      <c r="Q11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282</v>
      </c>
      <c r="S11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3" s="25">
        <v>26</v>
      </c>
    </row>
    <row r="1174" spans="1:20" s="26" customFormat="1" x14ac:dyDescent="0.25">
      <c r="A1174" s="16">
        <v>229281</v>
      </c>
      <c r="B1174" s="30" t="s">
        <v>554</v>
      </c>
      <c r="C1174" s="20" t="s">
        <v>651</v>
      </c>
      <c r="D1174" s="20" t="s">
        <v>719</v>
      </c>
      <c r="E1174" s="20" t="s">
        <v>3854</v>
      </c>
      <c r="F1174" s="20" t="s">
        <v>3855</v>
      </c>
      <c r="G1174" s="21">
        <v>13.4</v>
      </c>
      <c r="H1174" s="16">
        <v>16</v>
      </c>
      <c r="I1174" s="16"/>
      <c r="J11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74" s="22"/>
      <c r="L1174" s="23">
        <v>41.65</v>
      </c>
      <c r="M1174" s="23">
        <f>SUM(Tabela174681012142230322681619252731333624210121416182426283038402481012141620222628303234362426810121424610122426244262628262681026286236[[#This Row],[Saldo no cartão]:[Recarga Pendente]])</f>
        <v>41.65</v>
      </c>
      <c r="N1174" s="19">
        <f>Tabela174681012142230322681619252731333624210121416182426283038402481012141620222628303234362426810121424610122426244262628262681026286236[[#This Row],[Uso diário]]*2</f>
        <v>26.8</v>
      </c>
      <c r="O1174" s="19">
        <f>Tabela174681012142230322681619252731333624210121416182426283038402481012141620222628303234362426810121424610122426244262628262681026286236[[#This Row],[Total Acumulado]]-P1174</f>
        <v>-25.35</v>
      </c>
      <c r="P1174" s="48">
        <f>Tabela174681012142230322681619252731333624210121416182426283038402481012141620222628303234362426810121424610122426244262628262681026286236[[#This Row],[Uso diário]]*5</f>
        <v>67</v>
      </c>
      <c r="Q11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4" s="25">
        <v>26</v>
      </c>
    </row>
    <row r="1175" spans="1:20" s="26" customFormat="1" x14ac:dyDescent="0.25">
      <c r="A1175" s="16">
        <v>229289</v>
      </c>
      <c r="B1175" s="30" t="s">
        <v>555</v>
      </c>
      <c r="C1175" s="20" t="s">
        <v>651</v>
      </c>
      <c r="D1175" s="20" t="s">
        <v>717</v>
      </c>
      <c r="E1175" s="20" t="s">
        <v>3856</v>
      </c>
      <c r="F1175" s="20" t="s">
        <v>3857</v>
      </c>
      <c r="G1175" s="21">
        <v>18.8</v>
      </c>
      <c r="H1175" s="16">
        <v>16</v>
      </c>
      <c r="I1175" s="16"/>
      <c r="J11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175" s="22"/>
      <c r="L1175" s="23"/>
      <c r="M1175" s="23">
        <f>SUM(Tabela174681012142230322681619252731333624210121416182426283038402481012141620222628303234362426810121424610122426244262628262681026286236[[#This Row],[Saldo no cartão]:[Recarga Pendente]])</f>
        <v>0</v>
      </c>
      <c r="N1175" s="19">
        <f>Tabela174681012142230322681619252731333624210121416182426283038402481012141620222628303234362426810121424610122426244262628262681026286236[[#This Row],[Uso diário]]*2</f>
        <v>37.6</v>
      </c>
      <c r="O1175" s="19">
        <f>Tabela174681012142230322681619252731333624210121416182426283038402481012141620222628303234362426810121424610122426244262628262681026286236[[#This Row],[Total Acumulado]]-P1175</f>
        <v>-94</v>
      </c>
      <c r="P1175" s="48">
        <f>Tabela174681012142230322681619252731333624210121416182426283038402481012141620222628303234362426810121424610122426244262628262681026286236[[#This Row],[Uso diário]]*5</f>
        <v>94</v>
      </c>
      <c r="Q11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1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5" s="25">
        <v>26</v>
      </c>
    </row>
    <row r="1176" spans="1:20" s="26" customFormat="1" x14ac:dyDescent="0.25">
      <c r="A1176" s="16">
        <v>229553</v>
      </c>
      <c r="B1176" s="30" t="s">
        <v>233</v>
      </c>
      <c r="C1176" s="20" t="s">
        <v>651</v>
      </c>
      <c r="D1176" s="20" t="s">
        <v>719</v>
      </c>
      <c r="E1176" s="20" t="s">
        <v>3858</v>
      </c>
      <c r="F1176" s="20" t="s">
        <v>3859</v>
      </c>
      <c r="G1176" s="21">
        <v>13.4</v>
      </c>
      <c r="H1176" s="16">
        <v>16</v>
      </c>
      <c r="I1176" s="16"/>
      <c r="J11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76" s="22"/>
      <c r="L1176" s="23"/>
      <c r="M1176" s="23">
        <f>SUM(Tabela174681012142230322681619252731333624210121416182426283038402481012141620222628303234362426810121424610122426244262628262681026286236[[#This Row],[Saldo no cartão]:[Recarga Pendente]])</f>
        <v>0</v>
      </c>
      <c r="N1176" s="19">
        <f>Tabela174681012142230322681619252731333624210121416182426283038402481012141620222628303234362426810121424610122426244262628262681026286236[[#This Row],[Uso diário]]*2</f>
        <v>26.8</v>
      </c>
      <c r="O1176" s="19">
        <f>Tabela174681012142230322681619252731333624210121416182426283038402481012141620222628303234362426810121424610122426244262628262681026286236[[#This Row],[Total Acumulado]]-P1176</f>
        <v>-67</v>
      </c>
      <c r="P1176" s="48">
        <f>Tabela174681012142230322681619252731333624210121416182426283038402481012141620222628303234362426810121424610122426244262628262681026286236[[#This Row],[Uso diário]]*5</f>
        <v>67</v>
      </c>
      <c r="Q11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6" s="25">
        <v>26</v>
      </c>
    </row>
    <row r="1177" spans="1:20" s="26" customFormat="1" x14ac:dyDescent="0.25">
      <c r="A1177" s="16">
        <v>229577</v>
      </c>
      <c r="B1177" s="30" t="s">
        <v>454</v>
      </c>
      <c r="C1177" s="20" t="s">
        <v>651</v>
      </c>
      <c r="D1177" s="20" t="s">
        <v>719</v>
      </c>
      <c r="E1177" s="20" t="s">
        <v>3860</v>
      </c>
      <c r="F1177" s="20" t="s">
        <v>3861</v>
      </c>
      <c r="G1177" s="21">
        <v>13.4</v>
      </c>
      <c r="H1177" s="16">
        <v>16</v>
      </c>
      <c r="I1177" s="16"/>
      <c r="J11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77" s="22"/>
      <c r="L1177" s="23"/>
      <c r="M1177" s="23">
        <f>SUM(Tabela174681012142230322681619252731333624210121416182426283038402481012141620222628303234362426810121424610122426244262628262681026286236[[#This Row],[Saldo no cartão]:[Recarga Pendente]])</f>
        <v>0</v>
      </c>
      <c r="N1177" s="19">
        <f>Tabela174681012142230322681619252731333624210121416182426283038402481012141620222628303234362426810121424610122426244262628262681026286236[[#This Row],[Uso diário]]*2</f>
        <v>26.8</v>
      </c>
      <c r="O1177" s="19">
        <f>Tabela174681012142230322681619252731333624210121416182426283038402481012141620222628303234362426810121424610122426244262628262681026286236[[#This Row],[Total Acumulado]]-P1177</f>
        <v>-67</v>
      </c>
      <c r="P1177" s="48">
        <f>Tabela174681012142230322681619252731333624210121416182426283038402481012141620222628303234362426810121424610122426244262628262681026286236[[#This Row],[Uso diário]]*5</f>
        <v>67</v>
      </c>
      <c r="Q11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7" s="25">
        <v>26</v>
      </c>
    </row>
    <row r="1178" spans="1:20" s="26" customFormat="1" x14ac:dyDescent="0.25">
      <c r="A1178" s="16">
        <v>230385</v>
      </c>
      <c r="B1178" s="30" t="s">
        <v>556</v>
      </c>
      <c r="C1178" s="20" t="s">
        <v>651</v>
      </c>
      <c r="D1178" s="20" t="s">
        <v>719</v>
      </c>
      <c r="E1178" s="20" t="s">
        <v>3862</v>
      </c>
      <c r="F1178" s="20" t="s">
        <v>3863</v>
      </c>
      <c r="G1178" s="21">
        <v>18.8</v>
      </c>
      <c r="H1178" s="16">
        <v>16</v>
      </c>
      <c r="I1178" s="16"/>
      <c r="J11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178" s="22"/>
      <c r="L1178" s="23"/>
      <c r="M1178" s="23">
        <f>SUM(Tabela174681012142230322681619252731333624210121416182426283038402481012141620222628303234362426810121424610122426244262628262681026286236[[#This Row],[Saldo no cartão]:[Recarga Pendente]])</f>
        <v>0</v>
      </c>
      <c r="N1178" s="19">
        <f>Tabela174681012142230322681619252731333624210121416182426283038402481012141620222628303234362426810121424610122426244262628262681026286236[[#This Row],[Uso diário]]*2</f>
        <v>37.6</v>
      </c>
      <c r="O1178" s="19">
        <f>Tabela174681012142230322681619252731333624210121416182426283038402481012141620222628303234362426810121424610122426244262628262681026286236[[#This Row],[Total Acumulado]]-P1178</f>
        <v>-94</v>
      </c>
      <c r="P1178" s="48">
        <f>Tabela174681012142230322681619252731333624210121416182426283038402481012141620222628303234362426810121424610122426244262628262681026286236[[#This Row],[Uso diário]]*5</f>
        <v>94</v>
      </c>
      <c r="Q11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1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8" s="25">
        <v>26</v>
      </c>
    </row>
    <row r="1179" spans="1:20" s="26" customFormat="1" x14ac:dyDescent="0.25">
      <c r="A1179" s="16">
        <v>230386</v>
      </c>
      <c r="B1179" s="30" t="s">
        <v>557</v>
      </c>
      <c r="C1179" s="20" t="s">
        <v>651</v>
      </c>
      <c r="D1179" s="20" t="s">
        <v>719</v>
      </c>
      <c r="E1179" s="20" t="s">
        <v>3864</v>
      </c>
      <c r="F1179" s="20" t="s">
        <v>3865</v>
      </c>
      <c r="G1179" s="21">
        <v>18.8</v>
      </c>
      <c r="H1179" s="16">
        <v>16</v>
      </c>
      <c r="I1179" s="16"/>
      <c r="J11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179" s="22"/>
      <c r="L1179" s="23"/>
      <c r="M1179" s="23">
        <f>SUM(Tabela174681012142230322681619252731333624210121416182426283038402481012141620222628303234362426810121424610122426244262628262681026286236[[#This Row],[Saldo no cartão]:[Recarga Pendente]])</f>
        <v>0</v>
      </c>
      <c r="N1179" s="19">
        <f>Tabela174681012142230322681619252731333624210121416182426283038402481012141620222628303234362426810121424610122426244262628262681026286236[[#This Row],[Uso diário]]*2</f>
        <v>37.6</v>
      </c>
      <c r="O1179" s="19">
        <f>Tabela174681012142230322681619252731333624210121416182426283038402481012141620222628303234362426810121424610122426244262628262681026286236[[#This Row],[Total Acumulado]]-P1179</f>
        <v>-94</v>
      </c>
      <c r="P1179" s="48">
        <f>Tabela174681012142230322681619252731333624210121416182426283038402481012141620222628303234362426810121424610122426244262628262681026286236[[#This Row],[Uso diário]]*5</f>
        <v>94</v>
      </c>
      <c r="Q11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1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79" s="25">
        <v>26</v>
      </c>
    </row>
    <row r="1180" spans="1:20" s="26" customFormat="1" x14ac:dyDescent="0.25">
      <c r="A1180" s="16">
        <v>230501</v>
      </c>
      <c r="B1180" s="30" t="s">
        <v>193</v>
      </c>
      <c r="C1180" s="20" t="s">
        <v>651</v>
      </c>
      <c r="D1180" s="20" t="s">
        <v>747</v>
      </c>
      <c r="E1180" s="20" t="s">
        <v>3866</v>
      </c>
      <c r="F1180" s="20" t="s">
        <v>3867</v>
      </c>
      <c r="G1180" s="21">
        <v>13.4</v>
      </c>
      <c r="H1180" s="16">
        <v>26</v>
      </c>
      <c r="I1180" s="16"/>
      <c r="J11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180" s="22"/>
      <c r="L1180" s="23"/>
      <c r="M1180" s="23">
        <f>SUM(Tabela174681012142230322681619252731333624210121416182426283038402481012141620222628303234362426810121424610122426244262628262681026286236[[#This Row],[Saldo no cartão]:[Recarga Pendente]])</f>
        <v>0</v>
      </c>
      <c r="N1180" s="19">
        <f>Tabela174681012142230322681619252731333624210121416182426283038402481012141620222628303234362426810121424610122426244262628262681026286236[[#This Row],[Uso diário]]*2</f>
        <v>26.8</v>
      </c>
      <c r="O1180" s="19">
        <f>Tabela174681012142230322681619252731333624210121416182426283038402481012141620222628303234362426810121424610122426244262628262681026286236[[#This Row],[Total Acumulado]]-P1180</f>
        <v>-67</v>
      </c>
      <c r="P1180" s="48">
        <f>Tabela174681012142230322681619252731333624210121416182426283038402481012141620222628303234362426810121424610122426244262628262681026286236[[#This Row],[Uso diário]]*5</f>
        <v>67</v>
      </c>
      <c r="Q11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1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0" s="25">
        <v>26</v>
      </c>
    </row>
    <row r="1181" spans="1:20" s="26" customFormat="1" x14ac:dyDescent="0.25">
      <c r="A1181" s="16">
        <v>230714</v>
      </c>
      <c r="B1181" s="30" t="s">
        <v>1522</v>
      </c>
      <c r="C1181" s="20" t="s">
        <v>651</v>
      </c>
      <c r="D1181" s="20" t="s">
        <v>719</v>
      </c>
      <c r="E1181" s="20" t="s">
        <v>3868</v>
      </c>
      <c r="F1181" s="20" t="s">
        <v>3869</v>
      </c>
      <c r="G1181" s="21">
        <v>13.4</v>
      </c>
      <c r="H1181" s="16">
        <v>16</v>
      </c>
      <c r="I1181" s="16"/>
      <c r="J11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1" s="22"/>
      <c r="L1181" s="23"/>
      <c r="M1181" s="23">
        <f>SUM(Tabela174681012142230322681619252731333624210121416182426283038402481012141620222628303234362426810121424610122426244262628262681026286236[[#This Row],[Saldo no cartão]:[Recarga Pendente]])</f>
        <v>0</v>
      </c>
      <c r="N1181" s="19">
        <f>Tabela174681012142230322681619252731333624210121416182426283038402481012141620222628303234362426810121424610122426244262628262681026286236[[#This Row],[Uso diário]]*2</f>
        <v>26.8</v>
      </c>
      <c r="O1181" s="19">
        <f>Tabela174681012142230322681619252731333624210121416182426283038402481012141620222628303234362426810121424610122426244262628262681026286236[[#This Row],[Total Acumulado]]-P1181</f>
        <v>-67</v>
      </c>
      <c r="P1181" s="48">
        <f>Tabela174681012142230322681619252731333624210121416182426283038402481012141620222628303234362426810121424610122426244262628262681026286236[[#This Row],[Uso diário]]*5</f>
        <v>67</v>
      </c>
      <c r="Q11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1" s="25">
        <v>26</v>
      </c>
    </row>
    <row r="1182" spans="1:20" s="26" customFormat="1" x14ac:dyDescent="0.25">
      <c r="A1182" s="16">
        <v>230715</v>
      </c>
      <c r="B1182" s="30" t="s">
        <v>558</v>
      </c>
      <c r="C1182" s="20" t="s">
        <v>651</v>
      </c>
      <c r="D1182" s="20" t="s">
        <v>719</v>
      </c>
      <c r="E1182" s="20" t="s">
        <v>3870</v>
      </c>
      <c r="F1182" s="20" t="s">
        <v>3871</v>
      </c>
      <c r="G1182" s="21">
        <v>13.4</v>
      </c>
      <c r="H1182" s="16">
        <v>16</v>
      </c>
      <c r="I1182" s="16"/>
      <c r="J11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2" s="22"/>
      <c r="L1182" s="23"/>
      <c r="M1182" s="23">
        <f>SUM(Tabela174681012142230322681619252731333624210121416182426283038402481012141620222628303234362426810121424610122426244262628262681026286236[[#This Row],[Saldo no cartão]:[Recarga Pendente]])</f>
        <v>0</v>
      </c>
      <c r="N1182" s="19">
        <f>Tabela174681012142230322681619252731333624210121416182426283038402481012141620222628303234362426810121424610122426244262628262681026286236[[#This Row],[Uso diário]]*2</f>
        <v>26.8</v>
      </c>
      <c r="O1182" s="19">
        <f>Tabela174681012142230322681619252731333624210121416182426283038402481012141620222628303234362426810121424610122426244262628262681026286236[[#This Row],[Total Acumulado]]-P1182</f>
        <v>-67</v>
      </c>
      <c r="P1182" s="48">
        <f>Tabela174681012142230322681619252731333624210121416182426283038402481012141620222628303234362426810121424610122426244262628262681026286236[[#This Row],[Uso diário]]*5</f>
        <v>67</v>
      </c>
      <c r="Q11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2" s="25">
        <v>26</v>
      </c>
    </row>
    <row r="1183" spans="1:20" s="26" customFormat="1" x14ac:dyDescent="0.25">
      <c r="A1183" s="16">
        <v>230717</v>
      </c>
      <c r="B1183" s="30" t="s">
        <v>950</v>
      </c>
      <c r="C1183" s="20" t="s">
        <v>651</v>
      </c>
      <c r="D1183" s="20" t="s">
        <v>719</v>
      </c>
      <c r="E1183" s="20" t="s">
        <v>3872</v>
      </c>
      <c r="F1183" s="20" t="s">
        <v>3873</v>
      </c>
      <c r="G1183" s="21">
        <v>13.4</v>
      </c>
      <c r="H1183" s="16">
        <v>16</v>
      </c>
      <c r="I1183" s="16"/>
      <c r="J11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3" s="22"/>
      <c r="L1183" s="23"/>
      <c r="M1183" s="23">
        <f>SUM(Tabela174681012142230322681619252731333624210121416182426283038402481012141620222628303234362426810121424610122426244262628262681026286236[[#This Row],[Saldo no cartão]:[Recarga Pendente]])</f>
        <v>0</v>
      </c>
      <c r="N1183" s="19">
        <f>Tabela174681012142230322681619252731333624210121416182426283038402481012141620222628303234362426810121424610122426244262628262681026286236[[#This Row],[Uso diário]]*2</f>
        <v>26.8</v>
      </c>
      <c r="O1183" s="19">
        <f>Tabela174681012142230322681619252731333624210121416182426283038402481012141620222628303234362426810121424610122426244262628262681026286236[[#This Row],[Total Acumulado]]-P1183</f>
        <v>-67</v>
      </c>
      <c r="P1183" s="48">
        <f>Tabela174681012142230322681619252731333624210121416182426283038402481012141620222628303234362426810121424610122426244262628262681026286236[[#This Row],[Uso diário]]*5</f>
        <v>67</v>
      </c>
      <c r="Q11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3" s="25">
        <v>26</v>
      </c>
    </row>
    <row r="1184" spans="1:20" s="26" customFormat="1" x14ac:dyDescent="0.25">
      <c r="A1184" s="16">
        <v>230719</v>
      </c>
      <c r="B1184" s="30" t="s">
        <v>560</v>
      </c>
      <c r="C1184" s="20" t="s">
        <v>651</v>
      </c>
      <c r="D1184" s="20" t="s">
        <v>719</v>
      </c>
      <c r="E1184" s="20" t="s">
        <v>3874</v>
      </c>
      <c r="F1184" s="20" t="s">
        <v>3875</v>
      </c>
      <c r="G1184" s="21">
        <v>13.4</v>
      </c>
      <c r="H1184" s="16">
        <v>16</v>
      </c>
      <c r="I1184" s="16"/>
      <c r="J11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4" s="22"/>
      <c r="L1184" s="23"/>
      <c r="M1184" s="23">
        <f>SUM(Tabela174681012142230322681619252731333624210121416182426283038402481012141620222628303234362426810121424610122426244262628262681026286236[[#This Row],[Saldo no cartão]:[Recarga Pendente]])</f>
        <v>0</v>
      </c>
      <c r="N1184" s="19">
        <f>Tabela174681012142230322681619252731333624210121416182426283038402481012141620222628303234362426810121424610122426244262628262681026286236[[#This Row],[Uso diário]]*2</f>
        <v>26.8</v>
      </c>
      <c r="O1184" s="19">
        <f>Tabela174681012142230322681619252731333624210121416182426283038402481012141620222628303234362426810121424610122426244262628262681026286236[[#This Row],[Total Acumulado]]-P1184</f>
        <v>-67</v>
      </c>
      <c r="P1184" s="48">
        <f>Tabela174681012142230322681619252731333624210121416182426283038402481012141620222628303234362426810121424610122426244262628262681026286236[[#This Row],[Uso diário]]*5</f>
        <v>67</v>
      </c>
      <c r="Q11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4" s="25">
        <v>26</v>
      </c>
    </row>
    <row r="1185" spans="1:20" s="26" customFormat="1" x14ac:dyDescent="0.25">
      <c r="A1185" s="16">
        <v>230720</v>
      </c>
      <c r="B1185" s="30" t="s">
        <v>561</v>
      </c>
      <c r="C1185" s="20" t="s">
        <v>651</v>
      </c>
      <c r="D1185" s="20" t="s">
        <v>719</v>
      </c>
      <c r="E1185" s="20" t="s">
        <v>3876</v>
      </c>
      <c r="F1185" s="20" t="s">
        <v>3877</v>
      </c>
      <c r="G1185" s="21">
        <v>13.4</v>
      </c>
      <c r="H1185" s="16">
        <v>16</v>
      </c>
      <c r="I1185" s="16"/>
      <c r="J11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5" s="22"/>
      <c r="L1185" s="23"/>
      <c r="M1185" s="23">
        <f>SUM(Tabela174681012142230322681619252731333624210121416182426283038402481012141620222628303234362426810121424610122426244262628262681026286236[[#This Row],[Saldo no cartão]:[Recarga Pendente]])</f>
        <v>0</v>
      </c>
      <c r="N1185" s="19">
        <f>Tabela174681012142230322681619252731333624210121416182426283038402481012141620222628303234362426810121424610122426244262628262681026286236[[#This Row],[Uso diário]]*2</f>
        <v>26.8</v>
      </c>
      <c r="O1185" s="19">
        <f>Tabela174681012142230322681619252731333624210121416182426283038402481012141620222628303234362426810121424610122426244262628262681026286236[[#This Row],[Total Acumulado]]-P1185</f>
        <v>-67</v>
      </c>
      <c r="P1185" s="48">
        <f>Tabela174681012142230322681619252731333624210121416182426283038402481012141620222628303234362426810121424610122426244262628262681026286236[[#This Row],[Uso diário]]*5</f>
        <v>67</v>
      </c>
      <c r="Q11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5" s="25">
        <v>26</v>
      </c>
    </row>
    <row r="1186" spans="1:20" s="26" customFormat="1" x14ac:dyDescent="0.25">
      <c r="A1186" s="16">
        <v>230724</v>
      </c>
      <c r="B1186" s="30" t="s">
        <v>563</v>
      </c>
      <c r="C1186" s="20" t="s">
        <v>651</v>
      </c>
      <c r="D1186" s="20" t="s">
        <v>719</v>
      </c>
      <c r="E1186" s="20" t="s">
        <v>3878</v>
      </c>
      <c r="F1186" s="20" t="s">
        <v>3879</v>
      </c>
      <c r="G1186" s="21">
        <v>13.4</v>
      </c>
      <c r="H1186" s="16">
        <v>16</v>
      </c>
      <c r="I1186" s="16"/>
      <c r="J11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6" s="22"/>
      <c r="L1186" s="23"/>
      <c r="M1186" s="23">
        <f>SUM(Tabela174681012142230322681619252731333624210121416182426283038402481012141620222628303234362426810121424610122426244262628262681026286236[[#This Row],[Saldo no cartão]:[Recarga Pendente]])</f>
        <v>0</v>
      </c>
      <c r="N1186" s="19">
        <f>Tabela174681012142230322681619252731333624210121416182426283038402481012141620222628303234362426810121424610122426244262628262681026286236[[#This Row],[Uso diário]]*2</f>
        <v>26.8</v>
      </c>
      <c r="O1186" s="19">
        <f>Tabela174681012142230322681619252731333624210121416182426283038402481012141620222628303234362426810121424610122426244262628262681026286236[[#This Row],[Total Acumulado]]-P1186</f>
        <v>-67</v>
      </c>
      <c r="P1186" s="48">
        <f>Tabela174681012142230322681619252731333624210121416182426283038402481012141620222628303234362426810121424610122426244262628262681026286236[[#This Row],[Uso diário]]*5</f>
        <v>67</v>
      </c>
      <c r="Q11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6" s="25">
        <v>26</v>
      </c>
    </row>
    <row r="1187" spans="1:20" s="26" customFormat="1" x14ac:dyDescent="0.25">
      <c r="A1187" s="16">
        <v>230728</v>
      </c>
      <c r="B1187" s="30" t="s">
        <v>564</v>
      </c>
      <c r="C1187" s="20" t="s">
        <v>651</v>
      </c>
      <c r="D1187" s="20" t="s">
        <v>719</v>
      </c>
      <c r="E1187" s="20" t="s">
        <v>3880</v>
      </c>
      <c r="F1187" s="20" t="s">
        <v>3881</v>
      </c>
      <c r="G1187" s="21">
        <v>13.4</v>
      </c>
      <c r="H1187" s="16">
        <v>16</v>
      </c>
      <c r="I1187" s="16"/>
      <c r="J11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7" s="22"/>
      <c r="L1187" s="23"/>
      <c r="M1187" s="23">
        <f>SUM(Tabela174681012142230322681619252731333624210121416182426283038402481012141620222628303234362426810121424610122426244262628262681026286236[[#This Row],[Saldo no cartão]:[Recarga Pendente]])</f>
        <v>0</v>
      </c>
      <c r="N1187" s="19">
        <f>Tabela174681012142230322681619252731333624210121416182426283038402481012141620222628303234362426810121424610122426244262628262681026286236[[#This Row],[Uso diário]]*2</f>
        <v>26.8</v>
      </c>
      <c r="O1187" s="19">
        <f>Tabela174681012142230322681619252731333624210121416182426283038402481012141620222628303234362426810121424610122426244262628262681026286236[[#This Row],[Total Acumulado]]-P1187</f>
        <v>-67</v>
      </c>
      <c r="P1187" s="48">
        <f>Tabela174681012142230322681619252731333624210121416182426283038402481012141620222628303234362426810121424610122426244262628262681026286236[[#This Row],[Uso diário]]*5</f>
        <v>67</v>
      </c>
      <c r="Q11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7" s="25">
        <v>26</v>
      </c>
    </row>
    <row r="1188" spans="1:20" s="26" customFormat="1" x14ac:dyDescent="0.25">
      <c r="A1188" s="16">
        <v>230729</v>
      </c>
      <c r="B1188" s="30" t="s">
        <v>565</v>
      </c>
      <c r="C1188" s="20" t="s">
        <v>651</v>
      </c>
      <c r="D1188" s="20" t="s">
        <v>719</v>
      </c>
      <c r="E1188" s="20" t="s">
        <v>3882</v>
      </c>
      <c r="F1188" s="20" t="s">
        <v>3883</v>
      </c>
      <c r="G1188" s="21">
        <v>13.4</v>
      </c>
      <c r="H1188" s="16">
        <v>16</v>
      </c>
      <c r="I1188" s="16">
        <v>1</v>
      </c>
      <c r="J11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201</v>
      </c>
      <c r="K1188" s="22"/>
      <c r="L1188" s="23"/>
      <c r="M1188" s="23">
        <f>SUM(Tabela174681012142230322681619252731333624210121416182426283038402481012141620222628303234362426810121424610122426244262628262681026286236[[#This Row],[Saldo no cartão]:[Recarga Pendente]])</f>
        <v>0</v>
      </c>
      <c r="N1188" s="19">
        <f>Tabela174681012142230322681619252731333624210121416182426283038402481012141620222628303234362426810121424610122426244262628262681026286236[[#This Row],[Uso diário]]*2</f>
        <v>26.8</v>
      </c>
      <c r="O1188" s="19">
        <f>Tabela174681012142230322681619252731333624210121416182426283038402481012141620222628303234362426810121424610122426244262628262681026286236[[#This Row],[Total Acumulado]]-P1188</f>
        <v>-67</v>
      </c>
      <c r="P1188" s="48">
        <f>Tabela174681012142230322681619252731333624210121416182426283038402481012141620222628303234362426810121424610122426244262628262681026286236[[#This Row],[Uso diário]]*5</f>
        <v>67</v>
      </c>
      <c r="Q11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201</v>
      </c>
      <c r="S11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88" s="25">
        <v>26</v>
      </c>
    </row>
    <row r="1189" spans="1:20" s="26" customFormat="1" x14ac:dyDescent="0.25">
      <c r="A1189" s="16">
        <v>230736</v>
      </c>
      <c r="B1189" s="30" t="s">
        <v>567</v>
      </c>
      <c r="C1189" s="20" t="s">
        <v>651</v>
      </c>
      <c r="D1189" s="20" t="s">
        <v>719</v>
      </c>
      <c r="E1189" s="20" t="s">
        <v>3884</v>
      </c>
      <c r="F1189" s="20" t="s">
        <v>3885</v>
      </c>
      <c r="G1189" s="21">
        <v>13.4</v>
      </c>
      <c r="H1189" s="16">
        <v>16</v>
      </c>
      <c r="I1189" s="16"/>
      <c r="J11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89" s="22"/>
      <c r="L1189" s="23">
        <v>115.5</v>
      </c>
      <c r="M1189" s="23">
        <f>SUM(Tabela174681012142230322681619252731333624210121416182426283038402481012141620222628303234362426810121424610122426244262628262681026286236[[#This Row],[Saldo no cartão]:[Recarga Pendente]])</f>
        <v>115.5</v>
      </c>
      <c r="N1189" s="19">
        <f>Tabela174681012142230322681619252731333624210121416182426283038402481012141620222628303234362426810121424610122426244262628262681026286236[[#This Row],[Uso diário]]*2</f>
        <v>26.8</v>
      </c>
      <c r="O1189" s="19">
        <f>Tabela174681012142230322681619252731333624210121416182426283038402481012141620222628303234362426810121424610122426244262628262681026286236[[#This Row],[Total Acumulado]]-P1189</f>
        <v>48.5</v>
      </c>
      <c r="P1189" s="48">
        <f>Tabela174681012142230322681619252731333624210121416182426283038402481012141620222628303234362426810121424610122426244262628262681026286236[[#This Row],[Uso diário]]*5</f>
        <v>67</v>
      </c>
      <c r="Q11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48.5</v>
      </c>
      <c r="R11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165.9</v>
      </c>
      <c r="S1189" s="18" t="s">
        <v>11</v>
      </c>
      <c r="T1189" s="25">
        <v>26</v>
      </c>
    </row>
    <row r="1190" spans="1:20" s="26" customFormat="1" x14ac:dyDescent="0.25">
      <c r="A1190" s="16">
        <v>230739</v>
      </c>
      <c r="B1190" s="30" t="s">
        <v>568</v>
      </c>
      <c r="C1190" s="20" t="s">
        <v>651</v>
      </c>
      <c r="D1190" s="20" t="s">
        <v>719</v>
      </c>
      <c r="E1190" s="20" t="s">
        <v>3886</v>
      </c>
      <c r="F1190" s="20" t="s">
        <v>3887</v>
      </c>
      <c r="G1190" s="21">
        <v>13.4</v>
      </c>
      <c r="H1190" s="16">
        <v>16</v>
      </c>
      <c r="I1190" s="16"/>
      <c r="J11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0" s="22"/>
      <c r="L1190" s="23"/>
      <c r="M1190" s="23">
        <f>SUM(Tabela174681012142230322681619252731333624210121416182426283038402481012141620222628303234362426810121424610122426244262628262681026286236[[#This Row],[Saldo no cartão]:[Recarga Pendente]])</f>
        <v>0</v>
      </c>
      <c r="N1190" s="19">
        <f>Tabela174681012142230322681619252731333624210121416182426283038402481012141620222628303234362426810121424610122426244262628262681026286236[[#This Row],[Uso diário]]*2</f>
        <v>26.8</v>
      </c>
      <c r="O1190" s="19">
        <f>Tabela174681012142230322681619252731333624210121416182426283038402481012141620222628303234362426810121424610122426244262628262681026286236[[#This Row],[Total Acumulado]]-P1190</f>
        <v>-67</v>
      </c>
      <c r="P1190" s="48">
        <f>Tabela174681012142230322681619252731333624210121416182426283038402481012141620222628303234362426810121424610122426244262628262681026286236[[#This Row],[Uso diário]]*5</f>
        <v>67</v>
      </c>
      <c r="Q11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0" s="25">
        <v>26</v>
      </c>
    </row>
    <row r="1191" spans="1:20" s="26" customFormat="1" x14ac:dyDescent="0.25">
      <c r="A1191" s="16">
        <v>230741</v>
      </c>
      <c r="B1191" s="30" t="s">
        <v>569</v>
      </c>
      <c r="C1191" s="20" t="s">
        <v>651</v>
      </c>
      <c r="D1191" s="20" t="s">
        <v>719</v>
      </c>
      <c r="E1191" s="20" t="s">
        <v>3888</v>
      </c>
      <c r="F1191" s="20" t="s">
        <v>3889</v>
      </c>
      <c r="G1191" s="21">
        <v>13.4</v>
      </c>
      <c r="H1191" s="16">
        <v>16</v>
      </c>
      <c r="I1191" s="16"/>
      <c r="J11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1" s="22"/>
      <c r="L1191" s="23"/>
      <c r="M1191" s="23">
        <f>SUM(Tabela174681012142230322681619252731333624210121416182426283038402481012141620222628303234362426810121424610122426244262628262681026286236[[#This Row],[Saldo no cartão]:[Recarga Pendente]])</f>
        <v>0</v>
      </c>
      <c r="N1191" s="19">
        <f>Tabela174681012142230322681619252731333624210121416182426283038402481012141620222628303234362426810121424610122426244262628262681026286236[[#This Row],[Uso diário]]*2</f>
        <v>26.8</v>
      </c>
      <c r="O1191" s="19">
        <f>Tabela174681012142230322681619252731333624210121416182426283038402481012141620222628303234362426810121424610122426244262628262681026286236[[#This Row],[Total Acumulado]]-P1191</f>
        <v>-67</v>
      </c>
      <c r="P1191" s="48">
        <f>Tabela174681012142230322681619252731333624210121416182426283038402481012141620222628303234362426810121424610122426244262628262681026286236[[#This Row],[Uso diário]]*5</f>
        <v>67</v>
      </c>
      <c r="Q11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1" s="25">
        <v>26</v>
      </c>
    </row>
    <row r="1192" spans="1:20" s="26" customFormat="1" x14ac:dyDescent="0.25">
      <c r="A1192" s="16">
        <v>230743</v>
      </c>
      <c r="B1192" s="30" t="s">
        <v>570</v>
      </c>
      <c r="C1192" s="20" t="s">
        <v>651</v>
      </c>
      <c r="D1192" s="20" t="s">
        <v>719</v>
      </c>
      <c r="E1192" s="20" t="s">
        <v>3890</v>
      </c>
      <c r="F1192" s="20" t="s">
        <v>3891</v>
      </c>
      <c r="G1192" s="21">
        <v>13.4</v>
      </c>
      <c r="H1192" s="16">
        <v>16</v>
      </c>
      <c r="I1192" s="16"/>
      <c r="J11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2" s="22"/>
      <c r="L1192" s="23"/>
      <c r="M1192" s="23">
        <f>SUM(Tabela174681012142230322681619252731333624210121416182426283038402481012141620222628303234362426810121424610122426244262628262681026286236[[#This Row],[Saldo no cartão]:[Recarga Pendente]])</f>
        <v>0</v>
      </c>
      <c r="N1192" s="19">
        <f>Tabela174681012142230322681619252731333624210121416182426283038402481012141620222628303234362426810121424610122426244262628262681026286236[[#This Row],[Uso diário]]*2</f>
        <v>26.8</v>
      </c>
      <c r="O1192" s="19">
        <f>Tabela174681012142230322681619252731333624210121416182426283038402481012141620222628303234362426810121424610122426244262628262681026286236[[#This Row],[Total Acumulado]]-P1192</f>
        <v>-67</v>
      </c>
      <c r="P1192" s="48">
        <f>Tabela174681012142230322681619252731333624210121416182426283038402481012141620222628303234362426810121424610122426244262628262681026286236[[#This Row],[Uso diário]]*5</f>
        <v>67</v>
      </c>
      <c r="Q11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2" s="25">
        <v>26</v>
      </c>
    </row>
    <row r="1193" spans="1:20" s="26" customFormat="1" x14ac:dyDescent="0.25">
      <c r="A1193" s="16">
        <v>230747</v>
      </c>
      <c r="B1193" s="30" t="s">
        <v>571</v>
      </c>
      <c r="C1193" s="20" t="s">
        <v>651</v>
      </c>
      <c r="D1193" s="20" t="s">
        <v>719</v>
      </c>
      <c r="E1193" s="20" t="s">
        <v>3892</v>
      </c>
      <c r="F1193" s="20" t="s">
        <v>3893</v>
      </c>
      <c r="G1193" s="21">
        <v>13.4</v>
      </c>
      <c r="H1193" s="16">
        <v>16</v>
      </c>
      <c r="I1193" s="16"/>
      <c r="J11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3" s="22"/>
      <c r="L1193" s="23"/>
      <c r="M1193" s="23">
        <f>SUM(Tabela174681012142230322681619252731333624210121416182426283038402481012141620222628303234362426810121424610122426244262628262681026286236[[#This Row],[Saldo no cartão]:[Recarga Pendente]])</f>
        <v>0</v>
      </c>
      <c r="N1193" s="19">
        <f>Tabela174681012142230322681619252731333624210121416182426283038402481012141620222628303234362426810121424610122426244262628262681026286236[[#This Row],[Uso diário]]*2</f>
        <v>26.8</v>
      </c>
      <c r="O1193" s="19">
        <f>Tabela174681012142230322681619252731333624210121416182426283038402481012141620222628303234362426810121424610122426244262628262681026286236[[#This Row],[Total Acumulado]]-P1193</f>
        <v>-67</v>
      </c>
      <c r="P1193" s="48">
        <f>Tabela174681012142230322681619252731333624210121416182426283038402481012141620222628303234362426810121424610122426244262628262681026286236[[#This Row],[Uso diário]]*5</f>
        <v>67</v>
      </c>
      <c r="Q11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3" s="25">
        <v>26</v>
      </c>
    </row>
    <row r="1194" spans="1:20" s="26" customFormat="1" x14ac:dyDescent="0.25">
      <c r="A1194" s="16">
        <v>230751</v>
      </c>
      <c r="B1194" s="30" t="s">
        <v>573</v>
      </c>
      <c r="C1194" s="20" t="s">
        <v>651</v>
      </c>
      <c r="D1194" s="20" t="s">
        <v>719</v>
      </c>
      <c r="E1194" s="20" t="s">
        <v>3894</v>
      </c>
      <c r="F1194" s="20" t="s">
        <v>3895</v>
      </c>
      <c r="G1194" s="21">
        <v>13.4</v>
      </c>
      <c r="H1194" s="16">
        <v>16</v>
      </c>
      <c r="I1194" s="16"/>
      <c r="J11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4" s="22"/>
      <c r="L1194" s="23"/>
      <c r="M1194" s="23">
        <f>SUM(Tabela174681012142230322681619252731333624210121416182426283038402481012141620222628303234362426810121424610122426244262628262681026286236[[#This Row],[Saldo no cartão]:[Recarga Pendente]])</f>
        <v>0</v>
      </c>
      <c r="N1194" s="19">
        <f>Tabela174681012142230322681619252731333624210121416182426283038402481012141620222628303234362426810121424610122426244262628262681026286236[[#This Row],[Uso diário]]*2</f>
        <v>26.8</v>
      </c>
      <c r="O1194" s="19">
        <f>Tabela174681012142230322681619252731333624210121416182426283038402481012141620222628303234362426810121424610122426244262628262681026286236[[#This Row],[Total Acumulado]]-P1194</f>
        <v>-67</v>
      </c>
      <c r="P1194" s="48">
        <f>Tabela174681012142230322681619252731333624210121416182426283038402481012141620222628303234362426810121424610122426244262628262681026286236[[#This Row],[Uso diário]]*5</f>
        <v>67</v>
      </c>
      <c r="Q11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4" s="25">
        <v>26</v>
      </c>
    </row>
    <row r="1195" spans="1:20" s="26" customFormat="1" x14ac:dyDescent="0.25">
      <c r="A1195" s="16">
        <v>230752</v>
      </c>
      <c r="B1195" s="30" t="s">
        <v>574</v>
      </c>
      <c r="C1195" s="20" t="s">
        <v>651</v>
      </c>
      <c r="D1195" s="20" t="s">
        <v>719</v>
      </c>
      <c r="E1195" s="20" t="s">
        <v>3896</v>
      </c>
      <c r="F1195" s="20" t="s">
        <v>3897</v>
      </c>
      <c r="G1195" s="21">
        <v>13.4</v>
      </c>
      <c r="H1195" s="16">
        <v>16</v>
      </c>
      <c r="I1195" s="16"/>
      <c r="J11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5" s="22"/>
      <c r="L1195" s="23">
        <v>17.850000000000001</v>
      </c>
      <c r="M1195" s="23">
        <f>SUM(Tabela174681012142230322681619252731333624210121416182426283038402481012141620222628303234362426810121424610122426244262628262681026286236[[#This Row],[Saldo no cartão]:[Recarga Pendente]])</f>
        <v>17.850000000000001</v>
      </c>
      <c r="N1195" s="19">
        <f>Tabela174681012142230322681619252731333624210121416182426283038402481012141620222628303234362426810121424610122426244262628262681026286236[[#This Row],[Uso diário]]*2</f>
        <v>26.8</v>
      </c>
      <c r="O1195" s="19">
        <f>Tabela174681012142230322681619252731333624210121416182426283038402481012141620222628303234362426810121424610122426244262628262681026286236[[#This Row],[Total Acumulado]]-P1195</f>
        <v>-49.15</v>
      </c>
      <c r="P1195" s="48">
        <f>Tabela174681012142230322681619252731333624210121416182426283038402481012141620222628303234362426810121424610122426244262628262681026286236[[#This Row],[Uso diário]]*5</f>
        <v>67</v>
      </c>
      <c r="Q11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5" s="25">
        <v>26</v>
      </c>
    </row>
    <row r="1196" spans="1:20" s="26" customFormat="1" x14ac:dyDescent="0.25">
      <c r="A1196" s="16">
        <v>230753</v>
      </c>
      <c r="B1196" s="30" t="s">
        <v>575</v>
      </c>
      <c r="C1196" s="20" t="s">
        <v>651</v>
      </c>
      <c r="D1196" s="20" t="s">
        <v>719</v>
      </c>
      <c r="E1196" s="20" t="s">
        <v>3898</v>
      </c>
      <c r="F1196" s="20" t="s">
        <v>3899</v>
      </c>
      <c r="G1196" s="21">
        <v>13.4</v>
      </c>
      <c r="H1196" s="16">
        <v>16</v>
      </c>
      <c r="I1196" s="16"/>
      <c r="J11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6" s="22"/>
      <c r="L1196" s="23"/>
      <c r="M1196" s="23">
        <f>SUM(Tabela174681012142230322681619252731333624210121416182426283038402481012141620222628303234362426810121424610122426244262628262681026286236[[#This Row],[Saldo no cartão]:[Recarga Pendente]])</f>
        <v>0</v>
      </c>
      <c r="N1196" s="19">
        <f>Tabela174681012142230322681619252731333624210121416182426283038402481012141620222628303234362426810121424610122426244262628262681026286236[[#This Row],[Uso diário]]*2</f>
        <v>26.8</v>
      </c>
      <c r="O1196" s="19">
        <f>Tabela174681012142230322681619252731333624210121416182426283038402481012141620222628303234362426810121424610122426244262628262681026286236[[#This Row],[Total Acumulado]]-P1196</f>
        <v>-67</v>
      </c>
      <c r="P1196" s="48">
        <f>Tabela174681012142230322681619252731333624210121416182426283038402481012141620222628303234362426810121424610122426244262628262681026286236[[#This Row],[Uso diário]]*5</f>
        <v>67</v>
      </c>
      <c r="Q11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6" s="25">
        <v>26</v>
      </c>
    </row>
    <row r="1197" spans="1:20" s="26" customFormat="1" x14ac:dyDescent="0.25">
      <c r="A1197" s="16">
        <v>230755</v>
      </c>
      <c r="B1197" s="30" t="s">
        <v>576</v>
      </c>
      <c r="C1197" s="20" t="s">
        <v>651</v>
      </c>
      <c r="D1197" s="20" t="s">
        <v>719</v>
      </c>
      <c r="E1197" s="20" t="s">
        <v>3900</v>
      </c>
      <c r="F1197" s="20" t="s">
        <v>3901</v>
      </c>
      <c r="G1197" s="21">
        <v>13.4</v>
      </c>
      <c r="H1197" s="16">
        <v>16</v>
      </c>
      <c r="I1197" s="16"/>
      <c r="J11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7" s="22"/>
      <c r="L1197" s="23">
        <v>84.7</v>
      </c>
      <c r="M1197" s="23">
        <f>SUM(Tabela174681012142230322681619252731333624210121416182426283038402481012141620222628303234362426810121424610122426244262628262681026286236[[#This Row],[Saldo no cartão]:[Recarga Pendente]])</f>
        <v>84.7</v>
      </c>
      <c r="N1197" s="19">
        <f>Tabela174681012142230322681619252731333624210121416182426283038402481012141620222628303234362426810121424610122426244262628262681026286236[[#This Row],[Uso diário]]*2</f>
        <v>26.8</v>
      </c>
      <c r="O1197" s="19">
        <f>Tabela174681012142230322681619252731333624210121416182426283038402481012141620222628303234362426810121424610122426244262628262681026286236[[#This Row],[Total Acumulado]]-P1197</f>
        <v>17.700000000000003</v>
      </c>
      <c r="P1197" s="48">
        <f>Tabela174681012142230322681619252731333624210121416182426283038402481012141620222628303234362426810121424610122426244262628262681026286236[[#This Row],[Uso diário]]*5</f>
        <v>67</v>
      </c>
      <c r="Q11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7" s="25">
        <v>26</v>
      </c>
    </row>
    <row r="1198" spans="1:20" s="26" customFormat="1" x14ac:dyDescent="0.25">
      <c r="A1198" s="16">
        <v>230756</v>
      </c>
      <c r="B1198" s="30" t="s">
        <v>577</v>
      </c>
      <c r="C1198" s="20" t="s">
        <v>651</v>
      </c>
      <c r="D1198" s="20" t="s">
        <v>716</v>
      </c>
      <c r="E1198" s="20" t="s">
        <v>3902</v>
      </c>
      <c r="F1198" s="20" t="s">
        <v>3903</v>
      </c>
      <c r="G1198" s="21">
        <v>13.4</v>
      </c>
      <c r="H1198" s="16">
        <v>16</v>
      </c>
      <c r="I1198" s="16"/>
      <c r="J11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8" s="22"/>
      <c r="L1198" s="23"/>
      <c r="M1198" s="23">
        <f>SUM(Tabela174681012142230322681619252731333624210121416182426283038402481012141620222628303234362426810121424610122426244262628262681026286236[[#This Row],[Saldo no cartão]:[Recarga Pendente]])</f>
        <v>0</v>
      </c>
      <c r="N1198" s="19">
        <f>Tabela174681012142230322681619252731333624210121416182426283038402481012141620222628303234362426810121424610122426244262628262681026286236[[#This Row],[Uso diário]]*2</f>
        <v>26.8</v>
      </c>
      <c r="O1198" s="19">
        <f>Tabela174681012142230322681619252731333624210121416182426283038402481012141620222628303234362426810121424610122426244262628262681026286236[[#This Row],[Total Acumulado]]-P1198</f>
        <v>-67</v>
      </c>
      <c r="P1198" s="48">
        <f>Tabela174681012142230322681619252731333624210121416182426283038402481012141620222628303234362426810121424610122426244262628262681026286236[[#This Row],[Uso diário]]*5</f>
        <v>67</v>
      </c>
      <c r="Q11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8" s="25">
        <v>26</v>
      </c>
    </row>
    <row r="1199" spans="1:20" s="26" customFormat="1" x14ac:dyDescent="0.25">
      <c r="A1199" s="16">
        <v>230758</v>
      </c>
      <c r="B1199" s="30" t="s">
        <v>578</v>
      </c>
      <c r="C1199" s="20" t="s">
        <v>651</v>
      </c>
      <c r="D1199" s="20" t="s">
        <v>716</v>
      </c>
      <c r="E1199" s="20" t="s">
        <v>3904</v>
      </c>
      <c r="F1199" s="20" t="s">
        <v>3905</v>
      </c>
      <c r="G1199" s="21">
        <v>13.4</v>
      </c>
      <c r="H1199" s="16">
        <v>16</v>
      </c>
      <c r="I1199" s="16"/>
      <c r="J11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199" s="22"/>
      <c r="L1199" s="23"/>
      <c r="M1199" s="23">
        <f>SUM(Tabela174681012142230322681619252731333624210121416182426283038402481012141620222628303234362426810121424610122426244262628262681026286236[[#This Row],[Saldo no cartão]:[Recarga Pendente]])</f>
        <v>0</v>
      </c>
      <c r="N1199" s="19">
        <f>Tabela174681012142230322681619252731333624210121416182426283038402481012141620222628303234362426810121424610122426244262628262681026286236[[#This Row],[Uso diário]]*2</f>
        <v>26.8</v>
      </c>
      <c r="O1199" s="19">
        <f>Tabela174681012142230322681619252731333624210121416182426283038402481012141620222628303234362426810121424610122426244262628262681026286236[[#This Row],[Total Acumulado]]-P1199</f>
        <v>-67</v>
      </c>
      <c r="P1199" s="48">
        <f>Tabela174681012142230322681619252731333624210121416182426283038402481012141620222628303234362426810121424610122426244262628262681026286236[[#This Row],[Uso diário]]*5</f>
        <v>67</v>
      </c>
      <c r="Q11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1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1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199" s="25">
        <v>26</v>
      </c>
    </row>
    <row r="1200" spans="1:20" s="26" customFormat="1" x14ac:dyDescent="0.25">
      <c r="A1200" s="16">
        <v>230759</v>
      </c>
      <c r="B1200" s="30" t="s">
        <v>579</v>
      </c>
      <c r="C1200" s="20" t="s">
        <v>651</v>
      </c>
      <c r="D1200" s="20" t="s">
        <v>716</v>
      </c>
      <c r="E1200" s="20" t="s">
        <v>3906</v>
      </c>
      <c r="F1200" s="20" t="s">
        <v>3907</v>
      </c>
      <c r="G1200" s="21">
        <v>13.4</v>
      </c>
      <c r="H1200" s="16">
        <v>16</v>
      </c>
      <c r="I1200" s="16"/>
      <c r="J12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0" s="22"/>
      <c r="L1200" s="23"/>
      <c r="M1200" s="23">
        <f>SUM(Tabela174681012142230322681619252731333624210121416182426283038402481012141620222628303234362426810121424610122426244262628262681026286236[[#This Row],[Saldo no cartão]:[Recarga Pendente]])</f>
        <v>0</v>
      </c>
      <c r="N1200" s="19">
        <f>Tabela174681012142230322681619252731333624210121416182426283038402481012141620222628303234362426810121424610122426244262628262681026286236[[#This Row],[Uso diário]]*2</f>
        <v>26.8</v>
      </c>
      <c r="O1200" s="19">
        <f>Tabela174681012142230322681619252731333624210121416182426283038402481012141620222628303234362426810121424610122426244262628262681026286236[[#This Row],[Total Acumulado]]-P1200</f>
        <v>-67</v>
      </c>
      <c r="P1200" s="48">
        <f>Tabela174681012142230322681619252731333624210121416182426283038402481012141620222628303234362426810121424610122426244262628262681026286236[[#This Row],[Uso diário]]*5</f>
        <v>67</v>
      </c>
      <c r="Q12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0" s="25">
        <v>26</v>
      </c>
    </row>
    <row r="1201" spans="1:20" s="26" customFormat="1" x14ac:dyDescent="0.25">
      <c r="A1201" s="16">
        <v>230760</v>
      </c>
      <c r="B1201" s="30" t="s">
        <v>580</v>
      </c>
      <c r="C1201" s="20" t="s">
        <v>651</v>
      </c>
      <c r="D1201" s="20" t="s">
        <v>716</v>
      </c>
      <c r="E1201" s="20" t="s">
        <v>3908</v>
      </c>
      <c r="F1201" s="20" t="s">
        <v>3909</v>
      </c>
      <c r="G1201" s="21">
        <v>13.4</v>
      </c>
      <c r="H1201" s="16">
        <v>16</v>
      </c>
      <c r="I1201" s="16"/>
      <c r="J12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1" s="22"/>
      <c r="L1201" s="23"/>
      <c r="M1201" s="23">
        <f>SUM(Tabela174681012142230322681619252731333624210121416182426283038402481012141620222628303234362426810121424610122426244262628262681026286236[[#This Row],[Saldo no cartão]:[Recarga Pendente]])</f>
        <v>0</v>
      </c>
      <c r="N1201" s="19">
        <f>Tabela174681012142230322681619252731333624210121416182426283038402481012141620222628303234362426810121424610122426244262628262681026286236[[#This Row],[Uso diário]]*2</f>
        <v>26.8</v>
      </c>
      <c r="O1201" s="19">
        <f>Tabela174681012142230322681619252731333624210121416182426283038402481012141620222628303234362426810121424610122426244262628262681026286236[[#This Row],[Total Acumulado]]-P1201</f>
        <v>-67</v>
      </c>
      <c r="P1201" s="48">
        <f>Tabela174681012142230322681619252731333624210121416182426283038402481012141620222628303234362426810121424610122426244262628262681026286236[[#This Row],[Uso diário]]*5</f>
        <v>67</v>
      </c>
      <c r="Q12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1" s="25">
        <v>26</v>
      </c>
    </row>
    <row r="1202" spans="1:20" s="26" customFormat="1" x14ac:dyDescent="0.25">
      <c r="A1202" s="16">
        <v>230764</v>
      </c>
      <c r="B1202" s="30" t="s">
        <v>581</v>
      </c>
      <c r="C1202" s="20" t="s">
        <v>651</v>
      </c>
      <c r="D1202" s="20" t="s">
        <v>719</v>
      </c>
      <c r="E1202" s="20" t="s">
        <v>3910</v>
      </c>
      <c r="F1202" s="20" t="s">
        <v>3911</v>
      </c>
      <c r="G1202" s="21">
        <v>13.4</v>
      </c>
      <c r="H1202" s="16">
        <v>16</v>
      </c>
      <c r="I1202" s="16"/>
      <c r="J12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2" s="22"/>
      <c r="L1202" s="23"/>
      <c r="M1202" s="23">
        <f>SUM(Tabela174681012142230322681619252731333624210121416182426283038402481012141620222628303234362426810121424610122426244262628262681026286236[[#This Row],[Saldo no cartão]:[Recarga Pendente]])</f>
        <v>0</v>
      </c>
      <c r="N1202" s="19">
        <f>Tabela174681012142230322681619252731333624210121416182426283038402481012141620222628303234362426810121424610122426244262628262681026286236[[#This Row],[Uso diário]]*2</f>
        <v>26.8</v>
      </c>
      <c r="O1202" s="19">
        <f>Tabela174681012142230322681619252731333624210121416182426283038402481012141620222628303234362426810121424610122426244262628262681026286236[[#This Row],[Total Acumulado]]-P1202</f>
        <v>-67</v>
      </c>
      <c r="P1202" s="48">
        <f>Tabela174681012142230322681619252731333624210121416182426283038402481012141620222628303234362426810121424610122426244262628262681026286236[[#This Row],[Uso diário]]*5</f>
        <v>67</v>
      </c>
      <c r="Q12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2" s="25">
        <v>26</v>
      </c>
    </row>
    <row r="1203" spans="1:20" s="26" customFormat="1" x14ac:dyDescent="0.25">
      <c r="A1203" s="16">
        <v>230774</v>
      </c>
      <c r="B1203" s="30" t="s">
        <v>582</v>
      </c>
      <c r="C1203" s="20" t="s">
        <v>651</v>
      </c>
      <c r="D1203" s="20" t="s">
        <v>716</v>
      </c>
      <c r="E1203" s="20" t="s">
        <v>3912</v>
      </c>
      <c r="F1203" s="20" t="s">
        <v>3913</v>
      </c>
      <c r="G1203" s="21">
        <v>13.4</v>
      </c>
      <c r="H1203" s="16">
        <v>16</v>
      </c>
      <c r="I1203" s="16"/>
      <c r="J12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3" s="22"/>
      <c r="L1203" s="23"/>
      <c r="M1203" s="23">
        <f>SUM(Tabela174681012142230322681619252731333624210121416182426283038402481012141620222628303234362426810121424610122426244262628262681026286236[[#This Row],[Saldo no cartão]:[Recarga Pendente]])</f>
        <v>0</v>
      </c>
      <c r="N1203" s="19">
        <f>Tabela174681012142230322681619252731333624210121416182426283038402481012141620222628303234362426810121424610122426244262628262681026286236[[#This Row],[Uso diário]]*2</f>
        <v>26.8</v>
      </c>
      <c r="O1203" s="19">
        <f>Tabela174681012142230322681619252731333624210121416182426283038402481012141620222628303234362426810121424610122426244262628262681026286236[[#This Row],[Total Acumulado]]-P1203</f>
        <v>-67</v>
      </c>
      <c r="P1203" s="48">
        <f>Tabela174681012142230322681619252731333624210121416182426283038402481012141620222628303234362426810121424610122426244262628262681026286236[[#This Row],[Uso diário]]*5</f>
        <v>67</v>
      </c>
      <c r="Q12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3" s="25">
        <v>26</v>
      </c>
    </row>
    <row r="1204" spans="1:20" s="26" customFormat="1" x14ac:dyDescent="0.25">
      <c r="A1204" s="16">
        <v>231005</v>
      </c>
      <c r="B1204" s="30" t="s">
        <v>1523</v>
      </c>
      <c r="C1204" s="20" t="s">
        <v>651</v>
      </c>
      <c r="D1204" s="20" t="s">
        <v>716</v>
      </c>
      <c r="E1204" s="20" t="s">
        <v>3914</v>
      </c>
      <c r="F1204" s="20" t="s">
        <v>3915</v>
      </c>
      <c r="G1204" s="21">
        <v>13.4</v>
      </c>
      <c r="H1204" s="16">
        <v>16</v>
      </c>
      <c r="I1204" s="16"/>
      <c r="J12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4" s="22"/>
      <c r="L1204" s="23"/>
      <c r="M1204" s="23">
        <f>SUM(Tabela174681012142230322681619252731333624210121416182426283038402481012141620222628303234362426810121424610122426244262628262681026286236[[#This Row],[Saldo no cartão]:[Recarga Pendente]])</f>
        <v>0</v>
      </c>
      <c r="N1204" s="19">
        <f>Tabela174681012142230322681619252731333624210121416182426283038402481012141620222628303234362426810121424610122426244262628262681026286236[[#This Row],[Uso diário]]*2</f>
        <v>26.8</v>
      </c>
      <c r="O1204" s="19">
        <f>Tabela174681012142230322681619252731333624210121416182426283038402481012141620222628303234362426810121424610122426244262628262681026286236[[#This Row],[Total Acumulado]]-P1204</f>
        <v>-67</v>
      </c>
      <c r="P1204" s="48">
        <f>Tabela174681012142230322681619252731333624210121416182426283038402481012141620222628303234362426810121424610122426244262628262681026286236[[#This Row],[Uso diário]]*5</f>
        <v>67</v>
      </c>
      <c r="Q12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4" s="25">
        <v>26</v>
      </c>
    </row>
    <row r="1205" spans="1:20" s="26" customFormat="1" x14ac:dyDescent="0.25">
      <c r="A1205" s="16">
        <v>231009</v>
      </c>
      <c r="B1205" s="30" t="s">
        <v>585</v>
      </c>
      <c r="C1205" s="20" t="s">
        <v>651</v>
      </c>
      <c r="D1205" s="20" t="s">
        <v>716</v>
      </c>
      <c r="E1205" s="20" t="s">
        <v>3916</v>
      </c>
      <c r="F1205" s="20" t="s">
        <v>3917</v>
      </c>
      <c r="G1205" s="21">
        <v>13.4</v>
      </c>
      <c r="H1205" s="16">
        <v>16</v>
      </c>
      <c r="I1205" s="16"/>
      <c r="J12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5" s="22"/>
      <c r="L1205" s="23"/>
      <c r="M1205" s="23">
        <f>SUM(Tabela174681012142230322681619252731333624210121416182426283038402481012141620222628303234362426810121424610122426244262628262681026286236[[#This Row],[Saldo no cartão]:[Recarga Pendente]])</f>
        <v>0</v>
      </c>
      <c r="N1205" s="19">
        <f>Tabela174681012142230322681619252731333624210121416182426283038402481012141620222628303234362426810121424610122426244262628262681026286236[[#This Row],[Uso diário]]*2</f>
        <v>26.8</v>
      </c>
      <c r="O1205" s="19">
        <f>Tabela174681012142230322681619252731333624210121416182426283038402481012141620222628303234362426810121424610122426244262628262681026286236[[#This Row],[Total Acumulado]]-P1205</f>
        <v>-67</v>
      </c>
      <c r="P1205" s="48">
        <f>Tabela174681012142230322681619252731333624210121416182426283038402481012141620222628303234362426810121424610122426244262628262681026286236[[#This Row],[Uso diário]]*5</f>
        <v>67</v>
      </c>
      <c r="Q12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5" s="25">
        <v>26</v>
      </c>
    </row>
    <row r="1206" spans="1:20" s="26" customFormat="1" x14ac:dyDescent="0.25">
      <c r="A1206" s="16">
        <v>231013</v>
      </c>
      <c r="B1206" s="30" t="s">
        <v>586</v>
      </c>
      <c r="C1206" s="20" t="s">
        <v>651</v>
      </c>
      <c r="D1206" s="20" t="s">
        <v>719</v>
      </c>
      <c r="E1206" s="20" t="s">
        <v>3918</v>
      </c>
      <c r="F1206" s="20" t="s">
        <v>3919</v>
      </c>
      <c r="G1206" s="21">
        <v>13.4</v>
      </c>
      <c r="H1206" s="16">
        <v>16</v>
      </c>
      <c r="I1206" s="16"/>
      <c r="J12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6" s="22"/>
      <c r="L1206" s="23"/>
      <c r="M1206" s="23">
        <f>SUM(Tabela174681012142230322681619252731333624210121416182426283038402481012141620222628303234362426810121424610122426244262628262681026286236[[#This Row],[Saldo no cartão]:[Recarga Pendente]])</f>
        <v>0</v>
      </c>
      <c r="N1206" s="19">
        <f>Tabela174681012142230322681619252731333624210121416182426283038402481012141620222628303234362426810121424610122426244262628262681026286236[[#This Row],[Uso diário]]*2</f>
        <v>26.8</v>
      </c>
      <c r="O1206" s="19">
        <f>Tabela174681012142230322681619252731333624210121416182426283038402481012141620222628303234362426810121424610122426244262628262681026286236[[#This Row],[Total Acumulado]]-P1206</f>
        <v>-67</v>
      </c>
      <c r="P1206" s="48">
        <f>Tabela174681012142230322681619252731333624210121416182426283038402481012141620222628303234362426810121424610122426244262628262681026286236[[#This Row],[Uso diário]]*5</f>
        <v>67</v>
      </c>
      <c r="Q12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6" s="25">
        <v>26</v>
      </c>
    </row>
    <row r="1207" spans="1:20" s="26" customFormat="1" x14ac:dyDescent="0.25">
      <c r="A1207" s="16">
        <v>231021</v>
      </c>
      <c r="B1207" s="30" t="s">
        <v>1524</v>
      </c>
      <c r="C1207" s="20" t="s">
        <v>651</v>
      </c>
      <c r="D1207" s="20" t="s">
        <v>717</v>
      </c>
      <c r="E1207" s="20" t="s">
        <v>3920</v>
      </c>
      <c r="F1207" s="20" t="s">
        <v>3921</v>
      </c>
      <c r="G1207" s="21">
        <v>18.8</v>
      </c>
      <c r="H1207" s="16">
        <v>16</v>
      </c>
      <c r="I1207" s="16"/>
      <c r="J12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07" s="22"/>
      <c r="L1207" s="23"/>
      <c r="M1207" s="23">
        <f>SUM(Tabela174681012142230322681619252731333624210121416182426283038402481012141620222628303234362426810121424610122426244262628262681026286236[[#This Row],[Saldo no cartão]:[Recarga Pendente]])</f>
        <v>0</v>
      </c>
      <c r="N1207" s="19">
        <f>Tabela174681012142230322681619252731333624210121416182426283038402481012141620222628303234362426810121424610122426244262628262681026286236[[#This Row],[Uso diário]]*2</f>
        <v>37.6</v>
      </c>
      <c r="O1207" s="19">
        <f>Tabela174681012142230322681619252731333624210121416182426283038402481012141620222628303234362426810121424610122426244262628262681026286236[[#This Row],[Total Acumulado]]-P1207</f>
        <v>-94</v>
      </c>
      <c r="P1207" s="48">
        <f>Tabela174681012142230322681619252731333624210121416182426283038402481012141620222628303234362426810121424610122426244262628262681026286236[[#This Row],[Uso diário]]*5</f>
        <v>94</v>
      </c>
      <c r="Q12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7" s="25">
        <v>26</v>
      </c>
    </row>
    <row r="1208" spans="1:20" s="26" customFormat="1" x14ac:dyDescent="0.25">
      <c r="A1208" s="16">
        <v>231023</v>
      </c>
      <c r="B1208" s="30" t="s">
        <v>195</v>
      </c>
      <c r="C1208" s="20" t="s">
        <v>651</v>
      </c>
      <c r="D1208" s="20" t="s">
        <v>719</v>
      </c>
      <c r="E1208" s="20" t="s">
        <v>3922</v>
      </c>
      <c r="F1208" s="20" t="s">
        <v>3923</v>
      </c>
      <c r="G1208" s="21">
        <v>18.8</v>
      </c>
      <c r="H1208" s="16">
        <v>16</v>
      </c>
      <c r="I1208" s="16"/>
      <c r="J12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08" s="22"/>
      <c r="L1208" s="23">
        <v>38.65</v>
      </c>
      <c r="M1208" s="23">
        <f>SUM(Tabela174681012142230322681619252731333624210121416182426283038402481012141620222628303234362426810121424610122426244262628262681026286236[[#This Row],[Saldo no cartão]:[Recarga Pendente]])</f>
        <v>38.65</v>
      </c>
      <c r="N1208" s="19">
        <f>Tabela174681012142230322681619252731333624210121416182426283038402481012141620222628303234362426810121424610122426244262628262681026286236[[#This Row],[Uso diário]]*2</f>
        <v>37.6</v>
      </c>
      <c r="O1208" s="19">
        <f>Tabela174681012142230322681619252731333624210121416182426283038402481012141620222628303234362426810121424610122426244262628262681026286236[[#This Row],[Total Acumulado]]-P1208</f>
        <v>-55.35</v>
      </c>
      <c r="P1208" s="48">
        <f>Tabela174681012142230322681619252731333624210121416182426283038402481012141620222628303234362426810121424610122426244262628262681026286236[[#This Row],[Uso diário]]*5</f>
        <v>94</v>
      </c>
      <c r="Q12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8" s="25">
        <v>26</v>
      </c>
    </row>
    <row r="1209" spans="1:20" s="26" customFormat="1" x14ac:dyDescent="0.25">
      <c r="A1209" s="16">
        <v>231093</v>
      </c>
      <c r="B1209" s="30" t="s">
        <v>1525</v>
      </c>
      <c r="C1209" s="20" t="s">
        <v>651</v>
      </c>
      <c r="D1209" s="20" t="s">
        <v>716</v>
      </c>
      <c r="E1209" s="20" t="s">
        <v>3924</v>
      </c>
      <c r="F1209" s="20" t="s">
        <v>3925</v>
      </c>
      <c r="G1209" s="21">
        <v>13.4</v>
      </c>
      <c r="H1209" s="16">
        <v>16</v>
      </c>
      <c r="I1209" s="16"/>
      <c r="J12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09" s="22"/>
      <c r="L1209" s="23"/>
      <c r="M1209" s="23">
        <f>SUM(Tabela174681012142230322681619252731333624210121416182426283038402481012141620222628303234362426810121424610122426244262628262681026286236[[#This Row],[Saldo no cartão]:[Recarga Pendente]])</f>
        <v>0</v>
      </c>
      <c r="N1209" s="19">
        <f>Tabela174681012142230322681619252731333624210121416182426283038402481012141620222628303234362426810121424610122426244262628262681026286236[[#This Row],[Uso diário]]*2</f>
        <v>26.8</v>
      </c>
      <c r="O1209" s="19">
        <f>Tabela174681012142230322681619252731333624210121416182426283038402481012141620222628303234362426810121424610122426244262628262681026286236[[#This Row],[Total Acumulado]]-P1209</f>
        <v>-67</v>
      </c>
      <c r="P1209" s="48">
        <f>Tabela174681012142230322681619252731333624210121416182426283038402481012141620222628303234362426810121424610122426244262628262681026286236[[#This Row],[Uso diário]]*5</f>
        <v>67</v>
      </c>
      <c r="Q12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09" s="25">
        <v>26</v>
      </c>
    </row>
    <row r="1210" spans="1:20" s="26" customFormat="1" x14ac:dyDescent="0.25">
      <c r="A1210" s="16">
        <v>231180</v>
      </c>
      <c r="B1210" s="30" t="s">
        <v>775</v>
      </c>
      <c r="C1210" s="20" t="s">
        <v>651</v>
      </c>
      <c r="D1210" s="20" t="s">
        <v>719</v>
      </c>
      <c r="E1210" s="20" t="s">
        <v>3926</v>
      </c>
      <c r="F1210" s="20" t="s">
        <v>3927</v>
      </c>
      <c r="G1210" s="21">
        <v>18.8</v>
      </c>
      <c r="H1210" s="16">
        <v>16</v>
      </c>
      <c r="I1210" s="16"/>
      <c r="J12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10" s="22"/>
      <c r="L1210" s="23">
        <v>282</v>
      </c>
      <c r="M1210" s="23">
        <f>SUM(Tabela174681012142230322681619252731333624210121416182426283038402481012141620222628303234362426810121424610122426244262628262681026286236[[#This Row],[Saldo no cartão]:[Recarga Pendente]])</f>
        <v>282</v>
      </c>
      <c r="N1210" s="19">
        <f>Tabela174681012142230322681619252731333624210121416182426283038402481012141620222628303234362426810121424610122426244262628262681026286236[[#This Row],[Uso diário]]*2</f>
        <v>37.6</v>
      </c>
      <c r="O1210" s="19">
        <f>Tabela174681012142230322681619252731333624210121416182426283038402481012141620222628303234362426810121424610122426244262628262681026286236[[#This Row],[Total Acumulado]]-P1210</f>
        <v>188</v>
      </c>
      <c r="P1210" s="48">
        <f>Tabela174681012142230322681619252731333624210121416182426283038402481012141620222628303234362426810121424610122426244262628262681026286236[[#This Row],[Uso diário]]*5</f>
        <v>94</v>
      </c>
      <c r="Q12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188</v>
      </c>
      <c r="R12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112.80000000000001</v>
      </c>
      <c r="S1210" s="18" t="s">
        <v>11</v>
      </c>
      <c r="T1210" s="25">
        <v>26</v>
      </c>
    </row>
    <row r="1211" spans="1:20" s="26" customFormat="1" x14ac:dyDescent="0.25">
      <c r="A1211" s="16">
        <v>231181</v>
      </c>
      <c r="B1211" s="30" t="s">
        <v>776</v>
      </c>
      <c r="C1211" s="20" t="s">
        <v>651</v>
      </c>
      <c r="D1211" s="20" t="s">
        <v>716</v>
      </c>
      <c r="E1211" s="20" t="s">
        <v>3928</v>
      </c>
      <c r="F1211" s="20" t="s">
        <v>3929</v>
      </c>
      <c r="G1211" s="21">
        <v>18.8</v>
      </c>
      <c r="H1211" s="16">
        <v>16</v>
      </c>
      <c r="I1211" s="16"/>
      <c r="J12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11" s="22"/>
      <c r="L1211" s="23"/>
      <c r="M1211" s="23">
        <f>SUM(Tabela174681012142230322681619252731333624210121416182426283038402481012141620222628303234362426810121424610122426244262628262681026286236[[#This Row],[Saldo no cartão]:[Recarga Pendente]])</f>
        <v>0</v>
      </c>
      <c r="N1211" s="19">
        <f>Tabela174681012142230322681619252731333624210121416182426283038402481012141620222628303234362426810121424610122426244262628262681026286236[[#This Row],[Uso diário]]*2</f>
        <v>37.6</v>
      </c>
      <c r="O1211" s="19">
        <f>Tabela174681012142230322681619252731333624210121416182426283038402481012141620222628303234362426810121424610122426244262628262681026286236[[#This Row],[Total Acumulado]]-P1211</f>
        <v>-94</v>
      </c>
      <c r="P1211" s="48">
        <f>Tabela174681012142230322681619252731333624210121416182426283038402481012141620222628303234362426810121424610122426244262628262681026286236[[#This Row],[Uso diário]]*5</f>
        <v>94</v>
      </c>
      <c r="Q12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1" s="25">
        <v>26</v>
      </c>
    </row>
    <row r="1212" spans="1:20" s="26" customFormat="1" x14ac:dyDescent="0.25">
      <c r="A1212" s="16">
        <v>231225</v>
      </c>
      <c r="B1212" s="30" t="s">
        <v>800</v>
      </c>
      <c r="C1212" s="20" t="s">
        <v>651</v>
      </c>
      <c r="D1212" s="20" t="s">
        <v>716</v>
      </c>
      <c r="E1212" s="20" t="s">
        <v>3930</v>
      </c>
      <c r="F1212" s="20" t="s">
        <v>3931</v>
      </c>
      <c r="G1212" s="21">
        <v>13.4</v>
      </c>
      <c r="H1212" s="16">
        <v>16</v>
      </c>
      <c r="I1212" s="16"/>
      <c r="J12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2" s="22"/>
      <c r="L1212" s="23"/>
      <c r="M1212" s="23">
        <f>SUM(Tabela174681012142230322681619252731333624210121416182426283038402481012141620222628303234362426810121424610122426244262628262681026286236[[#This Row],[Saldo no cartão]:[Recarga Pendente]])</f>
        <v>0</v>
      </c>
      <c r="N1212" s="19">
        <f>Tabela174681012142230322681619252731333624210121416182426283038402481012141620222628303234362426810121424610122426244262628262681026286236[[#This Row],[Uso diário]]*2</f>
        <v>26.8</v>
      </c>
      <c r="O1212" s="19">
        <f>Tabela174681012142230322681619252731333624210121416182426283038402481012141620222628303234362426810121424610122426244262628262681026286236[[#This Row],[Total Acumulado]]-P1212</f>
        <v>-67</v>
      </c>
      <c r="P1212" s="48">
        <f>Tabela174681012142230322681619252731333624210121416182426283038402481012141620222628303234362426810121424610122426244262628262681026286236[[#This Row],[Uso diário]]*5</f>
        <v>67</v>
      </c>
      <c r="Q12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2" s="25">
        <v>26</v>
      </c>
    </row>
    <row r="1213" spans="1:20" s="26" customFormat="1" x14ac:dyDescent="0.25">
      <c r="A1213" s="16">
        <v>231368</v>
      </c>
      <c r="B1213" s="30" t="s">
        <v>801</v>
      </c>
      <c r="C1213" s="20" t="s">
        <v>651</v>
      </c>
      <c r="D1213" s="20" t="s">
        <v>716</v>
      </c>
      <c r="E1213" s="20" t="s">
        <v>3932</v>
      </c>
      <c r="F1213" s="20" t="s">
        <v>3933</v>
      </c>
      <c r="G1213" s="21">
        <v>13.4</v>
      </c>
      <c r="H1213" s="16">
        <v>16</v>
      </c>
      <c r="I1213" s="16"/>
      <c r="J12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3" s="22"/>
      <c r="L1213" s="23"/>
      <c r="M1213" s="23">
        <f>SUM(Tabela174681012142230322681619252731333624210121416182426283038402481012141620222628303234362426810121424610122426244262628262681026286236[[#This Row],[Saldo no cartão]:[Recarga Pendente]])</f>
        <v>0</v>
      </c>
      <c r="N1213" s="19">
        <f>Tabela174681012142230322681619252731333624210121416182426283038402481012141620222628303234362426810121424610122426244262628262681026286236[[#This Row],[Uso diário]]*2</f>
        <v>26.8</v>
      </c>
      <c r="O1213" s="19">
        <f>Tabela174681012142230322681619252731333624210121416182426283038402481012141620222628303234362426810121424610122426244262628262681026286236[[#This Row],[Total Acumulado]]-P1213</f>
        <v>-67</v>
      </c>
      <c r="P1213" s="48">
        <f>Tabela174681012142230322681619252731333624210121416182426283038402481012141620222628303234362426810121424610122426244262628262681026286236[[#This Row],[Uso diário]]*5</f>
        <v>67</v>
      </c>
      <c r="Q12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3" s="25">
        <v>26</v>
      </c>
    </row>
    <row r="1214" spans="1:20" s="26" customFormat="1" x14ac:dyDescent="0.25">
      <c r="A1214" s="16">
        <v>231370</v>
      </c>
      <c r="B1214" s="30" t="s">
        <v>802</v>
      </c>
      <c r="C1214" s="20" t="s">
        <v>651</v>
      </c>
      <c r="D1214" s="20" t="s">
        <v>719</v>
      </c>
      <c r="E1214" s="20" t="s">
        <v>3934</v>
      </c>
      <c r="F1214" s="20" t="s">
        <v>3935</v>
      </c>
      <c r="G1214" s="21">
        <v>13.4</v>
      </c>
      <c r="H1214" s="16">
        <v>16</v>
      </c>
      <c r="I1214" s="16"/>
      <c r="J12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4" s="22"/>
      <c r="L1214" s="23"/>
      <c r="M1214" s="23">
        <f>SUM(Tabela174681012142230322681619252731333624210121416182426283038402481012141620222628303234362426810121424610122426244262628262681026286236[[#This Row],[Saldo no cartão]:[Recarga Pendente]])</f>
        <v>0</v>
      </c>
      <c r="N1214" s="19">
        <f>Tabela174681012142230322681619252731333624210121416182426283038402481012141620222628303234362426810121424610122426244262628262681026286236[[#This Row],[Uso diário]]*2</f>
        <v>26.8</v>
      </c>
      <c r="O1214" s="19">
        <f>Tabela174681012142230322681619252731333624210121416182426283038402481012141620222628303234362426810121424610122426244262628262681026286236[[#This Row],[Total Acumulado]]-P1214</f>
        <v>-67</v>
      </c>
      <c r="P1214" s="48">
        <f>Tabela174681012142230322681619252731333624210121416182426283038402481012141620222628303234362426810121424610122426244262628262681026286236[[#This Row],[Uso diário]]*5</f>
        <v>67</v>
      </c>
      <c r="Q12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4" s="25">
        <v>26</v>
      </c>
    </row>
    <row r="1215" spans="1:20" s="26" customFormat="1" x14ac:dyDescent="0.25">
      <c r="A1215" s="16">
        <v>231512</v>
      </c>
      <c r="B1215" s="30" t="s">
        <v>803</v>
      </c>
      <c r="C1215" s="20" t="s">
        <v>651</v>
      </c>
      <c r="D1215" s="20" t="s">
        <v>719</v>
      </c>
      <c r="E1215" s="20" t="s">
        <v>3936</v>
      </c>
      <c r="F1215" s="20" t="s">
        <v>3937</v>
      </c>
      <c r="G1215" s="21">
        <v>13.4</v>
      </c>
      <c r="H1215" s="16">
        <v>16</v>
      </c>
      <c r="I1215" s="16"/>
      <c r="J12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5" s="22"/>
      <c r="L1215" s="23"/>
      <c r="M1215" s="23">
        <f>SUM(Tabela174681012142230322681619252731333624210121416182426283038402481012141620222628303234362426810121424610122426244262628262681026286236[[#This Row],[Saldo no cartão]:[Recarga Pendente]])</f>
        <v>0</v>
      </c>
      <c r="N1215" s="19">
        <f>Tabela174681012142230322681619252731333624210121416182426283038402481012141620222628303234362426810121424610122426244262628262681026286236[[#This Row],[Uso diário]]*2</f>
        <v>26.8</v>
      </c>
      <c r="O1215" s="19">
        <f>Tabela174681012142230322681619252731333624210121416182426283038402481012141620222628303234362426810121424610122426244262628262681026286236[[#This Row],[Total Acumulado]]-P1215</f>
        <v>-67</v>
      </c>
      <c r="P1215" s="48">
        <f>Tabela174681012142230322681619252731333624210121416182426283038402481012141620222628303234362426810121424610122426244262628262681026286236[[#This Row],[Uso diário]]*5</f>
        <v>67</v>
      </c>
      <c r="Q12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5" s="25">
        <v>26</v>
      </c>
    </row>
    <row r="1216" spans="1:20" s="26" customFormat="1" x14ac:dyDescent="0.25">
      <c r="A1216" s="16">
        <v>231580</v>
      </c>
      <c r="B1216" s="30" t="s">
        <v>864</v>
      </c>
      <c r="C1216" s="20" t="s">
        <v>651</v>
      </c>
      <c r="D1216" s="20" t="s">
        <v>716</v>
      </c>
      <c r="E1216" s="20" t="s">
        <v>3938</v>
      </c>
      <c r="F1216" s="20" t="s">
        <v>3939</v>
      </c>
      <c r="G1216" s="21">
        <v>13.4</v>
      </c>
      <c r="H1216" s="16">
        <v>16</v>
      </c>
      <c r="I1216" s="16"/>
      <c r="J12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6" s="22"/>
      <c r="L1216" s="23">
        <v>35.700000000000003</v>
      </c>
      <c r="M1216" s="23">
        <f>SUM(Tabela174681012142230322681619252731333624210121416182426283038402481012141620222628303234362426810121424610122426244262628262681026286236[[#This Row],[Saldo no cartão]:[Recarga Pendente]])</f>
        <v>35.700000000000003</v>
      </c>
      <c r="N1216" s="19">
        <f>Tabela174681012142230322681619252731333624210121416182426283038402481012141620222628303234362426810121424610122426244262628262681026286236[[#This Row],[Uso diário]]*2</f>
        <v>26.8</v>
      </c>
      <c r="O1216" s="19">
        <f>Tabela174681012142230322681619252731333624210121416182426283038402481012141620222628303234362426810121424610122426244262628262681026286236[[#This Row],[Total Acumulado]]-P1216</f>
        <v>-31.299999999999997</v>
      </c>
      <c r="P1216" s="48">
        <f>Tabela174681012142230322681619252731333624210121416182426283038402481012141620222628303234362426810121424610122426244262628262681026286236[[#This Row],[Uso diário]]*5</f>
        <v>67</v>
      </c>
      <c r="Q12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6" s="25">
        <v>26</v>
      </c>
    </row>
    <row r="1217" spans="1:20" s="26" customFormat="1" x14ac:dyDescent="0.25">
      <c r="A1217" s="16">
        <v>231615</v>
      </c>
      <c r="B1217" s="30" t="s">
        <v>866</v>
      </c>
      <c r="C1217" s="20" t="s">
        <v>651</v>
      </c>
      <c r="D1217" s="20" t="s">
        <v>716</v>
      </c>
      <c r="E1217" s="20" t="s">
        <v>3940</v>
      </c>
      <c r="F1217" s="20" t="s">
        <v>3941</v>
      </c>
      <c r="G1217" s="21">
        <v>13.4</v>
      </c>
      <c r="H1217" s="16">
        <v>16</v>
      </c>
      <c r="I1217" s="16"/>
      <c r="J12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7" s="22"/>
      <c r="L1217" s="23"/>
      <c r="M1217" s="23">
        <f>SUM(Tabela174681012142230322681619252731333624210121416182426283038402481012141620222628303234362426810121424610122426244262628262681026286236[[#This Row],[Saldo no cartão]:[Recarga Pendente]])</f>
        <v>0</v>
      </c>
      <c r="N1217" s="19">
        <f>Tabela174681012142230322681619252731333624210121416182426283038402481012141620222628303234362426810121424610122426244262628262681026286236[[#This Row],[Uso diário]]*2</f>
        <v>26.8</v>
      </c>
      <c r="O1217" s="19">
        <f>Tabela174681012142230322681619252731333624210121416182426283038402481012141620222628303234362426810121424610122426244262628262681026286236[[#This Row],[Total Acumulado]]-P1217</f>
        <v>-67</v>
      </c>
      <c r="P1217" s="48">
        <f>Tabela174681012142230322681619252731333624210121416182426283038402481012141620222628303234362426810121424610122426244262628262681026286236[[#This Row],[Uso diário]]*5</f>
        <v>67</v>
      </c>
      <c r="Q12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7" s="25">
        <v>26</v>
      </c>
    </row>
    <row r="1218" spans="1:20" s="26" customFormat="1" x14ac:dyDescent="0.25">
      <c r="A1218" s="16">
        <v>231879</v>
      </c>
      <c r="B1218" s="30" t="s">
        <v>867</v>
      </c>
      <c r="C1218" s="20" t="s">
        <v>651</v>
      </c>
      <c r="D1218" s="20" t="s">
        <v>716</v>
      </c>
      <c r="E1218" s="20" t="s">
        <v>3942</v>
      </c>
      <c r="F1218" s="20" t="s">
        <v>3943</v>
      </c>
      <c r="G1218" s="21">
        <v>13.4</v>
      </c>
      <c r="H1218" s="16">
        <v>16</v>
      </c>
      <c r="I1218" s="16"/>
      <c r="J12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8" s="22"/>
      <c r="L1218" s="23"/>
      <c r="M1218" s="23">
        <f>SUM(Tabela174681012142230322681619252731333624210121416182426283038402481012141620222628303234362426810121424610122426244262628262681026286236[[#This Row],[Saldo no cartão]:[Recarga Pendente]])</f>
        <v>0</v>
      </c>
      <c r="N1218" s="19">
        <f>Tabela174681012142230322681619252731333624210121416182426283038402481012141620222628303234362426810121424610122426244262628262681026286236[[#This Row],[Uso diário]]*2</f>
        <v>26.8</v>
      </c>
      <c r="O1218" s="19">
        <f>Tabela174681012142230322681619252731333624210121416182426283038402481012141620222628303234362426810121424610122426244262628262681026286236[[#This Row],[Total Acumulado]]-P1218</f>
        <v>-67</v>
      </c>
      <c r="P1218" s="48">
        <f>Tabela174681012142230322681619252731333624210121416182426283038402481012141620222628303234362426810121424610122426244262628262681026286236[[#This Row],[Uso diário]]*5</f>
        <v>67</v>
      </c>
      <c r="Q12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8" s="25">
        <v>26</v>
      </c>
    </row>
    <row r="1219" spans="1:20" s="26" customFormat="1" x14ac:dyDescent="0.25">
      <c r="A1219" s="16">
        <v>231928</v>
      </c>
      <c r="B1219" s="30" t="s">
        <v>869</v>
      </c>
      <c r="C1219" s="20" t="s">
        <v>651</v>
      </c>
      <c r="D1219" s="20" t="s">
        <v>716</v>
      </c>
      <c r="E1219" s="20" t="s">
        <v>3944</v>
      </c>
      <c r="F1219" s="20" t="s">
        <v>3945</v>
      </c>
      <c r="G1219" s="21">
        <v>13.4</v>
      </c>
      <c r="H1219" s="16">
        <v>16</v>
      </c>
      <c r="I1219" s="16"/>
      <c r="J12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19" s="22"/>
      <c r="L1219" s="23"/>
      <c r="M1219" s="23">
        <f>SUM(Tabela174681012142230322681619252731333624210121416182426283038402481012141620222628303234362426810121424610122426244262628262681026286236[[#This Row],[Saldo no cartão]:[Recarga Pendente]])</f>
        <v>0</v>
      </c>
      <c r="N1219" s="19">
        <f>Tabela174681012142230322681619252731333624210121416182426283038402481012141620222628303234362426810121424610122426244262628262681026286236[[#This Row],[Uso diário]]*2</f>
        <v>26.8</v>
      </c>
      <c r="O1219" s="19">
        <f>Tabela174681012142230322681619252731333624210121416182426283038402481012141620222628303234362426810121424610122426244262628262681026286236[[#This Row],[Total Acumulado]]-P1219</f>
        <v>-67</v>
      </c>
      <c r="P1219" s="48">
        <f>Tabela174681012142230322681619252731333624210121416182426283038402481012141620222628303234362426810121424610122426244262628262681026286236[[#This Row],[Uso diário]]*5</f>
        <v>67</v>
      </c>
      <c r="Q12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19" s="25">
        <v>26</v>
      </c>
    </row>
    <row r="1220" spans="1:20" s="26" customFormat="1" x14ac:dyDescent="0.25">
      <c r="A1220" s="16">
        <v>231929</v>
      </c>
      <c r="B1220" s="30" t="s">
        <v>870</v>
      </c>
      <c r="C1220" s="20" t="s">
        <v>651</v>
      </c>
      <c r="D1220" s="20" t="s">
        <v>719</v>
      </c>
      <c r="E1220" s="20" t="s">
        <v>3946</v>
      </c>
      <c r="F1220" s="20" t="s">
        <v>3947</v>
      </c>
      <c r="G1220" s="21">
        <v>13.4</v>
      </c>
      <c r="H1220" s="16">
        <v>16</v>
      </c>
      <c r="I1220" s="16"/>
      <c r="J12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0" s="22"/>
      <c r="L1220" s="23"/>
      <c r="M1220" s="23">
        <f>SUM(Tabela174681012142230322681619252731333624210121416182426283038402481012141620222628303234362426810121424610122426244262628262681026286236[[#This Row],[Saldo no cartão]:[Recarga Pendente]])</f>
        <v>0</v>
      </c>
      <c r="N1220" s="19">
        <f>Tabela174681012142230322681619252731333624210121416182426283038402481012141620222628303234362426810121424610122426244262628262681026286236[[#This Row],[Uso diário]]*2</f>
        <v>26.8</v>
      </c>
      <c r="O1220" s="19">
        <f>Tabela174681012142230322681619252731333624210121416182426283038402481012141620222628303234362426810121424610122426244262628262681026286236[[#This Row],[Total Acumulado]]-P1220</f>
        <v>-67</v>
      </c>
      <c r="P1220" s="48">
        <f>Tabela174681012142230322681619252731333624210121416182426283038402481012141620222628303234362426810121424610122426244262628262681026286236[[#This Row],[Uso diário]]*5</f>
        <v>67</v>
      </c>
      <c r="Q12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0" s="25">
        <v>26</v>
      </c>
    </row>
    <row r="1221" spans="1:20" s="26" customFormat="1" x14ac:dyDescent="0.25">
      <c r="A1221" s="16">
        <v>232844</v>
      </c>
      <c r="B1221" s="30" t="s">
        <v>951</v>
      </c>
      <c r="C1221" s="20" t="s">
        <v>651</v>
      </c>
      <c r="D1221" s="20" t="s">
        <v>716</v>
      </c>
      <c r="E1221" s="20" t="s">
        <v>3948</v>
      </c>
      <c r="F1221" s="20" t="s">
        <v>3949</v>
      </c>
      <c r="G1221" s="21">
        <v>13.4</v>
      </c>
      <c r="H1221" s="16">
        <v>16</v>
      </c>
      <c r="I1221" s="16"/>
      <c r="J12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1" s="22"/>
      <c r="L1221" s="23"/>
      <c r="M1221" s="23">
        <f>SUM(Tabela174681012142230322681619252731333624210121416182426283038402481012141620222628303234362426810121424610122426244262628262681026286236[[#This Row],[Saldo no cartão]:[Recarga Pendente]])</f>
        <v>0</v>
      </c>
      <c r="N1221" s="19">
        <f>Tabela174681012142230322681619252731333624210121416182426283038402481012141620222628303234362426810121424610122426244262628262681026286236[[#This Row],[Uso diário]]*2</f>
        <v>26.8</v>
      </c>
      <c r="O1221" s="19">
        <f>Tabela174681012142230322681619252731333624210121416182426283038402481012141620222628303234362426810121424610122426244262628262681026286236[[#This Row],[Total Acumulado]]-P1221</f>
        <v>-67</v>
      </c>
      <c r="P1221" s="48">
        <f>Tabela174681012142230322681619252731333624210121416182426283038402481012141620222628303234362426810121424610122426244262628262681026286236[[#This Row],[Uso diário]]*5</f>
        <v>67</v>
      </c>
      <c r="Q12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1" s="25">
        <v>26</v>
      </c>
    </row>
    <row r="1222" spans="1:20" s="26" customFormat="1" x14ac:dyDescent="0.25">
      <c r="A1222" s="16">
        <v>232889</v>
      </c>
      <c r="B1222" s="30" t="s">
        <v>1014</v>
      </c>
      <c r="C1222" s="20" t="s">
        <v>651</v>
      </c>
      <c r="D1222" s="20" t="s">
        <v>716</v>
      </c>
      <c r="E1222" s="20" t="s">
        <v>3950</v>
      </c>
      <c r="F1222" s="20" t="s">
        <v>3951</v>
      </c>
      <c r="G1222" s="21">
        <v>13.4</v>
      </c>
      <c r="H1222" s="16">
        <v>16</v>
      </c>
      <c r="I1222" s="16"/>
      <c r="J12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2" s="22"/>
      <c r="L1222" s="23"/>
      <c r="M1222" s="23">
        <f>SUM(Tabela174681012142230322681619252731333624210121416182426283038402481012141620222628303234362426810121424610122426244262628262681026286236[[#This Row],[Saldo no cartão]:[Recarga Pendente]])</f>
        <v>0</v>
      </c>
      <c r="N1222" s="19">
        <f>Tabela174681012142230322681619252731333624210121416182426283038402481012141620222628303234362426810121424610122426244262628262681026286236[[#This Row],[Uso diário]]*2</f>
        <v>26.8</v>
      </c>
      <c r="O1222" s="19">
        <f>Tabela174681012142230322681619252731333624210121416182426283038402481012141620222628303234362426810121424610122426244262628262681026286236[[#This Row],[Total Acumulado]]-P1222</f>
        <v>-67</v>
      </c>
      <c r="P1222" s="48">
        <f>Tabela174681012142230322681619252731333624210121416182426283038402481012141620222628303234362426810121424610122426244262628262681026286236[[#This Row],[Uso diário]]*5</f>
        <v>67</v>
      </c>
      <c r="Q12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2" s="25">
        <v>26</v>
      </c>
    </row>
    <row r="1223" spans="1:20" s="26" customFormat="1" x14ac:dyDescent="0.25">
      <c r="A1223" s="16">
        <v>232988</v>
      </c>
      <c r="B1223" s="30" t="s">
        <v>1015</v>
      </c>
      <c r="C1223" s="20" t="s">
        <v>651</v>
      </c>
      <c r="D1223" s="20" t="s">
        <v>716</v>
      </c>
      <c r="E1223" s="20" t="s">
        <v>3952</v>
      </c>
      <c r="F1223" s="20" t="s">
        <v>3953</v>
      </c>
      <c r="G1223" s="21">
        <v>13.4</v>
      </c>
      <c r="H1223" s="16">
        <v>16</v>
      </c>
      <c r="I1223" s="16"/>
      <c r="J12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3" s="22"/>
      <c r="L1223" s="23"/>
      <c r="M1223" s="23">
        <f>SUM(Tabela174681012142230322681619252731333624210121416182426283038402481012141620222628303234362426810121424610122426244262628262681026286236[[#This Row],[Saldo no cartão]:[Recarga Pendente]])</f>
        <v>0</v>
      </c>
      <c r="N1223" s="19">
        <f>Tabela174681012142230322681619252731333624210121416182426283038402481012141620222628303234362426810121424610122426244262628262681026286236[[#This Row],[Uso diário]]*2</f>
        <v>26.8</v>
      </c>
      <c r="O1223" s="19">
        <f>Tabela174681012142230322681619252731333624210121416182426283038402481012141620222628303234362426810121424610122426244262628262681026286236[[#This Row],[Total Acumulado]]-P1223</f>
        <v>-67</v>
      </c>
      <c r="P1223" s="48">
        <f>Tabela174681012142230322681619252731333624210121416182426283038402481012141620222628303234362426810121424610122426244262628262681026286236[[#This Row],[Uso diário]]*5</f>
        <v>67</v>
      </c>
      <c r="Q12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3" s="25">
        <v>26</v>
      </c>
    </row>
    <row r="1224" spans="1:20" s="26" customFormat="1" x14ac:dyDescent="0.25">
      <c r="A1224" s="16">
        <v>233084</v>
      </c>
      <c r="B1224" s="30" t="s">
        <v>1016</v>
      </c>
      <c r="C1224" s="20" t="s">
        <v>651</v>
      </c>
      <c r="D1224" s="20" t="s">
        <v>716</v>
      </c>
      <c r="E1224" s="20" t="s">
        <v>3954</v>
      </c>
      <c r="F1224" s="20" t="s">
        <v>3955</v>
      </c>
      <c r="G1224" s="21">
        <v>13.4</v>
      </c>
      <c r="H1224" s="16">
        <v>16</v>
      </c>
      <c r="I1224" s="16"/>
      <c r="J12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4" s="22"/>
      <c r="L1224" s="23"/>
      <c r="M1224" s="23">
        <f>SUM(Tabela174681012142230322681619252731333624210121416182426283038402481012141620222628303234362426810121424610122426244262628262681026286236[[#This Row],[Saldo no cartão]:[Recarga Pendente]])</f>
        <v>0</v>
      </c>
      <c r="N1224" s="19">
        <f>Tabela174681012142230322681619252731333624210121416182426283038402481012141620222628303234362426810121424610122426244262628262681026286236[[#This Row],[Uso diário]]*2</f>
        <v>26.8</v>
      </c>
      <c r="O1224" s="19">
        <f>Tabela174681012142230322681619252731333624210121416182426283038402481012141620222628303234362426810121424610122426244262628262681026286236[[#This Row],[Total Acumulado]]-P1224</f>
        <v>-67</v>
      </c>
      <c r="P1224" s="48">
        <f>Tabela174681012142230322681619252731333624210121416182426283038402481012141620222628303234362426810121424610122426244262628262681026286236[[#This Row],[Uso diário]]*5</f>
        <v>67</v>
      </c>
      <c r="Q12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4" s="25">
        <v>26</v>
      </c>
    </row>
    <row r="1225" spans="1:20" s="26" customFormat="1" x14ac:dyDescent="0.25">
      <c r="A1225" s="16">
        <v>233085</v>
      </c>
      <c r="B1225" s="30" t="s">
        <v>1017</v>
      </c>
      <c r="C1225" s="20" t="s">
        <v>651</v>
      </c>
      <c r="D1225" s="20" t="s">
        <v>716</v>
      </c>
      <c r="E1225" s="20" t="s">
        <v>3956</v>
      </c>
      <c r="F1225" s="20" t="s">
        <v>3957</v>
      </c>
      <c r="G1225" s="21">
        <v>13.4</v>
      </c>
      <c r="H1225" s="16">
        <v>16</v>
      </c>
      <c r="I1225" s="16"/>
      <c r="J12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5" s="22"/>
      <c r="L1225" s="23"/>
      <c r="M1225" s="23">
        <f>SUM(Tabela174681012142230322681619252731333624210121416182426283038402481012141620222628303234362426810121424610122426244262628262681026286236[[#This Row],[Saldo no cartão]:[Recarga Pendente]])</f>
        <v>0</v>
      </c>
      <c r="N1225" s="19">
        <f>Tabela174681012142230322681619252731333624210121416182426283038402481012141620222628303234362426810121424610122426244262628262681026286236[[#This Row],[Uso diário]]*2</f>
        <v>26.8</v>
      </c>
      <c r="O1225" s="19">
        <f>Tabela174681012142230322681619252731333624210121416182426283038402481012141620222628303234362426810121424610122426244262628262681026286236[[#This Row],[Total Acumulado]]-P1225</f>
        <v>-67</v>
      </c>
      <c r="P1225" s="48">
        <f>Tabela174681012142230322681619252731333624210121416182426283038402481012141620222628303234362426810121424610122426244262628262681026286236[[#This Row],[Uso diário]]*5</f>
        <v>67</v>
      </c>
      <c r="Q12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5" s="25">
        <v>26</v>
      </c>
    </row>
    <row r="1226" spans="1:20" s="26" customFormat="1" x14ac:dyDescent="0.25">
      <c r="A1226" s="16">
        <v>233108</v>
      </c>
      <c r="B1226" s="30" t="s">
        <v>1018</v>
      </c>
      <c r="C1226" s="20" t="s">
        <v>651</v>
      </c>
      <c r="D1226" s="20" t="s">
        <v>716</v>
      </c>
      <c r="E1226" s="20" t="s">
        <v>3958</v>
      </c>
      <c r="F1226" s="20" t="s">
        <v>3959</v>
      </c>
      <c r="G1226" s="21">
        <v>13.4</v>
      </c>
      <c r="H1226" s="16">
        <v>16</v>
      </c>
      <c r="I1226" s="16"/>
      <c r="J12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6" s="22"/>
      <c r="L1226" s="23"/>
      <c r="M1226" s="23">
        <f>SUM(Tabela174681012142230322681619252731333624210121416182426283038402481012141620222628303234362426810121424610122426244262628262681026286236[[#This Row],[Saldo no cartão]:[Recarga Pendente]])</f>
        <v>0</v>
      </c>
      <c r="N1226" s="19">
        <f>Tabela174681012142230322681619252731333624210121416182426283038402481012141620222628303234362426810121424610122426244262628262681026286236[[#This Row],[Uso diário]]*2</f>
        <v>26.8</v>
      </c>
      <c r="O1226" s="19">
        <f>Tabela174681012142230322681619252731333624210121416182426283038402481012141620222628303234362426810121424610122426244262628262681026286236[[#This Row],[Total Acumulado]]-P1226</f>
        <v>-67</v>
      </c>
      <c r="P1226" s="48">
        <f>Tabela174681012142230322681619252731333624210121416182426283038402481012141620222628303234362426810121424610122426244262628262681026286236[[#This Row],[Uso diário]]*5</f>
        <v>67</v>
      </c>
      <c r="Q12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6" s="25">
        <v>26</v>
      </c>
    </row>
    <row r="1227" spans="1:20" s="26" customFormat="1" x14ac:dyDescent="0.25">
      <c r="A1227" s="16">
        <v>233976</v>
      </c>
      <c r="B1227" s="30" t="s">
        <v>1245</v>
      </c>
      <c r="C1227" s="20" t="s">
        <v>651</v>
      </c>
      <c r="D1227" s="20" t="s">
        <v>716</v>
      </c>
      <c r="E1227" s="20" t="s">
        <v>3960</v>
      </c>
      <c r="F1227" s="20" t="s">
        <v>3961</v>
      </c>
      <c r="G1227" s="21">
        <v>13.4</v>
      </c>
      <c r="H1227" s="16">
        <v>16</v>
      </c>
      <c r="I1227" s="16"/>
      <c r="J12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7" s="22"/>
      <c r="L1227" s="23"/>
      <c r="M1227" s="23">
        <f>SUM(Tabela174681012142230322681619252731333624210121416182426283038402481012141620222628303234362426810121424610122426244262628262681026286236[[#This Row],[Saldo no cartão]:[Recarga Pendente]])</f>
        <v>0</v>
      </c>
      <c r="N1227" s="19">
        <f>Tabela174681012142230322681619252731333624210121416182426283038402481012141620222628303234362426810121424610122426244262628262681026286236[[#This Row],[Uso diário]]*2</f>
        <v>26.8</v>
      </c>
      <c r="O1227" s="19">
        <f>Tabela174681012142230322681619252731333624210121416182426283038402481012141620222628303234362426810121424610122426244262628262681026286236[[#This Row],[Total Acumulado]]-P1227</f>
        <v>-67</v>
      </c>
      <c r="P1227" s="48">
        <f>Tabela174681012142230322681619252731333624210121416182426283038402481012141620222628303234362426810121424610122426244262628262681026286236[[#This Row],[Uso diário]]*5</f>
        <v>67</v>
      </c>
      <c r="Q12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7" s="25">
        <v>26</v>
      </c>
    </row>
    <row r="1228" spans="1:20" s="26" customFormat="1" x14ac:dyDescent="0.25">
      <c r="A1228" s="16">
        <v>234018</v>
      </c>
      <c r="B1228" s="30" t="s">
        <v>1246</v>
      </c>
      <c r="C1228" s="20" t="s">
        <v>651</v>
      </c>
      <c r="D1228" s="20" t="s">
        <v>716</v>
      </c>
      <c r="E1228" s="20" t="s">
        <v>3962</v>
      </c>
      <c r="F1228" s="20" t="s">
        <v>3963</v>
      </c>
      <c r="G1228" s="21">
        <v>18.8</v>
      </c>
      <c r="H1228" s="16">
        <v>16</v>
      </c>
      <c r="I1228" s="16"/>
      <c r="J12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28" s="22"/>
      <c r="L1228" s="23"/>
      <c r="M1228" s="23">
        <f>SUM(Tabela174681012142230322681619252731333624210121416182426283038402481012141620222628303234362426810121424610122426244262628262681026286236[[#This Row],[Saldo no cartão]:[Recarga Pendente]])</f>
        <v>0</v>
      </c>
      <c r="N1228" s="19">
        <f>Tabela174681012142230322681619252731333624210121416182426283038402481012141620222628303234362426810121424610122426244262628262681026286236[[#This Row],[Uso diário]]*2</f>
        <v>37.6</v>
      </c>
      <c r="O1228" s="19">
        <f>Tabela174681012142230322681619252731333624210121416182426283038402481012141620222628303234362426810121424610122426244262628262681026286236[[#This Row],[Total Acumulado]]-P1228</f>
        <v>-94</v>
      </c>
      <c r="P1228" s="48">
        <f>Tabela174681012142230322681619252731333624210121416182426283038402481012141620222628303234362426810121424610122426244262628262681026286236[[#This Row],[Uso diário]]*5</f>
        <v>94</v>
      </c>
      <c r="Q12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8" s="25">
        <v>26</v>
      </c>
    </row>
    <row r="1229" spans="1:20" s="26" customFormat="1" x14ac:dyDescent="0.25">
      <c r="A1229" s="16">
        <v>234048</v>
      </c>
      <c r="B1229" s="30" t="s">
        <v>1247</v>
      </c>
      <c r="C1229" s="20" t="s">
        <v>651</v>
      </c>
      <c r="D1229" s="20" t="s">
        <v>716</v>
      </c>
      <c r="E1229" s="20" t="s">
        <v>3964</v>
      </c>
      <c r="F1229" s="20" t="s">
        <v>3965</v>
      </c>
      <c r="G1229" s="21">
        <v>13.4</v>
      </c>
      <c r="H1229" s="16">
        <v>16</v>
      </c>
      <c r="I1229" s="16"/>
      <c r="J12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29" s="22"/>
      <c r="L1229" s="23"/>
      <c r="M1229" s="23">
        <f>SUM(Tabela174681012142230322681619252731333624210121416182426283038402481012141620222628303234362426810121424610122426244262628262681026286236[[#This Row],[Saldo no cartão]:[Recarga Pendente]])</f>
        <v>0</v>
      </c>
      <c r="N1229" s="19">
        <f>Tabela174681012142230322681619252731333624210121416182426283038402481012141620222628303234362426810121424610122426244262628262681026286236[[#This Row],[Uso diário]]*2</f>
        <v>26.8</v>
      </c>
      <c r="O1229" s="19">
        <f>Tabela174681012142230322681619252731333624210121416182426283038402481012141620222628303234362426810121424610122426244262628262681026286236[[#This Row],[Total Acumulado]]-P1229</f>
        <v>-67</v>
      </c>
      <c r="P1229" s="48">
        <f>Tabela174681012142230322681619252731333624210121416182426283038402481012141620222628303234362426810121424610122426244262628262681026286236[[#This Row],[Uso diário]]*5</f>
        <v>67</v>
      </c>
      <c r="Q12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29" s="25">
        <v>26</v>
      </c>
    </row>
    <row r="1230" spans="1:20" s="26" customFormat="1" x14ac:dyDescent="0.25">
      <c r="A1230" s="16">
        <v>234376</v>
      </c>
      <c r="B1230" s="30" t="s">
        <v>1300</v>
      </c>
      <c r="C1230" s="20" t="s">
        <v>651</v>
      </c>
      <c r="D1230" s="20" t="s">
        <v>716</v>
      </c>
      <c r="E1230" s="20" t="s">
        <v>3966</v>
      </c>
      <c r="F1230" s="20" t="s">
        <v>3967</v>
      </c>
      <c r="G1230" s="21">
        <v>18.8</v>
      </c>
      <c r="H1230" s="16">
        <v>16</v>
      </c>
      <c r="I1230" s="16"/>
      <c r="J12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30" s="22"/>
      <c r="L1230" s="23"/>
      <c r="M1230" s="23">
        <f>SUM(Tabela174681012142230322681619252731333624210121416182426283038402481012141620222628303234362426810121424610122426244262628262681026286236[[#This Row],[Saldo no cartão]:[Recarga Pendente]])</f>
        <v>0</v>
      </c>
      <c r="N1230" s="19">
        <f>Tabela174681012142230322681619252731333624210121416182426283038402481012141620222628303234362426810121424610122426244262628262681026286236[[#This Row],[Uso diário]]*2</f>
        <v>37.6</v>
      </c>
      <c r="O1230" s="19">
        <f>Tabela174681012142230322681619252731333624210121416182426283038402481012141620222628303234362426810121424610122426244262628262681026286236[[#This Row],[Total Acumulado]]-P1230</f>
        <v>-94</v>
      </c>
      <c r="P1230" s="48">
        <f>Tabela174681012142230322681619252731333624210121416182426283038402481012141620222628303234362426810121424610122426244262628262681026286236[[#This Row],[Uso diário]]*5</f>
        <v>94</v>
      </c>
      <c r="Q12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0" s="25">
        <v>26</v>
      </c>
    </row>
    <row r="1231" spans="1:20" s="26" customFormat="1" x14ac:dyDescent="0.25">
      <c r="A1231" s="16">
        <v>234509</v>
      </c>
      <c r="B1231" s="30" t="s">
        <v>1301</v>
      </c>
      <c r="C1231" s="20" t="s">
        <v>651</v>
      </c>
      <c r="D1231" s="20" t="s">
        <v>716</v>
      </c>
      <c r="E1231" s="20" t="s">
        <v>3968</v>
      </c>
      <c r="F1231" s="20" t="s">
        <v>3969</v>
      </c>
      <c r="G1231" s="21">
        <v>13.4</v>
      </c>
      <c r="H1231" s="16">
        <v>26</v>
      </c>
      <c r="I1231" s="16">
        <v>1</v>
      </c>
      <c r="J12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231" s="22"/>
      <c r="L1231" s="23"/>
      <c r="M1231" s="23">
        <f>SUM(Tabela174681012142230322681619252731333624210121416182426283038402481012141620222628303234362426810121424610122426244262628262681026286236[[#This Row],[Saldo no cartão]:[Recarga Pendente]])</f>
        <v>0</v>
      </c>
      <c r="N1231" s="19">
        <f>Tabela174681012142230322681619252731333624210121416182426283038402481012141620222628303234362426810121424610122426244262628262681026286236[[#This Row],[Uso diário]]*2</f>
        <v>26.8</v>
      </c>
      <c r="O1231" s="19">
        <f>Tabela174681012142230322681619252731333624210121416182426283038402481012141620222628303234362426810121424610122426244262628262681026286236[[#This Row],[Total Acumulado]]-P1231</f>
        <v>-67</v>
      </c>
      <c r="P1231" s="48">
        <f>Tabela174681012142230322681619252731333624210121416182426283038402481012141620222628303234362426810121424610122426244262628262681026286236[[#This Row],[Uso diário]]*5</f>
        <v>67</v>
      </c>
      <c r="Q12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2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1" s="25">
        <v>26</v>
      </c>
    </row>
    <row r="1232" spans="1:20" s="26" customFormat="1" x14ac:dyDescent="0.25">
      <c r="A1232" s="16">
        <v>234609</v>
      </c>
      <c r="B1232" s="30" t="s">
        <v>1331</v>
      </c>
      <c r="C1232" s="20" t="s">
        <v>651</v>
      </c>
      <c r="D1232" s="20" t="s">
        <v>716</v>
      </c>
      <c r="E1232" s="20" t="s">
        <v>3970</v>
      </c>
      <c r="F1232" s="20" t="s">
        <v>3971</v>
      </c>
      <c r="G1232" s="21">
        <v>18.8</v>
      </c>
      <c r="H1232" s="16">
        <v>16</v>
      </c>
      <c r="I1232" s="16"/>
      <c r="J12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32" s="22"/>
      <c r="L1232" s="23"/>
      <c r="M1232" s="23">
        <f>SUM(Tabela174681012142230322681619252731333624210121416182426283038402481012141620222628303234362426810121424610122426244262628262681026286236[[#This Row],[Saldo no cartão]:[Recarga Pendente]])</f>
        <v>0</v>
      </c>
      <c r="N1232" s="19">
        <f>Tabela174681012142230322681619252731333624210121416182426283038402481012141620222628303234362426810121424610122426244262628262681026286236[[#This Row],[Uso diário]]*2</f>
        <v>37.6</v>
      </c>
      <c r="O1232" s="19">
        <f>Tabela174681012142230322681619252731333624210121416182426283038402481012141620222628303234362426810121424610122426244262628262681026286236[[#This Row],[Total Acumulado]]-P1232</f>
        <v>-94</v>
      </c>
      <c r="P1232" s="48">
        <f>Tabela174681012142230322681619252731333624210121416182426283038402481012141620222628303234362426810121424610122426244262628262681026286236[[#This Row],[Uso diário]]*5</f>
        <v>94</v>
      </c>
      <c r="Q12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2" s="25">
        <v>26</v>
      </c>
    </row>
    <row r="1233" spans="1:20" s="26" customFormat="1" x14ac:dyDescent="0.25">
      <c r="A1233" s="16">
        <v>234610</v>
      </c>
      <c r="B1233" s="30" t="s">
        <v>1332</v>
      </c>
      <c r="C1233" s="20" t="s">
        <v>651</v>
      </c>
      <c r="D1233" s="20" t="s">
        <v>716</v>
      </c>
      <c r="E1233" s="20" t="s">
        <v>3972</v>
      </c>
      <c r="F1233" s="20" t="s">
        <v>3973</v>
      </c>
      <c r="G1233" s="21">
        <v>18.8</v>
      </c>
      <c r="H1233" s="16">
        <v>16</v>
      </c>
      <c r="I1233" s="16"/>
      <c r="J12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300.8</v>
      </c>
      <c r="K1233" s="22"/>
      <c r="L1233" s="23"/>
      <c r="M1233" s="23">
        <f>SUM(Tabela174681012142230322681619252731333624210121416182426283038402481012141620222628303234362426810121424610122426244262628262681026286236[[#This Row],[Saldo no cartão]:[Recarga Pendente]])</f>
        <v>0</v>
      </c>
      <c r="N1233" s="19">
        <f>Tabela174681012142230322681619252731333624210121416182426283038402481012141620222628303234362426810121424610122426244262628262681026286236[[#This Row],[Uso diário]]*2</f>
        <v>37.6</v>
      </c>
      <c r="O1233" s="19">
        <f>Tabela174681012142230322681619252731333624210121416182426283038402481012141620222628303234362426810121424610122426244262628262681026286236[[#This Row],[Total Acumulado]]-P1233</f>
        <v>-94</v>
      </c>
      <c r="P1233" s="48">
        <f>Tabela174681012142230322681619252731333624210121416182426283038402481012141620222628303234362426810121424610122426244262628262681026286236[[#This Row],[Uso diário]]*5</f>
        <v>94</v>
      </c>
      <c r="Q12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300.8</v>
      </c>
      <c r="S12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3" s="25">
        <v>26</v>
      </c>
    </row>
    <row r="1234" spans="1:20" s="26" customFormat="1" x14ac:dyDescent="0.25">
      <c r="A1234" s="16">
        <v>207371</v>
      </c>
      <c r="B1234" s="30" t="s">
        <v>1526</v>
      </c>
      <c r="C1234" s="20" t="s">
        <v>635</v>
      </c>
      <c r="D1234" s="20" t="s">
        <v>698</v>
      </c>
      <c r="E1234" s="20" t="s">
        <v>3974</v>
      </c>
      <c r="F1234" s="20" t="s">
        <v>3975</v>
      </c>
      <c r="G1234" s="21">
        <v>18.8</v>
      </c>
      <c r="H1234" s="16">
        <v>26</v>
      </c>
      <c r="I1234" s="16">
        <v>1</v>
      </c>
      <c r="J12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234" s="22"/>
      <c r="L1234" s="23"/>
      <c r="M1234" s="23">
        <f>SUM(Tabela174681012142230322681619252731333624210121416182426283038402481012141620222628303234362426810121424610122426244262628262681026286236[[#This Row],[Saldo no cartão]:[Recarga Pendente]])</f>
        <v>0</v>
      </c>
      <c r="N1234" s="19">
        <f>Tabela174681012142230322681619252731333624210121416182426283038402481012141620222628303234362426810121424610122426244262628262681026286236[[#This Row],[Uso diário]]*2</f>
        <v>37.6</v>
      </c>
      <c r="O1234" s="19">
        <f>Tabela174681012142230322681619252731333624210121416182426283038402481012141620222628303234362426810121424610122426244262628262681026286236[[#This Row],[Total Acumulado]]-P1234</f>
        <v>-94</v>
      </c>
      <c r="P1234" s="48">
        <f>Tabela174681012142230322681619252731333624210121416182426283038402481012141620222628303234362426810121424610122426244262628262681026286236[[#This Row],[Uso diário]]*5</f>
        <v>94</v>
      </c>
      <c r="Q12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2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4" s="25">
        <v>26</v>
      </c>
    </row>
    <row r="1235" spans="1:20" s="26" customFormat="1" x14ac:dyDescent="0.25">
      <c r="A1235" s="16">
        <v>216293</v>
      </c>
      <c r="B1235" s="30" t="s">
        <v>469</v>
      </c>
      <c r="C1235" s="20" t="s">
        <v>635</v>
      </c>
      <c r="D1235" s="20" t="s">
        <v>689</v>
      </c>
      <c r="E1235" s="20" t="s">
        <v>3976</v>
      </c>
      <c r="F1235" s="20" t="s">
        <v>3977</v>
      </c>
      <c r="G1235" s="21">
        <v>18.8</v>
      </c>
      <c r="H1235" s="16">
        <v>22</v>
      </c>
      <c r="I1235" s="16"/>
      <c r="J12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413.6</v>
      </c>
      <c r="K1235" s="22"/>
      <c r="L1235" s="23"/>
      <c r="M1235" s="23">
        <f>SUM(Tabela174681012142230322681619252731333624210121416182426283038402481012141620222628303234362426810121424610122426244262628262681026286236[[#This Row],[Saldo no cartão]:[Recarga Pendente]])</f>
        <v>0</v>
      </c>
      <c r="N1235" s="19">
        <f>Tabela174681012142230322681619252731333624210121416182426283038402481012141620222628303234362426810121424610122426244262628262681026286236[[#This Row],[Uso diário]]*2</f>
        <v>37.6</v>
      </c>
      <c r="O1235" s="19">
        <f>Tabela174681012142230322681619252731333624210121416182426283038402481012141620222628303234362426810121424610122426244262628262681026286236[[#This Row],[Total Acumulado]]-P1235</f>
        <v>-94</v>
      </c>
      <c r="P1235" s="48">
        <f>Tabela174681012142230322681619252731333624210121416182426283038402481012141620222628303234362426810121424610122426244262628262681026286236[[#This Row],[Uso diário]]*5</f>
        <v>94</v>
      </c>
      <c r="Q12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413.6</v>
      </c>
      <c r="S12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5" s="25">
        <v>26</v>
      </c>
    </row>
    <row r="1236" spans="1:20" s="26" customFormat="1" x14ac:dyDescent="0.25">
      <c r="A1236" s="16">
        <v>225017</v>
      </c>
      <c r="B1236" s="30" t="s">
        <v>1115</v>
      </c>
      <c r="C1236" s="20" t="s">
        <v>635</v>
      </c>
      <c r="D1236" s="20" t="s">
        <v>698</v>
      </c>
      <c r="E1236" s="20" t="s">
        <v>3978</v>
      </c>
      <c r="F1236" s="20" t="s">
        <v>3979</v>
      </c>
      <c r="G1236" s="21">
        <v>18.8</v>
      </c>
      <c r="H1236" s="16">
        <v>26</v>
      </c>
      <c r="I1236" s="16"/>
      <c r="J12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36" s="22"/>
      <c r="L1236" s="23"/>
      <c r="M1236" s="23">
        <f>SUM(Tabela174681012142230322681619252731333624210121416182426283038402481012141620222628303234362426810121424610122426244262628262681026286236[[#This Row],[Saldo no cartão]:[Recarga Pendente]])</f>
        <v>0</v>
      </c>
      <c r="N1236" s="19">
        <f>Tabela174681012142230322681619252731333624210121416182426283038402481012141620222628303234362426810121424610122426244262628262681026286236[[#This Row],[Uso diário]]*2</f>
        <v>37.6</v>
      </c>
      <c r="O1236" s="19">
        <f>Tabela174681012142230322681619252731333624210121416182426283038402481012141620222628303234362426810121424610122426244262628262681026286236[[#This Row],[Total Acumulado]]-P1236</f>
        <v>-94</v>
      </c>
      <c r="P1236" s="48">
        <f>Tabela174681012142230322681619252731333624210121416182426283038402481012141620222628303234362426810121424610122426244262628262681026286236[[#This Row],[Uso diário]]*5</f>
        <v>94</v>
      </c>
      <c r="Q12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6" s="25">
        <v>26</v>
      </c>
    </row>
    <row r="1237" spans="1:20" s="26" customFormat="1" x14ac:dyDescent="0.25">
      <c r="A1237" s="16">
        <v>231228</v>
      </c>
      <c r="B1237" s="30" t="s">
        <v>1527</v>
      </c>
      <c r="C1237" s="20" t="s">
        <v>636</v>
      </c>
      <c r="D1237" s="20" t="s">
        <v>729</v>
      </c>
      <c r="E1237" s="20" t="s">
        <v>3980</v>
      </c>
      <c r="F1237" s="20" t="s">
        <v>3981</v>
      </c>
      <c r="G1237" s="21">
        <v>13.4</v>
      </c>
      <c r="H1237" s="16">
        <v>22</v>
      </c>
      <c r="I1237" s="16">
        <v>14</v>
      </c>
      <c r="J12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107.2</v>
      </c>
      <c r="K1237" s="22"/>
      <c r="L1237" s="23"/>
      <c r="M1237" s="23">
        <f>SUM(Tabela174681012142230322681619252731333624210121416182426283038402481012141620222628303234362426810121424610122426244262628262681026286236[[#This Row],[Saldo no cartão]:[Recarga Pendente]])</f>
        <v>0</v>
      </c>
      <c r="N1237" s="19">
        <f>Tabela174681012142230322681619252731333624210121416182426283038402481012141620222628303234362426810121424610122426244262628262681026286236[[#This Row],[Uso diário]]*2</f>
        <v>26.8</v>
      </c>
      <c r="O1237" s="19">
        <f>Tabela174681012142230322681619252731333624210121416182426283038402481012141620222628303234362426810121424610122426244262628262681026286236[[#This Row],[Total Acumulado]]-P1237</f>
        <v>-67</v>
      </c>
      <c r="P1237" s="48">
        <f>Tabela174681012142230322681619252731333624210121416182426283038402481012141620222628303234362426810121424610122426244262628262681026286236[[#This Row],[Uso diário]]*5</f>
        <v>67</v>
      </c>
      <c r="Q12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107.2</v>
      </c>
      <c r="S12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7" s="25">
        <v>26</v>
      </c>
    </row>
    <row r="1238" spans="1:20" s="26" customFormat="1" x14ac:dyDescent="0.25">
      <c r="A1238" s="16">
        <v>231229</v>
      </c>
      <c r="B1238" s="30" t="s">
        <v>1528</v>
      </c>
      <c r="C1238" s="20" t="s">
        <v>636</v>
      </c>
      <c r="D1238" s="20" t="s">
        <v>729</v>
      </c>
      <c r="E1238" s="20" t="s">
        <v>3982</v>
      </c>
      <c r="F1238" s="20" t="s">
        <v>3983</v>
      </c>
      <c r="G1238" s="21">
        <v>18.8</v>
      </c>
      <c r="H1238" s="16">
        <v>22</v>
      </c>
      <c r="I1238" s="16">
        <v>21</v>
      </c>
      <c r="J123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18.8</v>
      </c>
      <c r="K1238" s="22"/>
      <c r="L1238" s="23"/>
      <c r="M1238" s="23">
        <f>SUM(Tabela174681012142230322681619252731333624210121416182426283038402481012141620222628303234362426810121424610122426244262628262681026286236[[#This Row],[Saldo no cartão]:[Recarga Pendente]])</f>
        <v>0</v>
      </c>
      <c r="N1238" s="19">
        <f>Tabela174681012142230322681619252731333624210121416182426283038402481012141620222628303234362426810121424610122426244262628262681026286236[[#This Row],[Uso diário]]*2</f>
        <v>37.6</v>
      </c>
      <c r="O1238" s="19">
        <f>Tabela174681012142230322681619252731333624210121416182426283038402481012141620222628303234362426810121424610122426244262628262681026286236[[#This Row],[Total Acumulado]]-P1238</f>
        <v>-94</v>
      </c>
      <c r="P1238" s="48">
        <f>Tabela174681012142230322681619252731333624210121416182426283038402481012141620222628303234362426810121424610122426244262628262681026286236[[#This Row],[Uso diário]]*5</f>
        <v>94</v>
      </c>
      <c r="Q123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18.8</v>
      </c>
      <c r="S123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8" s="25">
        <v>26</v>
      </c>
    </row>
    <row r="1239" spans="1:20" s="26" customFormat="1" x14ac:dyDescent="0.25">
      <c r="A1239" s="16">
        <v>231231</v>
      </c>
      <c r="B1239" s="30" t="s">
        <v>804</v>
      </c>
      <c r="C1239" s="20" t="s">
        <v>636</v>
      </c>
      <c r="D1239" s="20" t="s">
        <v>729</v>
      </c>
      <c r="E1239" s="20" t="s">
        <v>3984</v>
      </c>
      <c r="F1239" s="20" t="s">
        <v>3985</v>
      </c>
      <c r="G1239" s="21">
        <v>13.4</v>
      </c>
      <c r="H1239" s="16">
        <v>22</v>
      </c>
      <c r="I1239" s="16"/>
      <c r="J123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239" s="22"/>
      <c r="L1239" s="23"/>
      <c r="M1239" s="23">
        <f>SUM(Tabela174681012142230322681619252731333624210121416182426283038402481012141620222628303234362426810121424610122426244262628262681026286236[[#This Row],[Saldo no cartão]:[Recarga Pendente]])</f>
        <v>0</v>
      </c>
      <c r="N1239" s="19">
        <f>Tabela174681012142230322681619252731333624210121416182426283038402481012141620222628303234362426810121424610122426244262628262681026286236[[#This Row],[Uso diário]]*2</f>
        <v>26.8</v>
      </c>
      <c r="O1239" s="19">
        <f>Tabela174681012142230322681619252731333624210121416182426283038402481012141620222628303234362426810121424610122426244262628262681026286236[[#This Row],[Total Acumulado]]-P1239</f>
        <v>-67</v>
      </c>
      <c r="P1239" s="48">
        <f>Tabela174681012142230322681619252731333624210121416182426283038402481012141620222628303234362426810121424610122426244262628262681026286236[[#This Row],[Uso diário]]*5</f>
        <v>67</v>
      </c>
      <c r="Q123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3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23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39" s="25">
        <v>26</v>
      </c>
    </row>
    <row r="1240" spans="1:20" s="26" customFormat="1" x14ac:dyDescent="0.25">
      <c r="A1240" s="16">
        <v>231232</v>
      </c>
      <c r="B1240" s="30" t="s">
        <v>805</v>
      </c>
      <c r="C1240" s="20" t="s">
        <v>636</v>
      </c>
      <c r="D1240" s="20" t="s">
        <v>729</v>
      </c>
      <c r="E1240" s="20" t="s">
        <v>3986</v>
      </c>
      <c r="F1240" s="20" t="s">
        <v>3987</v>
      </c>
      <c r="G1240" s="21">
        <v>18.8</v>
      </c>
      <c r="H1240" s="16">
        <v>22</v>
      </c>
      <c r="I1240" s="16">
        <v>1</v>
      </c>
      <c r="J124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394.8</v>
      </c>
      <c r="K1240" s="22"/>
      <c r="L1240" s="23"/>
      <c r="M1240" s="23">
        <f>SUM(Tabela174681012142230322681619252731333624210121416182426283038402481012141620222628303234362426810121424610122426244262628262681026286236[[#This Row],[Saldo no cartão]:[Recarga Pendente]])</f>
        <v>0</v>
      </c>
      <c r="N1240" s="19">
        <f>Tabela174681012142230322681619252731333624210121416182426283038402481012141620222628303234362426810121424610122426244262628262681026286236[[#This Row],[Uso diário]]*2</f>
        <v>37.6</v>
      </c>
      <c r="O1240" s="19">
        <f>Tabela174681012142230322681619252731333624210121416182426283038402481012141620222628303234362426810121424610122426244262628262681026286236[[#This Row],[Total Acumulado]]-P1240</f>
        <v>-94</v>
      </c>
      <c r="P1240" s="48">
        <f>Tabela174681012142230322681619252731333624210121416182426283038402481012141620222628303234362426810121424610122426244262628262681026286236[[#This Row],[Uso diário]]*5</f>
        <v>94</v>
      </c>
      <c r="Q124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394.8</v>
      </c>
      <c r="S124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0" s="25">
        <v>26</v>
      </c>
    </row>
    <row r="1241" spans="1:20" s="26" customFormat="1" x14ac:dyDescent="0.25">
      <c r="A1241" s="16">
        <v>231233</v>
      </c>
      <c r="B1241" s="30" t="s">
        <v>1529</v>
      </c>
      <c r="C1241" s="20" t="s">
        <v>636</v>
      </c>
      <c r="D1241" s="20" t="s">
        <v>729</v>
      </c>
      <c r="E1241" s="20" t="s">
        <v>3988</v>
      </c>
      <c r="F1241" s="20" t="s">
        <v>3989</v>
      </c>
      <c r="G1241" s="21">
        <v>13.4</v>
      </c>
      <c r="H1241" s="16">
        <v>22</v>
      </c>
      <c r="I1241" s="16">
        <v>18</v>
      </c>
      <c r="J124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53.6</v>
      </c>
      <c r="K1241" s="22"/>
      <c r="L1241" s="23"/>
      <c r="M1241" s="23">
        <f>SUM(Tabela174681012142230322681619252731333624210121416182426283038402481012141620222628303234362426810121424610122426244262628262681026286236[[#This Row],[Saldo no cartão]:[Recarga Pendente]])</f>
        <v>0</v>
      </c>
      <c r="N1241" s="19">
        <f>Tabela174681012142230322681619252731333624210121416182426283038402481012141620222628303234362426810121424610122426244262628262681026286236[[#This Row],[Uso diário]]*2</f>
        <v>26.8</v>
      </c>
      <c r="O1241" s="19">
        <f>Tabela174681012142230322681619252731333624210121416182426283038402481012141620222628303234362426810121424610122426244262628262681026286236[[#This Row],[Total Acumulado]]-P1241</f>
        <v>-67</v>
      </c>
      <c r="P1241" s="48">
        <f>Tabela174681012142230322681619252731333624210121416182426283038402481012141620222628303234362426810121424610122426244262628262681026286236[[#This Row],[Uso diário]]*5</f>
        <v>67</v>
      </c>
      <c r="Q124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53.6</v>
      </c>
      <c r="S124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1" s="25">
        <v>26</v>
      </c>
    </row>
    <row r="1242" spans="1:20" s="26" customFormat="1" x14ac:dyDescent="0.25">
      <c r="A1242" s="16">
        <v>231628</v>
      </c>
      <c r="B1242" s="30" t="s">
        <v>871</v>
      </c>
      <c r="C1242" s="20" t="s">
        <v>636</v>
      </c>
      <c r="D1242" s="20" t="s">
        <v>729</v>
      </c>
      <c r="E1242" s="20" t="s">
        <v>3990</v>
      </c>
      <c r="F1242" s="20" t="s">
        <v>3991</v>
      </c>
      <c r="G1242" s="21">
        <v>13.4</v>
      </c>
      <c r="H1242" s="16">
        <v>22</v>
      </c>
      <c r="I1242" s="16"/>
      <c r="J124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242" s="22"/>
      <c r="L1242" s="23"/>
      <c r="M1242" s="23">
        <f>SUM(Tabela174681012142230322681619252731333624210121416182426283038402481012141620222628303234362426810121424610122426244262628262681026286236[[#This Row],[Saldo no cartão]:[Recarga Pendente]])</f>
        <v>0</v>
      </c>
      <c r="N1242" s="19">
        <f>Tabela174681012142230322681619252731333624210121416182426283038402481012141620222628303234362426810121424610122426244262628262681026286236[[#This Row],[Uso diário]]*2</f>
        <v>26.8</v>
      </c>
      <c r="O1242" s="19">
        <f>Tabela174681012142230322681619252731333624210121416182426283038402481012141620222628303234362426810121424610122426244262628262681026286236[[#This Row],[Total Acumulado]]-P1242</f>
        <v>-67</v>
      </c>
      <c r="P1242" s="48">
        <f>Tabela174681012142230322681619252731333624210121416182426283038402481012141620222628303234362426810121424610122426244262628262681026286236[[#This Row],[Uso diário]]*5</f>
        <v>67</v>
      </c>
      <c r="Q124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24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2" s="25">
        <v>26</v>
      </c>
    </row>
    <row r="1243" spans="1:20" s="26" customFormat="1" x14ac:dyDescent="0.25">
      <c r="A1243" s="16">
        <v>231909</v>
      </c>
      <c r="B1243" s="30" t="s">
        <v>872</v>
      </c>
      <c r="C1243" s="20" t="s">
        <v>636</v>
      </c>
      <c r="D1243" s="20" t="s">
        <v>729</v>
      </c>
      <c r="E1243" s="20" t="s">
        <v>3992</v>
      </c>
      <c r="F1243" s="20" t="s">
        <v>3993</v>
      </c>
      <c r="G1243" s="21">
        <v>18.8</v>
      </c>
      <c r="H1243" s="16">
        <v>22</v>
      </c>
      <c r="I1243" s="16">
        <v>3</v>
      </c>
      <c r="J124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357.2</v>
      </c>
      <c r="K1243" s="22"/>
      <c r="L1243" s="23"/>
      <c r="M1243" s="23">
        <f>SUM(Tabela174681012142230322681619252731333624210121416182426283038402481012141620222628303234362426810121424610122426244262628262681026286236[[#This Row],[Saldo no cartão]:[Recarga Pendente]])</f>
        <v>0</v>
      </c>
      <c r="N1243" s="19">
        <f>Tabela174681012142230322681619252731333624210121416182426283038402481012141620222628303234362426810121424610122426244262628262681026286236[[#This Row],[Uso diário]]*2</f>
        <v>37.6</v>
      </c>
      <c r="O1243" s="19">
        <f>Tabela174681012142230322681619252731333624210121416182426283038402481012141620222628303234362426810121424610122426244262628262681026286236[[#This Row],[Total Acumulado]]-P1243</f>
        <v>-94</v>
      </c>
      <c r="P1243" s="48">
        <f>Tabela174681012142230322681619252731333624210121416182426283038402481012141620222628303234362426810121424610122426244262628262681026286236[[#This Row],[Uso diário]]*5</f>
        <v>94</v>
      </c>
      <c r="Q124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357.2</v>
      </c>
      <c r="S124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3" s="25">
        <v>26</v>
      </c>
    </row>
    <row r="1244" spans="1:20" s="26" customFormat="1" x14ac:dyDescent="0.25">
      <c r="A1244" s="16">
        <v>231911</v>
      </c>
      <c r="B1244" s="30" t="s">
        <v>873</v>
      </c>
      <c r="C1244" s="20" t="s">
        <v>636</v>
      </c>
      <c r="D1244" s="20" t="s">
        <v>729</v>
      </c>
      <c r="E1244" s="20" t="s">
        <v>3994</v>
      </c>
      <c r="F1244" s="20" t="s">
        <v>3995</v>
      </c>
      <c r="G1244" s="21">
        <v>13.4</v>
      </c>
      <c r="H1244" s="16">
        <v>22</v>
      </c>
      <c r="I1244" s="16"/>
      <c r="J124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244" s="22"/>
      <c r="L1244" s="23"/>
      <c r="M1244" s="23">
        <f>SUM(Tabela174681012142230322681619252731333624210121416182426283038402481012141620222628303234362426810121424610122426244262628262681026286236[[#This Row],[Saldo no cartão]:[Recarga Pendente]])</f>
        <v>0</v>
      </c>
      <c r="N1244" s="19">
        <f>Tabela174681012142230322681619252731333624210121416182426283038402481012141620222628303234362426810121424610122426244262628262681026286236[[#This Row],[Uso diário]]*2</f>
        <v>26.8</v>
      </c>
      <c r="O1244" s="19">
        <f>Tabela174681012142230322681619252731333624210121416182426283038402481012141620222628303234362426810121424610122426244262628262681026286236[[#This Row],[Total Acumulado]]-P1244</f>
        <v>-67</v>
      </c>
      <c r="P1244" s="48">
        <f>Tabela174681012142230322681619252731333624210121416182426283038402481012141620222628303234362426810121424610122426244262628262681026286236[[#This Row],[Uso diário]]*5</f>
        <v>67</v>
      </c>
      <c r="Q124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24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4" s="25">
        <v>26</v>
      </c>
    </row>
    <row r="1245" spans="1:20" s="26" customFormat="1" x14ac:dyDescent="0.25">
      <c r="A1245" s="16">
        <v>231912</v>
      </c>
      <c r="B1245" s="30" t="s">
        <v>874</v>
      </c>
      <c r="C1245" s="20" t="s">
        <v>636</v>
      </c>
      <c r="D1245" s="20" t="s">
        <v>729</v>
      </c>
      <c r="E1245" s="20" t="s">
        <v>3996</v>
      </c>
      <c r="F1245" s="20" t="s">
        <v>3997</v>
      </c>
      <c r="G1245" s="21">
        <v>13.4</v>
      </c>
      <c r="H1245" s="16">
        <v>22</v>
      </c>
      <c r="I1245" s="16">
        <v>1</v>
      </c>
      <c r="J124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1245" s="22"/>
      <c r="L1245" s="23"/>
      <c r="M1245" s="23">
        <f>SUM(Tabela174681012142230322681619252731333624210121416182426283038402481012141620222628303234362426810121424610122426244262628262681026286236[[#This Row],[Saldo no cartão]:[Recarga Pendente]])</f>
        <v>0</v>
      </c>
      <c r="N1245" s="19">
        <f>Tabela174681012142230322681619252731333624210121416182426283038402481012141620222628303234362426810121424610122426244262628262681026286236[[#This Row],[Uso diário]]*2</f>
        <v>26.8</v>
      </c>
      <c r="O1245" s="19">
        <f>Tabela174681012142230322681619252731333624210121416182426283038402481012141620222628303234362426810121424610122426244262628262681026286236[[#This Row],[Total Acumulado]]-P1245</f>
        <v>-67</v>
      </c>
      <c r="P1245" s="48">
        <f>Tabela174681012142230322681619252731333624210121416182426283038402481012141620222628303234362426810121424610122426244262628262681026286236[[#This Row],[Uso diário]]*5</f>
        <v>67</v>
      </c>
      <c r="Q124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124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5" s="25">
        <v>26</v>
      </c>
    </row>
    <row r="1246" spans="1:20" s="26" customFormat="1" x14ac:dyDescent="0.25">
      <c r="A1246" s="16">
        <v>231913</v>
      </c>
      <c r="B1246" s="30" t="s">
        <v>875</v>
      </c>
      <c r="C1246" s="20" t="s">
        <v>636</v>
      </c>
      <c r="D1246" s="20" t="s">
        <v>729</v>
      </c>
      <c r="E1246" s="20" t="s">
        <v>3998</v>
      </c>
      <c r="F1246" s="20" t="s">
        <v>3999</v>
      </c>
      <c r="G1246" s="21">
        <v>13.4</v>
      </c>
      <c r="H1246" s="16">
        <v>22</v>
      </c>
      <c r="I1246" s="16">
        <v>4</v>
      </c>
      <c r="J124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241.20000000000002</v>
      </c>
      <c r="K1246" s="22"/>
      <c r="L1246" s="23"/>
      <c r="M1246" s="23">
        <f>SUM(Tabela174681012142230322681619252731333624210121416182426283038402481012141620222628303234362426810121424610122426244262628262681026286236[[#This Row],[Saldo no cartão]:[Recarga Pendente]])</f>
        <v>0</v>
      </c>
      <c r="N1246" s="19">
        <f>Tabela174681012142230322681619252731333624210121416182426283038402481012141620222628303234362426810121424610122426244262628262681026286236[[#This Row],[Uso diário]]*2</f>
        <v>26.8</v>
      </c>
      <c r="O1246" s="19">
        <f>Tabela174681012142230322681619252731333624210121416182426283038402481012141620222628303234362426810121424610122426244262628262681026286236[[#This Row],[Total Acumulado]]-P1246</f>
        <v>-67</v>
      </c>
      <c r="P1246" s="48">
        <f>Tabela174681012142230322681619252731333624210121416182426283038402481012141620222628303234362426810121424610122426244262628262681026286236[[#This Row],[Uso diário]]*5</f>
        <v>67</v>
      </c>
      <c r="Q124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241.20000000000002</v>
      </c>
      <c r="S124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6" s="25">
        <v>26</v>
      </c>
    </row>
    <row r="1247" spans="1:20" s="26" customFormat="1" x14ac:dyDescent="0.25">
      <c r="A1247" s="16">
        <v>231914</v>
      </c>
      <c r="B1247" s="30" t="s">
        <v>876</v>
      </c>
      <c r="C1247" s="20" t="s">
        <v>636</v>
      </c>
      <c r="D1247" s="20" t="s">
        <v>729</v>
      </c>
      <c r="E1247" s="20" t="s">
        <v>4000</v>
      </c>
      <c r="F1247" s="20" t="s">
        <v>4001</v>
      </c>
      <c r="G1247" s="21">
        <v>13.4</v>
      </c>
      <c r="H1247" s="16">
        <v>22</v>
      </c>
      <c r="I1247" s="16">
        <v>3</v>
      </c>
      <c r="J124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254.6</v>
      </c>
      <c r="K1247" s="22"/>
      <c r="L1247" s="23"/>
      <c r="M1247" s="23">
        <f>SUM(Tabela174681012142230322681619252731333624210121416182426283038402481012141620222628303234362426810121424610122426244262628262681026286236[[#This Row],[Saldo no cartão]:[Recarga Pendente]])</f>
        <v>0</v>
      </c>
      <c r="N1247" s="19">
        <f>Tabela174681012142230322681619252731333624210121416182426283038402481012141620222628303234362426810121424610122426244262628262681026286236[[#This Row],[Uso diário]]*2</f>
        <v>26.8</v>
      </c>
      <c r="O1247" s="19">
        <f>Tabela174681012142230322681619252731333624210121416182426283038402481012141620222628303234362426810121424610122426244262628262681026286236[[#This Row],[Total Acumulado]]-P1247</f>
        <v>-67</v>
      </c>
      <c r="P1247" s="48">
        <f>Tabela174681012142230322681619252731333624210121416182426283038402481012141620222628303234362426810121424610122426244262628262681026286236[[#This Row],[Uso diário]]*5</f>
        <v>67</v>
      </c>
      <c r="Q124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254.6</v>
      </c>
      <c r="S124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7" s="25">
        <v>26</v>
      </c>
    </row>
    <row r="1248" spans="1:20" s="26" customFormat="1" x14ac:dyDescent="0.25">
      <c r="A1248" s="16">
        <v>235050</v>
      </c>
      <c r="B1248" s="30" t="s">
        <v>1530</v>
      </c>
      <c r="C1248" s="20" t="s">
        <v>636</v>
      </c>
      <c r="D1248" s="20" t="s">
        <v>729</v>
      </c>
      <c r="E1248" s="20" t="s">
        <v>4002</v>
      </c>
      <c r="F1248" s="20" t="s">
        <v>4003</v>
      </c>
      <c r="G1248" s="21">
        <v>13.4</v>
      </c>
      <c r="H1248" s="16">
        <v>22</v>
      </c>
      <c r="I1248" s="16"/>
      <c r="J124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248" s="22"/>
      <c r="L1248" s="23">
        <v>11.9</v>
      </c>
      <c r="M1248" s="23">
        <f>SUM(Tabela174681012142230322681619252731333624210121416182426283038402481012141620222628303234362426810121424610122426244262628262681026286236[[#This Row],[Saldo no cartão]:[Recarga Pendente]])</f>
        <v>11.9</v>
      </c>
      <c r="N1248" s="19">
        <f>Tabela174681012142230322681619252731333624210121416182426283038402481012141620222628303234362426810121424610122426244262628262681026286236[[#This Row],[Uso diário]]*2</f>
        <v>26.8</v>
      </c>
      <c r="O1248" s="19">
        <f>Tabela174681012142230322681619252731333624210121416182426283038402481012141620222628303234362426810121424610122426244262628262681026286236[[#This Row],[Total Acumulado]]-P1248</f>
        <v>-55.1</v>
      </c>
      <c r="P1248" s="48">
        <f>Tabela174681012142230322681619252731333624210121416182426283038402481012141620222628303234362426810121424610122426244262628262681026286236[[#This Row],[Uso diário]]*5</f>
        <v>67</v>
      </c>
      <c r="Q124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24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8" s="25">
        <v>26</v>
      </c>
    </row>
    <row r="1249" spans="1:20" s="26" customFormat="1" x14ac:dyDescent="0.25">
      <c r="A1249" s="16">
        <v>235051</v>
      </c>
      <c r="B1249" s="30" t="s">
        <v>1531</v>
      </c>
      <c r="C1249" s="20" t="s">
        <v>636</v>
      </c>
      <c r="D1249" s="20" t="s">
        <v>729</v>
      </c>
      <c r="E1249" s="20" t="s">
        <v>4004</v>
      </c>
      <c r="F1249" s="20" t="s">
        <v>4005</v>
      </c>
      <c r="G1249" s="21">
        <v>13.4</v>
      </c>
      <c r="H1249" s="16">
        <v>22</v>
      </c>
      <c r="I1249" s="16"/>
      <c r="J124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249" s="22"/>
      <c r="L1249" s="23">
        <v>11.9</v>
      </c>
      <c r="M1249" s="23">
        <f>SUM(Tabela174681012142230322681619252731333624210121416182426283038402481012141620222628303234362426810121424610122426244262628262681026286236[[#This Row],[Saldo no cartão]:[Recarga Pendente]])</f>
        <v>11.9</v>
      </c>
      <c r="N1249" s="19">
        <f>Tabela174681012142230322681619252731333624210121416182426283038402481012141620222628303234362426810121424610122426244262628262681026286236[[#This Row],[Uso diário]]*2</f>
        <v>26.8</v>
      </c>
      <c r="O1249" s="19">
        <f>Tabela174681012142230322681619252731333624210121416182426283038402481012141620222628303234362426810121424610122426244262628262681026286236[[#This Row],[Total Acumulado]]-P1249</f>
        <v>-55.1</v>
      </c>
      <c r="P1249" s="48">
        <f>Tabela174681012142230322681619252731333624210121416182426283038402481012141620222628303234362426810121424610122426244262628262681026286236[[#This Row],[Uso diário]]*5</f>
        <v>67</v>
      </c>
      <c r="Q124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4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24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49" s="25">
        <v>26</v>
      </c>
    </row>
    <row r="1250" spans="1:20" s="26" customFormat="1" x14ac:dyDescent="0.25">
      <c r="A1250" s="16">
        <v>220361</v>
      </c>
      <c r="B1250" s="30" t="s">
        <v>587</v>
      </c>
      <c r="C1250" s="20" t="s">
        <v>653</v>
      </c>
      <c r="D1250" s="20" t="s">
        <v>714</v>
      </c>
      <c r="E1250" s="20" t="s">
        <v>4006</v>
      </c>
      <c r="F1250" s="20" t="s">
        <v>4007</v>
      </c>
      <c r="G1250" s="21">
        <v>18.8</v>
      </c>
      <c r="H1250" s="16">
        <v>26</v>
      </c>
      <c r="I1250" s="16"/>
      <c r="J125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50" s="22"/>
      <c r="L1250" s="23"/>
      <c r="M1250" s="23">
        <f>SUM(Tabela174681012142230322681619252731333624210121416182426283038402481012141620222628303234362426810121424610122426244262628262681026286236[[#This Row],[Saldo no cartão]:[Recarga Pendente]])</f>
        <v>0</v>
      </c>
      <c r="N1250" s="19">
        <f>Tabela174681012142230322681619252731333624210121416182426283038402481012141620222628303234362426810121424610122426244262628262681026286236[[#This Row],[Uso diário]]*2</f>
        <v>37.6</v>
      </c>
      <c r="O1250" s="19">
        <f>Tabela174681012142230322681619252731333624210121416182426283038402481012141620222628303234362426810121424610122426244262628262681026286236[[#This Row],[Total Acumulado]]-P1250</f>
        <v>-94</v>
      </c>
      <c r="P1250" s="48">
        <f>Tabela174681012142230322681619252731333624210121416182426283038402481012141620222628303234362426810121424610122426244262628262681026286236[[#This Row],[Uso diário]]*5</f>
        <v>94</v>
      </c>
      <c r="Q125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5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0" s="25">
        <v>26</v>
      </c>
    </row>
    <row r="1251" spans="1:20" s="26" customFormat="1" x14ac:dyDescent="0.25">
      <c r="A1251" s="16">
        <v>221204</v>
      </c>
      <c r="B1251" s="30" t="s">
        <v>588</v>
      </c>
      <c r="C1251" s="20" t="s">
        <v>653</v>
      </c>
      <c r="D1251" s="20" t="s">
        <v>714</v>
      </c>
      <c r="E1251" s="20" t="s">
        <v>4008</v>
      </c>
      <c r="F1251" s="20" t="s">
        <v>4009</v>
      </c>
      <c r="G1251" s="21">
        <v>18.8</v>
      </c>
      <c r="H1251" s="16">
        <v>26</v>
      </c>
      <c r="I1251" s="16"/>
      <c r="J125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51" s="22"/>
      <c r="L1251" s="23">
        <v>37.6</v>
      </c>
      <c r="M1251" s="23">
        <f>SUM(Tabela174681012142230322681619252731333624210121416182426283038402481012141620222628303234362426810121424610122426244262628262681026286236[[#This Row],[Saldo no cartão]:[Recarga Pendente]])</f>
        <v>37.6</v>
      </c>
      <c r="N1251" s="19">
        <f>Tabela174681012142230322681619252731333624210121416182426283038402481012141620222628303234362426810121424610122426244262628262681026286236[[#This Row],[Uso diário]]*2</f>
        <v>37.6</v>
      </c>
      <c r="O1251" s="19">
        <f>Tabela174681012142230322681619252731333624210121416182426283038402481012141620222628303234362426810121424610122426244262628262681026286236[[#This Row],[Total Acumulado]]-P1251</f>
        <v>-56.4</v>
      </c>
      <c r="P1251" s="48">
        <f>Tabela174681012142230322681619252731333624210121416182426283038402481012141620222628303234362426810121424610122426244262628262681026286236[[#This Row],[Uso diário]]*5</f>
        <v>94</v>
      </c>
      <c r="Q125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5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1" s="25">
        <v>26</v>
      </c>
    </row>
    <row r="1252" spans="1:20" s="26" customFormat="1" x14ac:dyDescent="0.25">
      <c r="A1252" s="16">
        <v>224394</v>
      </c>
      <c r="B1252" s="30" t="s">
        <v>589</v>
      </c>
      <c r="C1252" s="20" t="s">
        <v>653</v>
      </c>
      <c r="D1252" s="20" t="s">
        <v>891</v>
      </c>
      <c r="E1252" s="20" t="s">
        <v>4010</v>
      </c>
      <c r="F1252" s="20" t="s">
        <v>4011</v>
      </c>
      <c r="G1252" s="21">
        <v>13.4</v>
      </c>
      <c r="H1252" s="16">
        <v>26</v>
      </c>
      <c r="I1252" s="16"/>
      <c r="J125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52" s="22"/>
      <c r="L1252" s="23">
        <v>11.9</v>
      </c>
      <c r="M1252" s="23">
        <f>SUM(Tabela174681012142230322681619252731333624210121416182426283038402481012141620222628303234362426810121424610122426244262628262681026286236[[#This Row],[Saldo no cartão]:[Recarga Pendente]])</f>
        <v>11.9</v>
      </c>
      <c r="N1252" s="19">
        <f>Tabela174681012142230322681619252731333624210121416182426283038402481012141620222628303234362426810121424610122426244262628262681026286236[[#This Row],[Uso diário]]*2</f>
        <v>26.8</v>
      </c>
      <c r="O1252" s="19">
        <f>Tabela174681012142230322681619252731333624210121416182426283038402481012141620222628303234362426810121424610122426244262628262681026286236[[#This Row],[Total Acumulado]]-P1252</f>
        <v>-55.1</v>
      </c>
      <c r="P1252" s="48">
        <f>Tabela174681012142230322681619252731333624210121416182426283038402481012141620222628303234362426810121424610122426244262628262681026286236[[#This Row],[Uso diário]]*5</f>
        <v>67</v>
      </c>
      <c r="Q125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5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2" s="25">
        <v>26</v>
      </c>
    </row>
    <row r="1253" spans="1:20" s="26" customFormat="1" x14ac:dyDescent="0.25">
      <c r="A1253" s="16">
        <v>225682</v>
      </c>
      <c r="B1253" s="30" t="s">
        <v>590</v>
      </c>
      <c r="C1253" s="20" t="s">
        <v>653</v>
      </c>
      <c r="D1253" s="20" t="s">
        <v>714</v>
      </c>
      <c r="E1253" s="20" t="s">
        <v>4012</v>
      </c>
      <c r="F1253" s="20" t="s">
        <v>4013</v>
      </c>
      <c r="G1253" s="21">
        <v>18.8</v>
      </c>
      <c r="H1253" s="16">
        <v>26</v>
      </c>
      <c r="I1253" s="16"/>
      <c r="J125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53" s="22"/>
      <c r="L1253" s="23"/>
      <c r="M1253" s="23">
        <f>SUM(Tabela174681012142230322681619252731333624210121416182426283038402481012141620222628303234362426810121424610122426244262628262681026286236[[#This Row],[Saldo no cartão]:[Recarga Pendente]])</f>
        <v>0</v>
      </c>
      <c r="N1253" s="19">
        <f>Tabela174681012142230322681619252731333624210121416182426283038402481012141620222628303234362426810121424610122426244262628262681026286236[[#This Row],[Uso diário]]*2</f>
        <v>37.6</v>
      </c>
      <c r="O1253" s="19">
        <f>Tabela174681012142230322681619252731333624210121416182426283038402481012141620222628303234362426810121424610122426244262628262681026286236[[#This Row],[Total Acumulado]]-P1253</f>
        <v>-94</v>
      </c>
      <c r="P1253" s="48">
        <f>Tabela174681012142230322681619252731333624210121416182426283038402481012141620222628303234362426810121424610122426244262628262681026286236[[#This Row],[Uso diário]]*5</f>
        <v>94</v>
      </c>
      <c r="Q125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5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3" s="25">
        <v>26</v>
      </c>
    </row>
    <row r="1254" spans="1:20" s="26" customFormat="1" x14ac:dyDescent="0.25">
      <c r="A1254" s="16">
        <v>230705</v>
      </c>
      <c r="B1254" s="30" t="s">
        <v>1532</v>
      </c>
      <c r="C1254" s="20" t="s">
        <v>653</v>
      </c>
      <c r="D1254" s="20" t="s">
        <v>714</v>
      </c>
      <c r="E1254" s="20" t="s">
        <v>4014</v>
      </c>
      <c r="F1254" s="20" t="s">
        <v>4015</v>
      </c>
      <c r="G1254" s="21">
        <v>13.4</v>
      </c>
      <c r="H1254" s="16">
        <v>26</v>
      </c>
      <c r="I1254" s="16"/>
      <c r="J125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54" s="22"/>
      <c r="L1254" s="23"/>
      <c r="M1254" s="23">
        <f>SUM(Tabela174681012142230322681619252731333624210121416182426283038402481012141620222628303234362426810121424610122426244262628262681026286236[[#This Row],[Saldo no cartão]:[Recarga Pendente]])</f>
        <v>0</v>
      </c>
      <c r="N1254" s="19">
        <f>Tabela174681012142230322681619252731333624210121416182426283038402481012141620222628303234362426810121424610122426244262628262681026286236[[#This Row],[Uso diário]]*2</f>
        <v>26.8</v>
      </c>
      <c r="O1254" s="19">
        <f>Tabela174681012142230322681619252731333624210121416182426283038402481012141620222628303234362426810121424610122426244262628262681026286236[[#This Row],[Total Acumulado]]-P1254</f>
        <v>-67</v>
      </c>
      <c r="P1254" s="48">
        <f>Tabela174681012142230322681619252731333624210121416182426283038402481012141620222628303234362426810121424610122426244262628262681026286236[[#This Row],[Uso diário]]*5</f>
        <v>67</v>
      </c>
      <c r="Q125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5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4" s="25">
        <v>26</v>
      </c>
    </row>
    <row r="1255" spans="1:20" s="26" customFormat="1" x14ac:dyDescent="0.25">
      <c r="A1255" s="16">
        <v>230781</v>
      </c>
      <c r="B1255" s="30" t="s">
        <v>593</v>
      </c>
      <c r="C1255" s="20" t="s">
        <v>653</v>
      </c>
      <c r="D1255" s="20" t="s">
        <v>714</v>
      </c>
      <c r="E1255" s="20" t="s">
        <v>4016</v>
      </c>
      <c r="F1255" s="20" t="s">
        <v>4017</v>
      </c>
      <c r="G1255" s="21">
        <v>13.4</v>
      </c>
      <c r="H1255" s="16">
        <v>26</v>
      </c>
      <c r="I1255" s="16"/>
      <c r="J125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55" s="22"/>
      <c r="L1255" s="23"/>
      <c r="M1255" s="23">
        <f>SUM(Tabela174681012142230322681619252731333624210121416182426283038402481012141620222628303234362426810121424610122426244262628262681026286236[[#This Row],[Saldo no cartão]:[Recarga Pendente]])</f>
        <v>0</v>
      </c>
      <c r="N1255" s="19">
        <f>Tabela174681012142230322681619252731333624210121416182426283038402481012141620222628303234362426810121424610122426244262628262681026286236[[#This Row],[Uso diário]]*2</f>
        <v>26.8</v>
      </c>
      <c r="O1255" s="19">
        <f>Tabela174681012142230322681619252731333624210121416182426283038402481012141620222628303234362426810121424610122426244262628262681026286236[[#This Row],[Total Acumulado]]-P1255</f>
        <v>-67</v>
      </c>
      <c r="P1255" s="48">
        <f>Tabela174681012142230322681619252731333624210121416182426283038402481012141620222628303234362426810121424610122426244262628262681026286236[[#This Row],[Uso diário]]*5</f>
        <v>67</v>
      </c>
      <c r="Q125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5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5" s="25">
        <v>26</v>
      </c>
    </row>
    <row r="1256" spans="1:20" s="26" customFormat="1" x14ac:dyDescent="0.25">
      <c r="A1256" s="16">
        <v>230863</v>
      </c>
      <c r="B1256" s="30" t="s">
        <v>1533</v>
      </c>
      <c r="C1256" s="20" t="s">
        <v>653</v>
      </c>
      <c r="D1256" s="20" t="s">
        <v>714</v>
      </c>
      <c r="E1256" s="20" t="s">
        <v>4018</v>
      </c>
      <c r="F1256" s="20" t="s">
        <v>4019</v>
      </c>
      <c r="G1256" s="21">
        <v>13.4</v>
      </c>
      <c r="H1256" s="16">
        <v>26</v>
      </c>
      <c r="I1256" s="16"/>
      <c r="J125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56" s="22"/>
      <c r="L1256" s="23"/>
      <c r="M1256" s="23">
        <f>SUM(Tabela174681012142230322681619252731333624210121416182426283038402481012141620222628303234362426810121424610122426244262628262681026286236[[#This Row],[Saldo no cartão]:[Recarga Pendente]])</f>
        <v>0</v>
      </c>
      <c r="N1256" s="19">
        <f>Tabela174681012142230322681619252731333624210121416182426283038402481012141620222628303234362426810121424610122426244262628262681026286236[[#This Row],[Uso diário]]*2</f>
        <v>26.8</v>
      </c>
      <c r="O1256" s="19">
        <f>Tabela174681012142230322681619252731333624210121416182426283038402481012141620222628303234362426810121424610122426244262628262681026286236[[#This Row],[Total Acumulado]]-P1256</f>
        <v>-67</v>
      </c>
      <c r="P1256" s="48">
        <f>Tabela174681012142230322681619252731333624210121416182426283038402481012141620222628303234362426810121424610122426244262628262681026286236[[#This Row],[Uso diário]]*5</f>
        <v>67</v>
      </c>
      <c r="Q125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5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6" s="25">
        <v>26</v>
      </c>
    </row>
    <row r="1257" spans="1:20" s="26" customFormat="1" x14ac:dyDescent="0.25">
      <c r="A1257" s="16">
        <v>231011</v>
      </c>
      <c r="B1257" s="30" t="s">
        <v>595</v>
      </c>
      <c r="C1257" s="20" t="s">
        <v>653</v>
      </c>
      <c r="D1257" s="20" t="s">
        <v>714</v>
      </c>
      <c r="E1257" s="20" t="s">
        <v>4020</v>
      </c>
      <c r="F1257" s="20" t="s">
        <v>4021</v>
      </c>
      <c r="G1257" s="21">
        <v>13.4</v>
      </c>
      <c r="H1257" s="16">
        <v>26</v>
      </c>
      <c r="I1257" s="16"/>
      <c r="J125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57" s="22"/>
      <c r="L1257" s="23"/>
      <c r="M1257" s="23">
        <f>SUM(Tabela174681012142230322681619252731333624210121416182426283038402481012141620222628303234362426810121424610122426244262628262681026286236[[#This Row],[Saldo no cartão]:[Recarga Pendente]])</f>
        <v>0</v>
      </c>
      <c r="N1257" s="19">
        <f>Tabela174681012142230322681619252731333624210121416182426283038402481012141620222628303234362426810121424610122426244262628262681026286236[[#This Row],[Uso diário]]*2</f>
        <v>26.8</v>
      </c>
      <c r="O1257" s="19">
        <f>Tabela174681012142230322681619252731333624210121416182426283038402481012141620222628303234362426810121424610122426244262628262681026286236[[#This Row],[Total Acumulado]]-P1257</f>
        <v>-67</v>
      </c>
      <c r="P1257" s="48">
        <f>Tabela174681012142230322681619252731333624210121416182426283038402481012141620222628303234362426810121424610122426244262628262681026286236[[#This Row],[Uso diário]]*5</f>
        <v>67</v>
      </c>
      <c r="Q125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5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7" s="25">
        <v>26</v>
      </c>
    </row>
    <row r="1258" spans="1:20" s="26" customFormat="1" x14ac:dyDescent="0.25">
      <c r="A1258" s="16">
        <v>231096</v>
      </c>
      <c r="B1258" s="30" t="s">
        <v>777</v>
      </c>
      <c r="C1258" s="20" t="s">
        <v>653</v>
      </c>
      <c r="D1258" s="20" t="s">
        <v>714</v>
      </c>
      <c r="E1258" s="20" t="s">
        <v>4022</v>
      </c>
      <c r="F1258" s="20" t="s">
        <v>4023</v>
      </c>
      <c r="G1258" s="21">
        <v>13.4</v>
      </c>
      <c r="H1258" s="16">
        <v>26</v>
      </c>
      <c r="I1258" s="16"/>
      <c r="J125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58" s="22"/>
      <c r="L1258" s="23"/>
      <c r="M1258" s="23">
        <f>SUM(Tabela174681012142230322681619252731333624210121416182426283038402481012141620222628303234362426810121424610122426244262628262681026286236[[#This Row],[Saldo no cartão]:[Recarga Pendente]])</f>
        <v>0</v>
      </c>
      <c r="N1258" s="19">
        <f>Tabela174681012142230322681619252731333624210121416182426283038402481012141620222628303234362426810121424610122426244262628262681026286236[[#This Row],[Uso diário]]*2</f>
        <v>26.8</v>
      </c>
      <c r="O1258" s="19">
        <f>Tabela174681012142230322681619252731333624210121416182426283038402481012141620222628303234362426810121424610122426244262628262681026286236[[#This Row],[Total Acumulado]]-P1258</f>
        <v>-67</v>
      </c>
      <c r="P1258" s="48">
        <f>Tabela174681012142230322681619252731333624210121416182426283038402481012141620222628303234362426810121424610122426244262628262681026286236[[#This Row],[Uso diário]]*5</f>
        <v>67</v>
      </c>
      <c r="Q125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5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8" s="25">
        <v>26</v>
      </c>
    </row>
    <row r="1259" spans="1:20" s="26" customFormat="1" x14ac:dyDescent="0.25">
      <c r="A1259" s="16">
        <v>231881</v>
      </c>
      <c r="B1259" s="30" t="s">
        <v>868</v>
      </c>
      <c r="C1259" s="20" t="s">
        <v>653</v>
      </c>
      <c r="D1259" s="20" t="s">
        <v>714</v>
      </c>
      <c r="E1259" s="20" t="s">
        <v>4024</v>
      </c>
      <c r="F1259" s="20" t="s">
        <v>4025</v>
      </c>
      <c r="G1259" s="21">
        <v>18.8</v>
      </c>
      <c r="H1259" s="16">
        <v>26</v>
      </c>
      <c r="I1259" s="16"/>
      <c r="J125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59" s="22"/>
      <c r="L1259" s="23"/>
      <c r="M1259" s="23">
        <f>SUM(Tabela174681012142230322681619252731333624210121416182426283038402481012141620222628303234362426810121424610122426244262628262681026286236[[#This Row],[Saldo no cartão]:[Recarga Pendente]])</f>
        <v>0</v>
      </c>
      <c r="N1259" s="19">
        <f>Tabela174681012142230322681619252731333624210121416182426283038402481012141620222628303234362426810121424610122426244262628262681026286236[[#This Row],[Uso diário]]*2</f>
        <v>37.6</v>
      </c>
      <c r="O1259" s="19">
        <f>Tabela174681012142230322681619252731333624210121416182426283038402481012141620222628303234362426810121424610122426244262628262681026286236[[#This Row],[Total Acumulado]]-P1259</f>
        <v>-94</v>
      </c>
      <c r="P1259" s="48">
        <f>Tabela174681012142230322681619252731333624210121416182426283038402481012141620222628303234362426810121424610122426244262628262681026286236[[#This Row],[Uso diário]]*5</f>
        <v>94</v>
      </c>
      <c r="Q125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5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5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59" s="25">
        <v>26</v>
      </c>
    </row>
    <row r="1260" spans="1:20" s="26" customFormat="1" x14ac:dyDescent="0.25">
      <c r="A1260" s="16">
        <v>233957</v>
      </c>
      <c r="B1260" s="30" t="s">
        <v>1248</v>
      </c>
      <c r="C1260" s="20" t="s">
        <v>653</v>
      </c>
      <c r="D1260" s="20" t="s">
        <v>714</v>
      </c>
      <c r="E1260" s="20" t="s">
        <v>4026</v>
      </c>
      <c r="F1260" s="20" t="s">
        <v>4027</v>
      </c>
      <c r="G1260" s="21">
        <v>13.4</v>
      </c>
      <c r="H1260" s="16">
        <v>26</v>
      </c>
      <c r="I1260" s="16"/>
      <c r="J126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60" s="22"/>
      <c r="L1260" s="23"/>
      <c r="M1260" s="23">
        <f>SUM(Tabela174681012142230322681619252731333624210121416182426283038402481012141620222628303234362426810121424610122426244262628262681026286236[[#This Row],[Saldo no cartão]:[Recarga Pendente]])</f>
        <v>0</v>
      </c>
      <c r="N1260" s="19">
        <f>Tabela174681012142230322681619252731333624210121416182426283038402481012141620222628303234362426810121424610122426244262628262681026286236[[#This Row],[Uso diário]]*2</f>
        <v>26.8</v>
      </c>
      <c r="O1260" s="19">
        <f>Tabela174681012142230322681619252731333624210121416182426283038402481012141620222628303234362426810121424610122426244262628262681026286236[[#This Row],[Total Acumulado]]-P1260</f>
        <v>-67</v>
      </c>
      <c r="P1260" s="48">
        <f>Tabela174681012142230322681619252731333624210121416182426283038402481012141620222628303234362426810121424610122426244262628262681026286236[[#This Row],[Uso diário]]*5</f>
        <v>67</v>
      </c>
      <c r="Q126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6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0" s="25">
        <v>26</v>
      </c>
    </row>
    <row r="1261" spans="1:20" s="26" customFormat="1" x14ac:dyDescent="0.25">
      <c r="A1261" s="16">
        <v>234712</v>
      </c>
      <c r="B1261" s="30" t="s">
        <v>1384</v>
      </c>
      <c r="C1261" s="20" t="s">
        <v>653</v>
      </c>
      <c r="D1261" s="20" t="s">
        <v>714</v>
      </c>
      <c r="E1261" s="20" t="s">
        <v>4028</v>
      </c>
      <c r="F1261" s="20" t="s">
        <v>4029</v>
      </c>
      <c r="G1261" s="21">
        <v>13.4</v>
      </c>
      <c r="H1261" s="16">
        <v>26</v>
      </c>
      <c r="I1261" s="16"/>
      <c r="J126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61" s="22"/>
      <c r="L1261" s="23"/>
      <c r="M1261" s="23">
        <f>SUM(Tabela174681012142230322681619252731333624210121416182426283038402481012141620222628303234362426810121424610122426244262628262681026286236[[#This Row],[Saldo no cartão]:[Recarga Pendente]])</f>
        <v>0</v>
      </c>
      <c r="N1261" s="19">
        <f>Tabela174681012142230322681619252731333624210121416182426283038402481012141620222628303234362426810121424610122426244262628262681026286236[[#This Row],[Uso diário]]*2</f>
        <v>26.8</v>
      </c>
      <c r="O1261" s="19">
        <f>Tabela174681012142230322681619252731333624210121416182426283038402481012141620222628303234362426810121424610122426244262628262681026286236[[#This Row],[Total Acumulado]]-P1261</f>
        <v>-67</v>
      </c>
      <c r="P1261" s="48">
        <f>Tabela174681012142230322681619252731333624210121416182426283038402481012141620222628303234362426810121424610122426244262628262681026286236[[#This Row],[Uso diário]]*5</f>
        <v>67</v>
      </c>
      <c r="Q126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6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1" s="25">
        <v>26</v>
      </c>
    </row>
    <row r="1262" spans="1:20" s="26" customFormat="1" x14ac:dyDescent="0.25">
      <c r="A1262" s="16">
        <v>234737</v>
      </c>
      <c r="B1262" s="30" t="s">
        <v>1385</v>
      </c>
      <c r="C1262" s="20" t="s">
        <v>653</v>
      </c>
      <c r="D1262" s="20" t="s">
        <v>714</v>
      </c>
      <c r="E1262" s="20" t="s">
        <v>4030</v>
      </c>
      <c r="F1262" s="20" t="s">
        <v>4031</v>
      </c>
      <c r="G1262" s="21">
        <v>13.4</v>
      </c>
      <c r="H1262" s="16">
        <v>26</v>
      </c>
      <c r="I1262" s="16">
        <v>17</v>
      </c>
      <c r="J126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120.60000000000001</v>
      </c>
      <c r="K1262" s="22"/>
      <c r="L1262" s="23"/>
      <c r="M1262" s="23">
        <f>SUM(Tabela174681012142230322681619252731333624210121416182426283038402481012141620222628303234362426810121424610122426244262628262681026286236[[#This Row],[Saldo no cartão]:[Recarga Pendente]])</f>
        <v>0</v>
      </c>
      <c r="N1262" s="19">
        <f>Tabela174681012142230322681619252731333624210121416182426283038402481012141620222628303234362426810121424610122426244262628262681026286236[[#This Row],[Uso diário]]*2</f>
        <v>26.8</v>
      </c>
      <c r="O1262" s="19">
        <f>Tabela174681012142230322681619252731333624210121416182426283038402481012141620222628303234362426810121424610122426244262628262681026286236[[#This Row],[Total Acumulado]]-P1262</f>
        <v>-67</v>
      </c>
      <c r="P1262" s="48">
        <f>Tabela174681012142230322681619252731333624210121416182426283038402481012141620222628303234362426810121424610122426244262628262681026286236[[#This Row],[Uso diário]]*5</f>
        <v>67</v>
      </c>
      <c r="Q126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120.60000000000001</v>
      </c>
      <c r="S126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2" s="25">
        <v>26</v>
      </c>
    </row>
    <row r="1263" spans="1:20" s="26" customFormat="1" x14ac:dyDescent="0.25">
      <c r="A1263" s="16">
        <v>219609</v>
      </c>
      <c r="B1263" s="30" t="s">
        <v>1249</v>
      </c>
      <c r="C1263" s="20" t="s">
        <v>656</v>
      </c>
      <c r="D1263" s="20" t="s">
        <v>740</v>
      </c>
      <c r="E1263" s="20" t="s">
        <v>4032</v>
      </c>
      <c r="F1263" s="20" t="s">
        <v>4033</v>
      </c>
      <c r="G1263" s="21">
        <v>14.2</v>
      </c>
      <c r="H1263" s="16">
        <v>29</v>
      </c>
      <c r="I1263" s="16"/>
      <c r="J126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411.79999999999995</v>
      </c>
      <c r="K1263" s="22"/>
      <c r="L1263" s="23"/>
      <c r="M1263" s="23">
        <f>SUM(Tabela174681012142230322681619252731333624210121416182426283038402481012141620222628303234362426810121424610122426244262628262681026286236[[#This Row],[Saldo no cartão]:[Recarga Pendente]])</f>
        <v>0</v>
      </c>
      <c r="N1263" s="19">
        <f>Tabela174681012142230322681619252731333624210121416182426283038402481012141620222628303234362426810121424610122426244262628262681026286236[[#This Row],[Uso diário]]*2</f>
        <v>28.4</v>
      </c>
      <c r="O1263" s="19">
        <f>Tabela174681012142230322681619252731333624210121416182426283038402481012141620222628303234362426810121424610122426244262628262681026286236[[#This Row],[Total Acumulado]]-P1263</f>
        <v>-71</v>
      </c>
      <c r="P1263" s="48">
        <f>Tabela174681012142230322681619252731333624210121416182426283038402481012141620222628303234362426810121424610122426244262628262681026286236[[#This Row],[Uso diário]]*5</f>
        <v>71</v>
      </c>
      <c r="Q126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411.79999999999995</v>
      </c>
      <c r="S126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3" s="25">
        <v>26</v>
      </c>
    </row>
    <row r="1264" spans="1:20" s="26" customFormat="1" x14ac:dyDescent="0.25">
      <c r="A1264" s="16">
        <v>209273</v>
      </c>
      <c r="B1264" s="30" t="s">
        <v>596</v>
      </c>
      <c r="C1264" s="20" t="s">
        <v>654</v>
      </c>
      <c r="D1264" s="20" t="s">
        <v>745</v>
      </c>
      <c r="E1264" s="20" t="s">
        <v>4034</v>
      </c>
      <c r="F1264" s="20" t="s">
        <v>4035</v>
      </c>
      <c r="G1264" s="21">
        <v>18.8</v>
      </c>
      <c r="H1264" s="16">
        <v>26</v>
      </c>
      <c r="I1264" s="16"/>
      <c r="J126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64" s="22"/>
      <c r="L1264" s="23"/>
      <c r="M1264" s="23">
        <f>SUM(Tabela174681012142230322681619252731333624210121416182426283038402481012141620222628303234362426810121424610122426244262628262681026286236[[#This Row],[Saldo no cartão]:[Recarga Pendente]])</f>
        <v>0</v>
      </c>
      <c r="N1264" s="19">
        <f>Tabela174681012142230322681619252731333624210121416182426283038402481012141620222628303234362426810121424610122426244262628262681026286236[[#This Row],[Uso diário]]*2</f>
        <v>37.6</v>
      </c>
      <c r="O1264" s="19">
        <f>Tabela174681012142230322681619252731333624210121416182426283038402481012141620222628303234362426810121424610122426244262628262681026286236[[#This Row],[Total Acumulado]]-P1264</f>
        <v>-94</v>
      </c>
      <c r="P1264" s="48">
        <f>Tabela174681012142230322681619252731333624210121416182426283038402481012141620222628303234362426810121424610122426244262628262681026286236[[#This Row],[Uso diário]]*5</f>
        <v>94</v>
      </c>
      <c r="Q126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6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4" s="25">
        <v>26</v>
      </c>
    </row>
    <row r="1265" spans="1:20" s="26" customFormat="1" x14ac:dyDescent="0.25">
      <c r="A1265" s="16">
        <v>222300</v>
      </c>
      <c r="B1265" s="30" t="s">
        <v>401</v>
      </c>
      <c r="C1265" s="20" t="s">
        <v>654</v>
      </c>
      <c r="D1265" s="20" t="s">
        <v>731</v>
      </c>
      <c r="E1265" s="20" t="s">
        <v>4036</v>
      </c>
      <c r="F1265" s="20" t="s">
        <v>4037</v>
      </c>
      <c r="G1265" s="21">
        <v>18.8</v>
      </c>
      <c r="H1265" s="16">
        <v>26</v>
      </c>
      <c r="I1265" s="16">
        <v>1</v>
      </c>
      <c r="J126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470</v>
      </c>
      <c r="K1265" s="22"/>
      <c r="L1265" s="23"/>
      <c r="M1265" s="23">
        <f>SUM(Tabela174681012142230322681619252731333624210121416182426283038402481012141620222628303234362426810121424610122426244262628262681026286236[[#This Row],[Saldo no cartão]:[Recarga Pendente]])</f>
        <v>0</v>
      </c>
      <c r="N1265" s="19">
        <f>Tabela174681012142230322681619252731333624210121416182426283038402481012141620222628303234362426810121424610122426244262628262681026286236[[#This Row],[Uso diário]]*2</f>
        <v>37.6</v>
      </c>
      <c r="O1265" s="19">
        <f>Tabela174681012142230322681619252731333624210121416182426283038402481012141620222628303234362426810121424610122426244262628262681026286236[[#This Row],[Total Acumulado]]-P1265</f>
        <v>-94</v>
      </c>
      <c r="P1265" s="48">
        <f>Tabela174681012142230322681619252731333624210121416182426283038402481012141620222628303234362426810121424610122426244262628262681026286236[[#This Row],[Uso diário]]*5</f>
        <v>94</v>
      </c>
      <c r="Q126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470</v>
      </c>
      <c r="S126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5" s="25">
        <v>26</v>
      </c>
    </row>
    <row r="1266" spans="1:20" s="26" customFormat="1" x14ac:dyDescent="0.25">
      <c r="A1266" s="16">
        <v>222990</v>
      </c>
      <c r="B1266" s="30" t="s">
        <v>30</v>
      </c>
      <c r="C1266" s="20" t="s">
        <v>654</v>
      </c>
      <c r="D1266" s="20" t="s">
        <v>715</v>
      </c>
      <c r="E1266" s="20" t="s">
        <v>4038</v>
      </c>
      <c r="F1266" s="20" t="s">
        <v>4039</v>
      </c>
      <c r="G1266" s="21">
        <v>13.4</v>
      </c>
      <c r="H1266" s="16">
        <v>26</v>
      </c>
      <c r="I1266" s="16"/>
      <c r="J126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66" s="22"/>
      <c r="L1266" s="23"/>
      <c r="M1266" s="23">
        <f>SUM(Tabela174681012142230322681619252731333624210121416182426283038402481012141620222628303234362426810121424610122426244262628262681026286236[[#This Row],[Saldo no cartão]:[Recarga Pendente]])</f>
        <v>0</v>
      </c>
      <c r="N1266" s="19">
        <f>Tabela174681012142230322681619252731333624210121416182426283038402481012141620222628303234362426810121424610122426244262628262681026286236[[#This Row],[Uso diário]]*2</f>
        <v>26.8</v>
      </c>
      <c r="O1266" s="19">
        <f>Tabela174681012142230322681619252731333624210121416182426283038402481012141620222628303234362426810121424610122426244262628262681026286236[[#This Row],[Total Acumulado]]-P1266</f>
        <v>-67</v>
      </c>
      <c r="P1266" s="48">
        <f>Tabela174681012142230322681619252731333624210121416182426283038402481012141620222628303234362426810121424610122426244262628262681026286236[[#This Row],[Uso diário]]*5</f>
        <v>67</v>
      </c>
      <c r="Q126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6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6" s="25">
        <v>26</v>
      </c>
    </row>
    <row r="1267" spans="1:20" s="26" customFormat="1" x14ac:dyDescent="0.25">
      <c r="A1267" s="16">
        <v>226482</v>
      </c>
      <c r="B1267" s="30" t="s">
        <v>597</v>
      </c>
      <c r="C1267" s="20" t="s">
        <v>654</v>
      </c>
      <c r="D1267" s="20" t="s">
        <v>715</v>
      </c>
      <c r="E1267" s="20" t="s">
        <v>4040</v>
      </c>
      <c r="F1267" s="20" t="s">
        <v>4041</v>
      </c>
      <c r="G1267" s="21">
        <v>13.4</v>
      </c>
      <c r="H1267" s="16">
        <v>26</v>
      </c>
      <c r="I1267" s="16"/>
      <c r="J126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67" s="22"/>
      <c r="L1267" s="23"/>
      <c r="M1267" s="23">
        <f>SUM(Tabela174681012142230322681619252731333624210121416182426283038402481012141620222628303234362426810121424610122426244262628262681026286236[[#This Row],[Saldo no cartão]:[Recarga Pendente]])</f>
        <v>0</v>
      </c>
      <c r="N1267" s="19">
        <f>Tabela174681012142230322681619252731333624210121416182426283038402481012141620222628303234362426810121424610122426244262628262681026286236[[#This Row],[Uso diário]]*2</f>
        <v>26.8</v>
      </c>
      <c r="O1267" s="19">
        <f>Tabela174681012142230322681619252731333624210121416182426283038402481012141620222628303234362426810121424610122426244262628262681026286236[[#This Row],[Total Acumulado]]-P1267</f>
        <v>-67</v>
      </c>
      <c r="P1267" s="48">
        <f>Tabela174681012142230322681619252731333624210121416182426283038402481012141620222628303234362426810121424610122426244262628262681026286236[[#This Row],[Uso diário]]*5</f>
        <v>67</v>
      </c>
      <c r="Q126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6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7" s="25">
        <v>26</v>
      </c>
    </row>
    <row r="1268" spans="1:20" s="26" customFormat="1" x14ac:dyDescent="0.25">
      <c r="A1268" s="16">
        <v>226707</v>
      </c>
      <c r="B1268" s="30" t="s">
        <v>1116</v>
      </c>
      <c r="C1268" s="20" t="s">
        <v>654</v>
      </c>
      <c r="D1268" s="20" t="s">
        <v>715</v>
      </c>
      <c r="E1268" s="20" t="s">
        <v>4042</v>
      </c>
      <c r="F1268" s="20" t="s">
        <v>4043</v>
      </c>
      <c r="G1268" s="21">
        <v>13.4</v>
      </c>
      <c r="H1268" s="16">
        <v>26</v>
      </c>
      <c r="I1268" s="16">
        <v>10</v>
      </c>
      <c r="J126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214.4</v>
      </c>
      <c r="K1268" s="22"/>
      <c r="L1268" s="23"/>
      <c r="M1268" s="23">
        <f>SUM(Tabela174681012142230322681619252731333624210121416182426283038402481012141620222628303234362426810121424610122426244262628262681026286236[[#This Row],[Saldo no cartão]:[Recarga Pendente]])</f>
        <v>0</v>
      </c>
      <c r="N1268" s="19">
        <f>Tabela174681012142230322681619252731333624210121416182426283038402481012141620222628303234362426810121424610122426244262628262681026286236[[#This Row],[Uso diário]]*2</f>
        <v>26.8</v>
      </c>
      <c r="O1268" s="19">
        <f>Tabela174681012142230322681619252731333624210121416182426283038402481012141620222628303234362426810121424610122426244262628262681026286236[[#This Row],[Total Acumulado]]-P1268</f>
        <v>-67</v>
      </c>
      <c r="P1268" s="48">
        <f>Tabela174681012142230322681619252731333624210121416182426283038402481012141620222628303234362426810121424610122426244262628262681026286236[[#This Row],[Uso diário]]*5</f>
        <v>67</v>
      </c>
      <c r="Q126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214.4</v>
      </c>
      <c r="S126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8" s="25">
        <v>26</v>
      </c>
    </row>
    <row r="1269" spans="1:20" s="26" customFormat="1" x14ac:dyDescent="0.25">
      <c r="A1269" s="16">
        <v>226943</v>
      </c>
      <c r="B1269" s="30" t="s">
        <v>1250</v>
      </c>
      <c r="C1269" s="20" t="s">
        <v>654</v>
      </c>
      <c r="D1269" s="20" t="s">
        <v>1268</v>
      </c>
      <c r="E1269" s="20" t="s">
        <v>4044</v>
      </c>
      <c r="F1269" s="20" t="s">
        <v>4045</v>
      </c>
      <c r="G1269" s="21">
        <v>15.4</v>
      </c>
      <c r="H1269" s="16">
        <v>26</v>
      </c>
      <c r="I1269" s="16">
        <v>6</v>
      </c>
      <c r="J126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</v>
      </c>
      <c r="K1269" s="22"/>
      <c r="L1269" s="23"/>
      <c r="M1269" s="23">
        <f>SUM(Tabela174681012142230322681619252731333624210121416182426283038402481012141620222628303234362426810121424610122426244262628262681026286236[[#This Row],[Saldo no cartão]:[Recarga Pendente]])</f>
        <v>0</v>
      </c>
      <c r="N1269" s="19">
        <f>Tabela174681012142230322681619252731333624210121416182426283038402481012141620222628303234362426810121424610122426244262628262681026286236[[#This Row],[Uso diário]]*2</f>
        <v>30.8</v>
      </c>
      <c r="O1269" s="19">
        <f>Tabela174681012142230322681619252731333624210121416182426283038402481012141620222628303234362426810121424610122426244262628262681026286236[[#This Row],[Total Acumulado]]-P1269</f>
        <v>-77</v>
      </c>
      <c r="P1269" s="48">
        <f>Tabela174681012142230322681619252731333624210121416182426283038402481012141620222628303234362426810121424610122426244262628262681026286236[[#This Row],[Uso diário]]*5</f>
        <v>77</v>
      </c>
      <c r="Q126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6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</v>
      </c>
      <c r="S126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69" s="25">
        <v>26</v>
      </c>
    </row>
    <row r="1270" spans="1:20" s="26" customFormat="1" x14ac:dyDescent="0.25">
      <c r="A1270" s="16">
        <v>230722</v>
      </c>
      <c r="B1270" s="30" t="s">
        <v>562</v>
      </c>
      <c r="C1270" s="20" t="s">
        <v>654</v>
      </c>
      <c r="D1270" s="20" t="s">
        <v>715</v>
      </c>
      <c r="E1270" s="20" t="s">
        <v>4046</v>
      </c>
      <c r="F1270" s="20" t="s">
        <v>4047</v>
      </c>
      <c r="G1270" s="21">
        <v>13.4</v>
      </c>
      <c r="H1270" s="16">
        <v>26</v>
      </c>
      <c r="I1270" s="16">
        <v>3</v>
      </c>
      <c r="J127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1270" s="22"/>
      <c r="L1270" s="23"/>
      <c r="M1270" s="23">
        <f>SUM(Tabela174681012142230322681619252731333624210121416182426283038402481012141620222628303234362426810121424610122426244262628262681026286236[[#This Row],[Saldo no cartão]:[Recarga Pendente]])</f>
        <v>0</v>
      </c>
      <c r="N1270" s="19">
        <f>Tabela174681012142230322681619252731333624210121416182426283038402481012141620222628303234362426810121424610122426244262628262681026286236[[#This Row],[Uso diário]]*2</f>
        <v>26.8</v>
      </c>
      <c r="O1270" s="19">
        <f>Tabela174681012142230322681619252731333624210121416182426283038402481012141620222628303234362426810121424610122426244262628262681026286236[[#This Row],[Total Acumulado]]-P1270</f>
        <v>-67</v>
      </c>
      <c r="P1270" s="48">
        <f>Tabela174681012142230322681619252731333624210121416182426283038402481012141620222628303234362426810121424610122426244262628262681026286236[[#This Row],[Uso diário]]*5</f>
        <v>67</v>
      </c>
      <c r="Q127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127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0" s="25">
        <v>26</v>
      </c>
    </row>
    <row r="1271" spans="1:20" s="26" customFormat="1" x14ac:dyDescent="0.25">
      <c r="A1271" s="16">
        <v>230834</v>
      </c>
      <c r="B1271" s="30" t="s">
        <v>1534</v>
      </c>
      <c r="C1271" s="20" t="s">
        <v>654</v>
      </c>
      <c r="D1271" s="20" t="s">
        <v>715</v>
      </c>
      <c r="E1271" s="20" t="s">
        <v>4048</v>
      </c>
      <c r="F1271" s="20" t="s">
        <v>4049</v>
      </c>
      <c r="G1271" s="21">
        <v>13.4</v>
      </c>
      <c r="H1271" s="16">
        <v>26</v>
      </c>
      <c r="I1271" s="16">
        <v>3</v>
      </c>
      <c r="J127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308.2</v>
      </c>
      <c r="K1271" s="22"/>
      <c r="L1271" s="23"/>
      <c r="M1271" s="23">
        <f>SUM(Tabela174681012142230322681619252731333624210121416182426283038402481012141620222628303234362426810121424610122426244262628262681026286236[[#This Row],[Saldo no cartão]:[Recarga Pendente]])</f>
        <v>0</v>
      </c>
      <c r="N1271" s="19">
        <f>Tabela174681012142230322681619252731333624210121416182426283038402481012141620222628303234362426810121424610122426244262628262681026286236[[#This Row],[Uso diário]]*2</f>
        <v>26.8</v>
      </c>
      <c r="O1271" s="19">
        <f>Tabela174681012142230322681619252731333624210121416182426283038402481012141620222628303234362426810121424610122426244262628262681026286236[[#This Row],[Total Acumulado]]-P1271</f>
        <v>-67</v>
      </c>
      <c r="P1271" s="48">
        <f>Tabela174681012142230322681619252731333624210121416182426283038402481012141620222628303234362426810121424610122426244262628262681026286236[[#This Row],[Uso diário]]*5</f>
        <v>67</v>
      </c>
      <c r="Q127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308.2</v>
      </c>
      <c r="S127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1" s="25">
        <v>26</v>
      </c>
    </row>
    <row r="1272" spans="1:20" s="26" customFormat="1" x14ac:dyDescent="0.25">
      <c r="A1272" s="16">
        <v>230837</v>
      </c>
      <c r="B1272" s="30" t="s">
        <v>598</v>
      </c>
      <c r="C1272" s="20" t="s">
        <v>654</v>
      </c>
      <c r="D1272" s="20" t="s">
        <v>715</v>
      </c>
      <c r="E1272" s="20" t="s">
        <v>4050</v>
      </c>
      <c r="F1272" s="20" t="s">
        <v>4051</v>
      </c>
      <c r="G1272" s="21">
        <v>13.4</v>
      </c>
      <c r="H1272" s="16">
        <v>26</v>
      </c>
      <c r="I1272" s="16"/>
      <c r="J127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72" s="22"/>
      <c r="L1272" s="23"/>
      <c r="M1272" s="23">
        <f>SUM(Tabela174681012142230322681619252731333624210121416182426283038402481012141620222628303234362426810121424610122426244262628262681026286236[[#This Row],[Saldo no cartão]:[Recarga Pendente]])</f>
        <v>0</v>
      </c>
      <c r="N1272" s="19">
        <f>Tabela174681012142230322681619252731333624210121416182426283038402481012141620222628303234362426810121424610122426244262628262681026286236[[#This Row],[Uso diário]]*2</f>
        <v>26.8</v>
      </c>
      <c r="O1272" s="19">
        <f>Tabela174681012142230322681619252731333624210121416182426283038402481012141620222628303234362426810121424610122426244262628262681026286236[[#This Row],[Total Acumulado]]-P1272</f>
        <v>-67</v>
      </c>
      <c r="P1272" s="48">
        <f>Tabela174681012142230322681619252731333624210121416182426283038402481012141620222628303234362426810121424610122426244262628262681026286236[[#This Row],[Uso diário]]*5</f>
        <v>67</v>
      </c>
      <c r="Q127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7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2" s="25">
        <v>26</v>
      </c>
    </row>
    <row r="1273" spans="1:20" s="26" customFormat="1" x14ac:dyDescent="0.25">
      <c r="A1273" s="16">
        <v>230840</v>
      </c>
      <c r="B1273" s="30" t="s">
        <v>599</v>
      </c>
      <c r="C1273" s="20" t="s">
        <v>654</v>
      </c>
      <c r="D1273" s="20" t="s">
        <v>715</v>
      </c>
      <c r="E1273" s="20" t="s">
        <v>4052</v>
      </c>
      <c r="F1273" s="20" t="s">
        <v>4053</v>
      </c>
      <c r="G1273" s="21">
        <v>13.4</v>
      </c>
      <c r="H1273" s="16">
        <v>26</v>
      </c>
      <c r="I1273" s="16">
        <v>1</v>
      </c>
      <c r="J127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273" s="22"/>
      <c r="L1273" s="23"/>
      <c r="M1273" s="23">
        <f>SUM(Tabela174681012142230322681619252731333624210121416182426283038402481012141620222628303234362426810121424610122426244262628262681026286236[[#This Row],[Saldo no cartão]:[Recarga Pendente]])</f>
        <v>0</v>
      </c>
      <c r="N1273" s="19">
        <f>Tabela174681012142230322681619252731333624210121416182426283038402481012141620222628303234362426810121424610122426244262628262681026286236[[#This Row],[Uso diário]]*2</f>
        <v>26.8</v>
      </c>
      <c r="O1273" s="19">
        <f>Tabela174681012142230322681619252731333624210121416182426283038402481012141620222628303234362426810121424610122426244262628262681026286236[[#This Row],[Total Acumulado]]-P1273</f>
        <v>-67</v>
      </c>
      <c r="P1273" s="48">
        <f>Tabela174681012142230322681619252731333624210121416182426283038402481012141620222628303234362426810121424610122426244262628262681026286236[[#This Row],[Uso diário]]*5</f>
        <v>67</v>
      </c>
      <c r="Q127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27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3" s="25">
        <v>26</v>
      </c>
    </row>
    <row r="1274" spans="1:20" s="26" customFormat="1" x14ac:dyDescent="0.25">
      <c r="A1274" s="16">
        <v>230841</v>
      </c>
      <c r="B1274" s="30" t="s">
        <v>600</v>
      </c>
      <c r="C1274" s="20" t="s">
        <v>654</v>
      </c>
      <c r="D1274" s="20" t="s">
        <v>715</v>
      </c>
      <c r="E1274" s="20" t="s">
        <v>4054</v>
      </c>
      <c r="F1274" s="20" t="s">
        <v>4055</v>
      </c>
      <c r="G1274" s="21">
        <v>13.4</v>
      </c>
      <c r="H1274" s="16">
        <v>26</v>
      </c>
      <c r="I1274" s="16"/>
      <c r="J127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74" s="22"/>
      <c r="L1274" s="23"/>
      <c r="M1274" s="23">
        <f>SUM(Tabela174681012142230322681619252731333624210121416182426283038402481012141620222628303234362426810121424610122426244262628262681026286236[[#This Row],[Saldo no cartão]:[Recarga Pendente]])</f>
        <v>0</v>
      </c>
      <c r="N1274" s="19">
        <f>Tabela174681012142230322681619252731333624210121416182426283038402481012141620222628303234362426810121424610122426244262628262681026286236[[#This Row],[Uso diário]]*2</f>
        <v>26.8</v>
      </c>
      <c r="O1274" s="19">
        <f>Tabela174681012142230322681619252731333624210121416182426283038402481012141620222628303234362426810121424610122426244262628262681026286236[[#This Row],[Total Acumulado]]-P1274</f>
        <v>-67</v>
      </c>
      <c r="P1274" s="48">
        <f>Tabela174681012142230322681619252731333624210121416182426283038402481012141620222628303234362426810121424610122426244262628262681026286236[[#This Row],[Uso diário]]*5</f>
        <v>67</v>
      </c>
      <c r="Q127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7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4" s="25">
        <v>26</v>
      </c>
    </row>
    <row r="1275" spans="1:20" s="26" customFormat="1" x14ac:dyDescent="0.25">
      <c r="A1275" s="16">
        <v>230843</v>
      </c>
      <c r="B1275" s="30" t="s">
        <v>601</v>
      </c>
      <c r="C1275" s="20" t="s">
        <v>654</v>
      </c>
      <c r="D1275" s="20" t="s">
        <v>715</v>
      </c>
      <c r="E1275" s="20" t="s">
        <v>4056</v>
      </c>
      <c r="F1275" s="20" t="s">
        <v>4057</v>
      </c>
      <c r="G1275" s="21">
        <v>13.4</v>
      </c>
      <c r="H1275" s="16">
        <v>5</v>
      </c>
      <c r="I1275" s="16"/>
      <c r="J127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67</v>
      </c>
      <c r="K1275" s="22"/>
      <c r="L1275" s="23"/>
      <c r="M1275" s="23">
        <f>SUM(Tabela174681012142230322681619252731333624210121416182426283038402481012141620222628303234362426810121424610122426244262628262681026286236[[#This Row],[Saldo no cartão]:[Recarga Pendente]])</f>
        <v>0</v>
      </c>
      <c r="N1275" s="19">
        <f>Tabela174681012142230322681619252731333624210121416182426283038402481012141620222628303234362426810121424610122426244262628262681026286236[[#This Row],[Uso diário]]*2</f>
        <v>26.8</v>
      </c>
      <c r="O1275" s="19">
        <f>Tabela174681012142230322681619252731333624210121416182426283038402481012141620222628303234362426810121424610122426244262628262681026286236[[#This Row],[Total Acumulado]]-P1275</f>
        <v>-67</v>
      </c>
      <c r="P1275" s="48">
        <f>Tabela174681012142230322681619252731333624210121416182426283038402481012141620222628303234362426810121424610122426244262628262681026286236[[#This Row],[Uso diário]]*5</f>
        <v>67</v>
      </c>
      <c r="Q127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67</v>
      </c>
      <c r="S127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5" s="25">
        <v>26</v>
      </c>
    </row>
    <row r="1276" spans="1:20" s="26" customFormat="1" x14ac:dyDescent="0.25">
      <c r="A1276" s="16">
        <v>230846</v>
      </c>
      <c r="B1276" s="30" t="s">
        <v>602</v>
      </c>
      <c r="C1276" s="20" t="s">
        <v>654</v>
      </c>
      <c r="D1276" s="20" t="s">
        <v>715</v>
      </c>
      <c r="E1276" s="20" t="s">
        <v>4058</v>
      </c>
      <c r="F1276" s="20" t="s">
        <v>4059</v>
      </c>
      <c r="G1276" s="21">
        <v>13.4</v>
      </c>
      <c r="H1276" s="16">
        <v>26</v>
      </c>
      <c r="I1276" s="16"/>
      <c r="J127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76" s="22"/>
      <c r="L1276" s="23"/>
      <c r="M1276" s="23">
        <f>SUM(Tabela174681012142230322681619252731333624210121416182426283038402481012141620222628303234362426810121424610122426244262628262681026286236[[#This Row],[Saldo no cartão]:[Recarga Pendente]])</f>
        <v>0</v>
      </c>
      <c r="N1276" s="19">
        <f>Tabela174681012142230322681619252731333624210121416182426283038402481012141620222628303234362426810121424610122426244262628262681026286236[[#This Row],[Uso diário]]*2</f>
        <v>26.8</v>
      </c>
      <c r="O1276" s="19">
        <f>Tabela174681012142230322681619252731333624210121416182426283038402481012141620222628303234362426810121424610122426244262628262681026286236[[#This Row],[Total Acumulado]]-P1276</f>
        <v>-67</v>
      </c>
      <c r="P1276" s="48">
        <f>Tabela174681012142230322681619252731333624210121416182426283038402481012141620222628303234362426810121424610122426244262628262681026286236[[#This Row],[Uso diário]]*5</f>
        <v>67</v>
      </c>
      <c r="Q127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7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6" s="25">
        <v>26</v>
      </c>
    </row>
    <row r="1277" spans="1:20" s="26" customFormat="1" x14ac:dyDescent="0.25">
      <c r="A1277" s="16">
        <v>230847</v>
      </c>
      <c r="B1277" s="30" t="s">
        <v>1535</v>
      </c>
      <c r="C1277" s="20" t="s">
        <v>654</v>
      </c>
      <c r="D1277" s="20" t="s">
        <v>715</v>
      </c>
      <c r="E1277" s="20" t="s">
        <v>4060</v>
      </c>
      <c r="F1277" s="20" t="s">
        <v>4061</v>
      </c>
      <c r="G1277" s="21">
        <v>13.4</v>
      </c>
      <c r="H1277" s="16">
        <v>26</v>
      </c>
      <c r="I1277" s="16"/>
      <c r="J127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77" s="22"/>
      <c r="L1277" s="23"/>
      <c r="M1277" s="23">
        <f>SUM(Tabela174681012142230322681619252731333624210121416182426283038402481012141620222628303234362426810121424610122426244262628262681026286236[[#This Row],[Saldo no cartão]:[Recarga Pendente]])</f>
        <v>0</v>
      </c>
      <c r="N1277" s="19">
        <f>Tabela174681012142230322681619252731333624210121416182426283038402481012141620222628303234362426810121424610122426244262628262681026286236[[#This Row],[Uso diário]]*2</f>
        <v>26.8</v>
      </c>
      <c r="O1277" s="19">
        <f>Tabela174681012142230322681619252731333624210121416182426283038402481012141620222628303234362426810121424610122426244262628262681026286236[[#This Row],[Total Acumulado]]-P1277</f>
        <v>-67</v>
      </c>
      <c r="P1277" s="48">
        <f>Tabela174681012142230322681619252731333624210121416182426283038402481012141620222628303234362426810121424610122426244262628262681026286236[[#This Row],[Uso diário]]*5</f>
        <v>67</v>
      </c>
      <c r="Q127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7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7" s="25">
        <v>26</v>
      </c>
    </row>
    <row r="1278" spans="1:20" s="26" customFormat="1" x14ac:dyDescent="0.25">
      <c r="A1278" s="16">
        <v>230906</v>
      </c>
      <c r="B1278" s="30" t="s">
        <v>603</v>
      </c>
      <c r="C1278" s="20" t="s">
        <v>654</v>
      </c>
      <c r="D1278" s="20" t="s">
        <v>715</v>
      </c>
      <c r="E1278" s="20" t="s">
        <v>4062</v>
      </c>
      <c r="F1278" s="20" t="s">
        <v>4063</v>
      </c>
      <c r="G1278" s="21">
        <v>13.4</v>
      </c>
      <c r="H1278" s="16">
        <v>26</v>
      </c>
      <c r="I1278" s="16"/>
      <c r="J127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78" s="22"/>
      <c r="L1278" s="23"/>
      <c r="M1278" s="23">
        <f>SUM(Tabela174681012142230322681619252731333624210121416182426283038402481012141620222628303234362426810121424610122426244262628262681026286236[[#This Row],[Saldo no cartão]:[Recarga Pendente]])</f>
        <v>0</v>
      </c>
      <c r="N1278" s="19">
        <f>Tabela174681012142230322681619252731333624210121416182426283038402481012141620222628303234362426810121424610122426244262628262681026286236[[#This Row],[Uso diário]]*2</f>
        <v>26.8</v>
      </c>
      <c r="O1278" s="19">
        <f>Tabela174681012142230322681619252731333624210121416182426283038402481012141620222628303234362426810121424610122426244262628262681026286236[[#This Row],[Total Acumulado]]-P1278</f>
        <v>-67</v>
      </c>
      <c r="P1278" s="48">
        <f>Tabela174681012142230322681619252731333624210121416182426283038402481012141620222628303234362426810121424610122426244262628262681026286236[[#This Row],[Uso diário]]*5</f>
        <v>67</v>
      </c>
      <c r="Q127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7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8" s="25">
        <v>26</v>
      </c>
    </row>
    <row r="1279" spans="1:20" s="26" customFormat="1" x14ac:dyDescent="0.25">
      <c r="A1279" s="16">
        <v>231006</v>
      </c>
      <c r="B1279" s="30" t="s">
        <v>604</v>
      </c>
      <c r="C1279" s="20" t="s">
        <v>654</v>
      </c>
      <c r="D1279" s="20" t="s">
        <v>715</v>
      </c>
      <c r="E1279" s="20" t="s">
        <v>4064</v>
      </c>
      <c r="F1279" s="20" t="s">
        <v>4065</v>
      </c>
      <c r="G1279" s="21">
        <v>13.4</v>
      </c>
      <c r="H1279" s="16">
        <v>26</v>
      </c>
      <c r="I1279" s="16"/>
      <c r="J127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79" s="22"/>
      <c r="L1279" s="23"/>
      <c r="M1279" s="23">
        <f>SUM(Tabela174681012142230322681619252731333624210121416182426283038402481012141620222628303234362426810121424610122426244262628262681026286236[[#This Row],[Saldo no cartão]:[Recarga Pendente]])</f>
        <v>0</v>
      </c>
      <c r="N1279" s="19">
        <f>Tabela174681012142230322681619252731333624210121416182426283038402481012141620222628303234362426810121424610122426244262628262681026286236[[#This Row],[Uso diário]]*2</f>
        <v>26.8</v>
      </c>
      <c r="O1279" s="19">
        <f>Tabela174681012142230322681619252731333624210121416182426283038402481012141620222628303234362426810121424610122426244262628262681026286236[[#This Row],[Total Acumulado]]-P1279</f>
        <v>-67</v>
      </c>
      <c r="P1279" s="48">
        <f>Tabela174681012142230322681619252731333624210121416182426283038402481012141620222628303234362426810121424610122426244262628262681026286236[[#This Row],[Uso diário]]*5</f>
        <v>67</v>
      </c>
      <c r="Q127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7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7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79" s="25">
        <v>26</v>
      </c>
    </row>
    <row r="1280" spans="1:20" s="26" customFormat="1" x14ac:dyDescent="0.25">
      <c r="A1280" s="16">
        <v>231710</v>
      </c>
      <c r="B1280" s="30" t="s">
        <v>877</v>
      </c>
      <c r="C1280" s="20" t="s">
        <v>654</v>
      </c>
      <c r="D1280" s="20" t="s">
        <v>715</v>
      </c>
      <c r="E1280" s="20" t="s">
        <v>4066</v>
      </c>
      <c r="F1280" s="20" t="s">
        <v>4067</v>
      </c>
      <c r="G1280" s="21">
        <v>15.4</v>
      </c>
      <c r="H1280" s="16">
        <v>26</v>
      </c>
      <c r="I1280" s="16">
        <v>2</v>
      </c>
      <c r="J128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369.6</v>
      </c>
      <c r="K1280" s="22"/>
      <c r="L1280" s="23"/>
      <c r="M1280" s="23">
        <f>SUM(Tabela174681012142230322681619252731333624210121416182426283038402481012141620222628303234362426810121424610122426244262628262681026286236[[#This Row],[Saldo no cartão]:[Recarga Pendente]])</f>
        <v>0</v>
      </c>
      <c r="N1280" s="19">
        <f>Tabela174681012142230322681619252731333624210121416182426283038402481012141620222628303234362426810121424610122426244262628262681026286236[[#This Row],[Uso diário]]*2</f>
        <v>30.8</v>
      </c>
      <c r="O1280" s="19">
        <f>Tabela174681012142230322681619252731333624210121416182426283038402481012141620222628303234362426810121424610122426244262628262681026286236[[#This Row],[Total Acumulado]]-P1280</f>
        <v>-77</v>
      </c>
      <c r="P1280" s="48">
        <f>Tabela174681012142230322681619252731333624210121416182426283038402481012141620222628303234362426810121424610122426244262628262681026286236[[#This Row],[Uso diário]]*5</f>
        <v>77</v>
      </c>
      <c r="Q128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369.6</v>
      </c>
      <c r="S128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0" s="25">
        <v>26</v>
      </c>
    </row>
    <row r="1281" spans="1:20" s="26" customFormat="1" x14ac:dyDescent="0.25">
      <c r="A1281" s="16">
        <v>232642</v>
      </c>
      <c r="B1281" s="30" t="s">
        <v>952</v>
      </c>
      <c r="C1281" s="20" t="s">
        <v>654</v>
      </c>
      <c r="D1281" s="20" t="s">
        <v>715</v>
      </c>
      <c r="E1281" s="20" t="s">
        <v>4068</v>
      </c>
      <c r="F1281" s="20" t="s">
        <v>4069</v>
      </c>
      <c r="G1281" s="21">
        <v>13.4</v>
      </c>
      <c r="H1281" s="16">
        <v>26</v>
      </c>
      <c r="I1281" s="16"/>
      <c r="J128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81" s="22"/>
      <c r="L1281" s="23"/>
      <c r="M1281" s="23">
        <f>SUM(Tabela174681012142230322681619252731333624210121416182426283038402481012141620222628303234362426810121424610122426244262628262681026286236[[#This Row],[Saldo no cartão]:[Recarga Pendente]])</f>
        <v>0</v>
      </c>
      <c r="N1281" s="19">
        <f>Tabela174681012142230322681619252731333624210121416182426283038402481012141620222628303234362426810121424610122426244262628262681026286236[[#This Row],[Uso diário]]*2</f>
        <v>26.8</v>
      </c>
      <c r="O1281" s="19">
        <f>Tabela174681012142230322681619252731333624210121416182426283038402481012141620222628303234362426810121424610122426244262628262681026286236[[#This Row],[Total Acumulado]]-P1281</f>
        <v>-67</v>
      </c>
      <c r="P1281" s="48">
        <f>Tabela174681012142230322681619252731333624210121416182426283038402481012141620222628303234362426810121424610122426244262628262681026286236[[#This Row],[Uso diário]]*5</f>
        <v>67</v>
      </c>
      <c r="Q128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8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1" s="25">
        <v>26</v>
      </c>
    </row>
    <row r="1282" spans="1:20" s="26" customFormat="1" x14ac:dyDescent="0.25">
      <c r="A1282" s="16">
        <v>232755</v>
      </c>
      <c r="B1282" s="30" t="s">
        <v>953</v>
      </c>
      <c r="C1282" s="20" t="s">
        <v>654</v>
      </c>
      <c r="D1282" s="20" t="s">
        <v>715</v>
      </c>
      <c r="E1282" s="20" t="s">
        <v>4070</v>
      </c>
      <c r="F1282" s="20" t="s">
        <v>4071</v>
      </c>
      <c r="G1282" s="21">
        <v>13.4</v>
      </c>
      <c r="H1282" s="16">
        <v>26</v>
      </c>
      <c r="I1282" s="16"/>
      <c r="J128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82" s="22"/>
      <c r="L1282" s="23"/>
      <c r="M1282" s="23">
        <f>SUM(Tabela174681012142230322681619252731333624210121416182426283038402481012141620222628303234362426810121424610122426244262628262681026286236[[#This Row],[Saldo no cartão]:[Recarga Pendente]])</f>
        <v>0</v>
      </c>
      <c r="N1282" s="19">
        <f>Tabela174681012142230322681619252731333624210121416182426283038402481012141620222628303234362426810121424610122426244262628262681026286236[[#This Row],[Uso diário]]*2</f>
        <v>26.8</v>
      </c>
      <c r="O1282" s="19">
        <f>Tabela174681012142230322681619252731333624210121416182426283038402481012141620222628303234362426810121424610122426244262628262681026286236[[#This Row],[Total Acumulado]]-P1282</f>
        <v>-67</v>
      </c>
      <c r="P1282" s="48">
        <f>Tabela174681012142230322681619252731333624210121416182426283038402481012141620222628303234362426810121424610122426244262628262681026286236[[#This Row],[Uso diário]]*5</f>
        <v>67</v>
      </c>
      <c r="Q128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8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2" s="25">
        <v>26</v>
      </c>
    </row>
    <row r="1283" spans="1:20" s="26" customFormat="1" x14ac:dyDescent="0.25">
      <c r="A1283" s="16">
        <v>232868</v>
      </c>
      <c r="B1283" s="30" t="s">
        <v>954</v>
      </c>
      <c r="C1283" s="20" t="s">
        <v>654</v>
      </c>
      <c r="D1283" s="20" t="s">
        <v>715</v>
      </c>
      <c r="E1283" s="20" t="s">
        <v>4072</v>
      </c>
      <c r="F1283" s="20" t="s">
        <v>4073</v>
      </c>
      <c r="G1283" s="21">
        <v>13.4</v>
      </c>
      <c r="H1283" s="16">
        <v>26</v>
      </c>
      <c r="I1283" s="16">
        <v>1</v>
      </c>
      <c r="J128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283" s="22"/>
      <c r="L1283" s="23"/>
      <c r="M1283" s="23">
        <f>SUM(Tabela174681012142230322681619252731333624210121416182426283038402481012141620222628303234362426810121424610122426244262628262681026286236[[#This Row],[Saldo no cartão]:[Recarga Pendente]])</f>
        <v>0</v>
      </c>
      <c r="N1283" s="19">
        <f>Tabela174681012142230322681619252731333624210121416182426283038402481012141620222628303234362426810121424610122426244262628262681026286236[[#This Row],[Uso diário]]*2</f>
        <v>26.8</v>
      </c>
      <c r="O1283" s="19">
        <f>Tabela174681012142230322681619252731333624210121416182426283038402481012141620222628303234362426810121424610122426244262628262681026286236[[#This Row],[Total Acumulado]]-P1283</f>
        <v>-67</v>
      </c>
      <c r="P1283" s="48">
        <f>Tabela174681012142230322681619252731333624210121416182426283038402481012141620222628303234362426810121424610122426244262628262681026286236[[#This Row],[Uso diário]]*5</f>
        <v>67</v>
      </c>
      <c r="Q128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28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3" s="25">
        <v>26</v>
      </c>
    </row>
    <row r="1284" spans="1:20" s="26" customFormat="1" x14ac:dyDescent="0.25">
      <c r="A1284" s="16">
        <v>233308</v>
      </c>
      <c r="B1284" s="30" t="s">
        <v>1117</v>
      </c>
      <c r="C1284" s="20" t="s">
        <v>654</v>
      </c>
      <c r="D1284" s="20" t="s">
        <v>715</v>
      </c>
      <c r="E1284" s="20" t="s">
        <v>4074</v>
      </c>
      <c r="F1284" s="20" t="s">
        <v>4075</v>
      </c>
      <c r="G1284" s="21">
        <v>13.4</v>
      </c>
      <c r="H1284" s="16">
        <v>26</v>
      </c>
      <c r="I1284" s="16"/>
      <c r="J128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84" s="22"/>
      <c r="L1284" s="23"/>
      <c r="M1284" s="23">
        <f>SUM(Tabela174681012142230322681619252731333624210121416182426283038402481012141620222628303234362426810121424610122426244262628262681026286236[[#This Row],[Saldo no cartão]:[Recarga Pendente]])</f>
        <v>0</v>
      </c>
      <c r="N1284" s="19">
        <f>Tabela174681012142230322681619252731333624210121416182426283038402481012141620222628303234362426810121424610122426244262628262681026286236[[#This Row],[Uso diário]]*2</f>
        <v>26.8</v>
      </c>
      <c r="O1284" s="19">
        <f>Tabela174681012142230322681619252731333624210121416182426283038402481012141620222628303234362426810121424610122426244262628262681026286236[[#This Row],[Total Acumulado]]-P1284</f>
        <v>-67</v>
      </c>
      <c r="P1284" s="48">
        <f>Tabela174681012142230322681619252731333624210121416182426283038402481012141620222628303234362426810121424610122426244262628262681026286236[[#This Row],[Uso diário]]*5</f>
        <v>67</v>
      </c>
      <c r="Q128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8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4" s="25">
        <v>26</v>
      </c>
    </row>
    <row r="1285" spans="1:20" s="26" customFormat="1" x14ac:dyDescent="0.25">
      <c r="A1285" s="16">
        <v>233345</v>
      </c>
      <c r="B1285" s="30" t="s">
        <v>1118</v>
      </c>
      <c r="C1285" s="20" t="s">
        <v>654</v>
      </c>
      <c r="D1285" s="20" t="s">
        <v>715</v>
      </c>
      <c r="E1285" s="20" t="s">
        <v>4076</v>
      </c>
      <c r="F1285" s="20" t="s">
        <v>4077</v>
      </c>
      <c r="G1285" s="21">
        <v>13.4</v>
      </c>
      <c r="H1285" s="16">
        <v>26</v>
      </c>
      <c r="I1285" s="16"/>
      <c r="J128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85" s="22"/>
      <c r="L1285" s="23"/>
      <c r="M1285" s="23">
        <f>SUM(Tabela174681012142230322681619252731333624210121416182426283038402481012141620222628303234362426810121424610122426244262628262681026286236[[#This Row],[Saldo no cartão]:[Recarga Pendente]])</f>
        <v>0</v>
      </c>
      <c r="N1285" s="19">
        <f>Tabela174681012142230322681619252731333624210121416182426283038402481012141620222628303234362426810121424610122426244262628262681026286236[[#This Row],[Uso diário]]*2</f>
        <v>26.8</v>
      </c>
      <c r="O1285" s="19">
        <f>Tabela174681012142230322681619252731333624210121416182426283038402481012141620222628303234362426810121424610122426244262628262681026286236[[#This Row],[Total Acumulado]]-P1285</f>
        <v>-67</v>
      </c>
      <c r="P1285" s="48">
        <f>Tabela174681012142230322681619252731333624210121416182426283038402481012141620222628303234362426810121424610122426244262628262681026286236[[#This Row],[Uso diário]]*5</f>
        <v>67</v>
      </c>
      <c r="Q128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8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5" s="25">
        <v>26</v>
      </c>
    </row>
    <row r="1286" spans="1:20" s="26" customFormat="1" x14ac:dyDescent="0.25">
      <c r="A1286" s="16">
        <v>233477</v>
      </c>
      <c r="B1286" s="30" t="s">
        <v>1119</v>
      </c>
      <c r="C1286" s="20" t="s">
        <v>654</v>
      </c>
      <c r="D1286" s="20" t="s">
        <v>715</v>
      </c>
      <c r="E1286" s="20" t="s">
        <v>4078</v>
      </c>
      <c r="F1286" s="20" t="s">
        <v>4079</v>
      </c>
      <c r="G1286" s="21">
        <v>18.8</v>
      </c>
      <c r="H1286" s="16">
        <v>26</v>
      </c>
      <c r="I1286" s="16"/>
      <c r="J128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86" s="22"/>
      <c r="L1286" s="23"/>
      <c r="M1286" s="23">
        <f>SUM(Tabela174681012142230322681619252731333624210121416182426283038402481012141620222628303234362426810121424610122426244262628262681026286236[[#This Row],[Saldo no cartão]:[Recarga Pendente]])</f>
        <v>0</v>
      </c>
      <c r="N1286" s="19">
        <f>Tabela174681012142230322681619252731333624210121416182426283038402481012141620222628303234362426810121424610122426244262628262681026286236[[#This Row],[Uso diário]]*2</f>
        <v>37.6</v>
      </c>
      <c r="O1286" s="19">
        <f>Tabela174681012142230322681619252731333624210121416182426283038402481012141620222628303234362426810121424610122426244262628262681026286236[[#This Row],[Total Acumulado]]-P1286</f>
        <v>-94</v>
      </c>
      <c r="P1286" s="48">
        <f>Tabela174681012142230322681619252731333624210121416182426283038402481012141620222628303234362426810121424610122426244262628262681026286236[[#This Row],[Uso diário]]*5</f>
        <v>94</v>
      </c>
      <c r="Q128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8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6" s="25">
        <v>26</v>
      </c>
    </row>
    <row r="1287" spans="1:20" s="26" customFormat="1" x14ac:dyDescent="0.25">
      <c r="A1287" s="16">
        <v>234332</v>
      </c>
      <c r="B1287" s="30" t="s">
        <v>1302</v>
      </c>
      <c r="C1287" s="20" t="s">
        <v>654</v>
      </c>
      <c r="D1287" s="20" t="s">
        <v>715</v>
      </c>
      <c r="E1287" s="20" t="s">
        <v>4080</v>
      </c>
      <c r="F1287" s="20" t="s">
        <v>4081</v>
      </c>
      <c r="G1287" s="21">
        <v>13.4</v>
      </c>
      <c r="H1287" s="16">
        <v>26</v>
      </c>
      <c r="I1287" s="16"/>
      <c r="J128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87" s="22"/>
      <c r="L1287" s="23"/>
      <c r="M1287" s="23">
        <f>SUM(Tabela174681012142230322681619252731333624210121416182426283038402481012141620222628303234362426810121424610122426244262628262681026286236[[#This Row],[Saldo no cartão]:[Recarga Pendente]])</f>
        <v>0</v>
      </c>
      <c r="N1287" s="19">
        <f>Tabela174681012142230322681619252731333624210121416182426283038402481012141620222628303234362426810121424610122426244262628262681026286236[[#This Row],[Uso diário]]*2</f>
        <v>26.8</v>
      </c>
      <c r="O1287" s="19">
        <f>Tabela174681012142230322681619252731333624210121416182426283038402481012141620222628303234362426810121424610122426244262628262681026286236[[#This Row],[Total Acumulado]]-P1287</f>
        <v>-67</v>
      </c>
      <c r="P1287" s="48">
        <f>Tabela174681012142230322681619252731333624210121416182426283038402481012141620222628303234362426810121424610122426244262628262681026286236[[#This Row],[Uso diário]]*5</f>
        <v>67</v>
      </c>
      <c r="Q128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8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7" s="25">
        <v>26</v>
      </c>
    </row>
    <row r="1288" spans="1:20" s="26" customFormat="1" x14ac:dyDescent="0.25">
      <c r="A1288" s="16">
        <v>234333</v>
      </c>
      <c r="B1288" s="30" t="s">
        <v>1303</v>
      </c>
      <c r="C1288" s="20" t="s">
        <v>654</v>
      </c>
      <c r="D1288" s="20" t="s">
        <v>715</v>
      </c>
      <c r="E1288" s="20" t="s">
        <v>4082</v>
      </c>
      <c r="F1288" s="20" t="s">
        <v>4083</v>
      </c>
      <c r="G1288" s="21">
        <v>13.4</v>
      </c>
      <c r="H1288" s="16">
        <v>26</v>
      </c>
      <c r="I1288" s="16">
        <v>5</v>
      </c>
      <c r="J128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1288" s="22"/>
      <c r="L1288" s="23"/>
      <c r="M1288" s="23">
        <f>SUM(Tabela174681012142230322681619252731333624210121416182426283038402481012141620222628303234362426810121424610122426244262628262681026286236[[#This Row],[Saldo no cartão]:[Recarga Pendente]])</f>
        <v>0</v>
      </c>
      <c r="N1288" s="19">
        <f>Tabela174681012142230322681619252731333624210121416182426283038402481012141620222628303234362426810121424610122426244262628262681026286236[[#This Row],[Uso diário]]*2</f>
        <v>26.8</v>
      </c>
      <c r="O1288" s="19">
        <f>Tabela174681012142230322681619252731333624210121416182426283038402481012141620222628303234362426810121424610122426244262628262681026286236[[#This Row],[Total Acumulado]]-P1288</f>
        <v>-67</v>
      </c>
      <c r="P1288" s="48">
        <f>Tabela174681012142230322681619252731333624210121416182426283038402481012141620222628303234362426810121424610122426244262628262681026286236[[#This Row],[Uso diário]]*5</f>
        <v>67</v>
      </c>
      <c r="Q128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128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8" s="25">
        <v>26</v>
      </c>
    </row>
    <row r="1289" spans="1:20" s="26" customFormat="1" x14ac:dyDescent="0.25">
      <c r="A1289" s="16">
        <v>234639</v>
      </c>
      <c r="B1289" s="30" t="s">
        <v>1333</v>
      </c>
      <c r="C1289" s="20" t="s">
        <v>654</v>
      </c>
      <c r="D1289" s="20" t="s">
        <v>715</v>
      </c>
      <c r="E1289" s="20" t="s">
        <v>4084</v>
      </c>
      <c r="F1289" s="20" t="s">
        <v>4085</v>
      </c>
      <c r="G1289" s="21">
        <v>13.4</v>
      </c>
      <c r="H1289" s="16">
        <v>26</v>
      </c>
      <c r="I1289" s="16"/>
      <c r="J128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89" s="22"/>
      <c r="L1289" s="23"/>
      <c r="M1289" s="23">
        <f>SUM(Tabela174681012142230322681619252731333624210121416182426283038402481012141620222628303234362426810121424610122426244262628262681026286236[[#This Row],[Saldo no cartão]:[Recarga Pendente]])</f>
        <v>0</v>
      </c>
      <c r="N1289" s="19">
        <f>Tabela174681012142230322681619252731333624210121416182426283038402481012141620222628303234362426810121424610122426244262628262681026286236[[#This Row],[Uso diário]]*2</f>
        <v>26.8</v>
      </c>
      <c r="O1289" s="19">
        <f>Tabela174681012142230322681619252731333624210121416182426283038402481012141620222628303234362426810121424610122426244262628262681026286236[[#This Row],[Total Acumulado]]-P1289</f>
        <v>-67</v>
      </c>
      <c r="P1289" s="48">
        <f>Tabela174681012142230322681619252731333624210121416182426283038402481012141620222628303234362426810121424610122426244262628262681026286236[[#This Row],[Uso diário]]*5</f>
        <v>67</v>
      </c>
      <c r="Q128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8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8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89" s="25">
        <v>26</v>
      </c>
    </row>
    <row r="1290" spans="1:20" s="26" customFormat="1" x14ac:dyDescent="0.25">
      <c r="A1290" s="16">
        <v>234665</v>
      </c>
      <c r="B1290" s="30" t="s">
        <v>1334</v>
      </c>
      <c r="C1290" s="20" t="s">
        <v>654</v>
      </c>
      <c r="D1290" s="20" t="s">
        <v>715</v>
      </c>
      <c r="E1290" s="20" t="s">
        <v>4086</v>
      </c>
      <c r="F1290" s="20" t="s">
        <v>4087</v>
      </c>
      <c r="G1290" s="21">
        <v>13.4</v>
      </c>
      <c r="H1290" s="16">
        <v>26</v>
      </c>
      <c r="I1290" s="16">
        <v>1</v>
      </c>
      <c r="J129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290" s="22"/>
      <c r="L1290" s="23"/>
      <c r="M1290" s="23">
        <f>SUM(Tabela174681012142230322681619252731333624210121416182426283038402481012141620222628303234362426810121424610122426244262628262681026286236[[#This Row],[Saldo no cartão]:[Recarga Pendente]])</f>
        <v>0</v>
      </c>
      <c r="N1290" s="19">
        <f>Tabela174681012142230322681619252731333624210121416182426283038402481012141620222628303234362426810121424610122426244262628262681026286236[[#This Row],[Uso diário]]*2</f>
        <v>26.8</v>
      </c>
      <c r="O1290" s="19">
        <f>Tabela174681012142230322681619252731333624210121416182426283038402481012141620222628303234362426810121424610122426244262628262681026286236[[#This Row],[Total Acumulado]]-P1290</f>
        <v>-67</v>
      </c>
      <c r="P1290" s="48">
        <f>Tabela174681012142230322681619252731333624210121416182426283038402481012141620222628303234362426810121424610122426244262628262681026286236[[#This Row],[Uso diário]]*5</f>
        <v>67</v>
      </c>
      <c r="Q129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29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0" s="25">
        <v>26</v>
      </c>
    </row>
    <row r="1291" spans="1:20" s="26" customFormat="1" x14ac:dyDescent="0.25">
      <c r="A1291" s="16">
        <v>222107</v>
      </c>
      <c r="B1291" s="30" t="s">
        <v>1536</v>
      </c>
      <c r="C1291" s="20" t="s">
        <v>640</v>
      </c>
      <c r="D1291" s="20" t="s">
        <v>702</v>
      </c>
      <c r="E1291" s="20" t="s">
        <v>4088</v>
      </c>
      <c r="F1291" s="20" t="s">
        <v>4089</v>
      </c>
      <c r="G1291" s="21">
        <v>13.4</v>
      </c>
      <c r="H1291" s="16">
        <v>26</v>
      </c>
      <c r="I1291" s="16"/>
      <c r="J129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1" s="22"/>
      <c r="L1291" s="23"/>
      <c r="M1291" s="23">
        <f>SUM(Tabela174681012142230322681619252731333624210121416182426283038402481012141620222628303234362426810121424610122426244262628262681026286236[[#This Row],[Saldo no cartão]:[Recarga Pendente]])</f>
        <v>0</v>
      </c>
      <c r="N1291" s="19">
        <f>Tabela174681012142230322681619252731333624210121416182426283038402481012141620222628303234362426810121424610122426244262628262681026286236[[#This Row],[Uso diário]]*2</f>
        <v>26.8</v>
      </c>
      <c r="O1291" s="19">
        <f>Tabela174681012142230322681619252731333624210121416182426283038402481012141620222628303234362426810121424610122426244262628262681026286236[[#This Row],[Total Acumulado]]-P1291</f>
        <v>-67</v>
      </c>
      <c r="P1291" s="48">
        <f>Tabela174681012142230322681619252731333624210121416182426283038402481012141620222628303234362426810121424610122426244262628262681026286236[[#This Row],[Uso diário]]*5</f>
        <v>67</v>
      </c>
      <c r="Q129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1" s="25">
        <v>26</v>
      </c>
    </row>
    <row r="1292" spans="1:20" s="26" customFormat="1" x14ac:dyDescent="0.25">
      <c r="A1292" s="16">
        <v>229796</v>
      </c>
      <c r="B1292" s="30" t="s">
        <v>1251</v>
      </c>
      <c r="C1292" s="20" t="s">
        <v>640</v>
      </c>
      <c r="D1292" s="20" t="s">
        <v>702</v>
      </c>
      <c r="E1292" s="20" t="s">
        <v>4090</v>
      </c>
      <c r="F1292" s="20" t="s">
        <v>4091</v>
      </c>
      <c r="G1292" s="21">
        <v>18.8</v>
      </c>
      <c r="H1292" s="16">
        <v>26</v>
      </c>
      <c r="I1292" s="16"/>
      <c r="J129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292" s="22"/>
      <c r="L1292" s="23"/>
      <c r="M1292" s="23">
        <f>SUM(Tabela174681012142230322681619252731333624210121416182426283038402481012141620222628303234362426810121424610122426244262628262681026286236[[#This Row],[Saldo no cartão]:[Recarga Pendente]])</f>
        <v>0</v>
      </c>
      <c r="N1292" s="19">
        <f>Tabela174681012142230322681619252731333624210121416182426283038402481012141620222628303234362426810121424610122426244262628262681026286236[[#This Row],[Uso diário]]*2</f>
        <v>37.6</v>
      </c>
      <c r="O1292" s="19">
        <f>Tabela174681012142230322681619252731333624210121416182426283038402481012141620222628303234362426810121424610122426244262628262681026286236[[#This Row],[Total Acumulado]]-P1292</f>
        <v>-94</v>
      </c>
      <c r="P1292" s="48">
        <f>Tabela174681012142230322681619252731333624210121416182426283038402481012141620222628303234362426810121424610122426244262628262681026286236[[#This Row],[Uso diário]]*5</f>
        <v>94</v>
      </c>
      <c r="Q129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29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2" s="25">
        <v>26</v>
      </c>
    </row>
    <row r="1293" spans="1:20" s="26" customFormat="1" x14ac:dyDescent="0.25">
      <c r="A1293" s="16">
        <v>234638</v>
      </c>
      <c r="B1293" s="30" t="s">
        <v>1335</v>
      </c>
      <c r="C1293" s="20" t="s">
        <v>640</v>
      </c>
      <c r="D1293" s="20" t="s">
        <v>701</v>
      </c>
      <c r="E1293" s="20" t="s">
        <v>4092</v>
      </c>
      <c r="F1293" s="20" t="s">
        <v>4093</v>
      </c>
      <c r="G1293" s="21">
        <v>13.4</v>
      </c>
      <c r="H1293" s="16">
        <v>26</v>
      </c>
      <c r="I1293" s="16">
        <v>1</v>
      </c>
      <c r="J129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293" s="22"/>
      <c r="L1293" s="23"/>
      <c r="M1293" s="23">
        <f>SUM(Tabela174681012142230322681619252731333624210121416182426283038402481012141620222628303234362426810121424610122426244262628262681026286236[[#This Row],[Saldo no cartão]:[Recarga Pendente]])</f>
        <v>0</v>
      </c>
      <c r="N1293" s="19">
        <f>Tabela174681012142230322681619252731333624210121416182426283038402481012141620222628303234362426810121424610122426244262628262681026286236[[#This Row],[Uso diário]]*2</f>
        <v>26.8</v>
      </c>
      <c r="O1293" s="19">
        <f>Tabela174681012142230322681619252731333624210121416182426283038402481012141620222628303234362426810121424610122426244262628262681026286236[[#This Row],[Total Acumulado]]-P1293</f>
        <v>-67</v>
      </c>
      <c r="P1293" s="48">
        <f>Tabela174681012142230322681619252731333624210121416182426283038402481012141620222628303234362426810121424610122426244262628262681026286236[[#This Row],[Uso diário]]*5</f>
        <v>67</v>
      </c>
      <c r="Q129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29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3" s="25">
        <v>26</v>
      </c>
    </row>
    <row r="1294" spans="1:20" s="26" customFormat="1" x14ac:dyDescent="0.25">
      <c r="A1294" s="16">
        <v>234776</v>
      </c>
      <c r="B1294" s="30" t="s">
        <v>1386</v>
      </c>
      <c r="C1294" s="20" t="s">
        <v>640</v>
      </c>
      <c r="D1294" s="20" t="s">
        <v>701</v>
      </c>
      <c r="E1294" s="20" t="s">
        <v>4094</v>
      </c>
      <c r="F1294" s="20" t="s">
        <v>4095</v>
      </c>
      <c r="G1294" s="21">
        <v>13.4</v>
      </c>
      <c r="H1294" s="16">
        <v>26</v>
      </c>
      <c r="I1294" s="16"/>
      <c r="J129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4" s="22"/>
      <c r="L1294" s="23"/>
      <c r="M1294" s="23">
        <f>SUM(Tabela174681012142230322681619252731333624210121416182426283038402481012141620222628303234362426810121424610122426244262628262681026286236[[#This Row],[Saldo no cartão]:[Recarga Pendente]])</f>
        <v>0</v>
      </c>
      <c r="N1294" s="19">
        <f>Tabela174681012142230322681619252731333624210121416182426283038402481012141620222628303234362426810121424610122426244262628262681026286236[[#This Row],[Uso diário]]*2</f>
        <v>26.8</v>
      </c>
      <c r="O1294" s="19">
        <f>Tabela174681012142230322681619252731333624210121416182426283038402481012141620222628303234362426810121424610122426244262628262681026286236[[#This Row],[Total Acumulado]]-P1294</f>
        <v>-67</v>
      </c>
      <c r="P1294" s="48">
        <f>Tabela174681012142230322681619252731333624210121416182426283038402481012141620222628303234362426810121424610122426244262628262681026286236[[#This Row],[Uso diário]]*5</f>
        <v>67</v>
      </c>
      <c r="Q129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4" s="25">
        <v>26</v>
      </c>
    </row>
    <row r="1295" spans="1:20" s="26" customFormat="1" x14ac:dyDescent="0.25">
      <c r="A1295" s="16">
        <v>222717</v>
      </c>
      <c r="B1295" s="30" t="s">
        <v>1537</v>
      </c>
      <c r="C1295" s="20" t="s">
        <v>655</v>
      </c>
      <c r="D1295" s="20" t="s">
        <v>713</v>
      </c>
      <c r="E1295" s="20" t="s">
        <v>4096</v>
      </c>
      <c r="F1295" s="20" t="s">
        <v>4097</v>
      </c>
      <c r="G1295" s="21">
        <v>13.4</v>
      </c>
      <c r="H1295" s="16">
        <v>26</v>
      </c>
      <c r="I1295" s="16"/>
      <c r="J129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5" s="22"/>
      <c r="L1295" s="23"/>
      <c r="M1295" s="23">
        <f>SUM(Tabela174681012142230322681619252731333624210121416182426283038402481012141620222628303234362426810121424610122426244262628262681026286236[[#This Row],[Saldo no cartão]:[Recarga Pendente]])</f>
        <v>0</v>
      </c>
      <c r="N1295" s="19">
        <f>Tabela174681012142230322681619252731333624210121416182426283038402481012141620222628303234362426810121424610122426244262628262681026286236[[#This Row],[Uso diário]]*2</f>
        <v>26.8</v>
      </c>
      <c r="O1295" s="19">
        <f>Tabela174681012142230322681619252731333624210121416182426283038402481012141620222628303234362426810121424610122426244262628262681026286236[[#This Row],[Total Acumulado]]-P1295</f>
        <v>-67</v>
      </c>
      <c r="P1295" s="48">
        <f>Tabela174681012142230322681619252731333624210121416182426283038402481012141620222628303234362426810121424610122426244262628262681026286236[[#This Row],[Uso diário]]*5</f>
        <v>67</v>
      </c>
      <c r="Q129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5" s="25">
        <v>26</v>
      </c>
    </row>
    <row r="1296" spans="1:20" s="26" customFormat="1" x14ac:dyDescent="0.25">
      <c r="A1296" s="16">
        <v>230700</v>
      </c>
      <c r="B1296" s="30" t="s">
        <v>606</v>
      </c>
      <c r="C1296" s="20" t="s">
        <v>655</v>
      </c>
      <c r="D1296" s="20" t="s">
        <v>733</v>
      </c>
      <c r="E1296" s="20" t="s">
        <v>4098</v>
      </c>
      <c r="F1296" s="20" t="s">
        <v>4099</v>
      </c>
      <c r="G1296" s="21">
        <v>13.4</v>
      </c>
      <c r="H1296" s="16">
        <v>26</v>
      </c>
      <c r="I1296" s="16"/>
      <c r="J129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6" s="22"/>
      <c r="L1296" s="23"/>
      <c r="M1296" s="23">
        <f>SUM(Tabela174681012142230322681619252731333624210121416182426283038402481012141620222628303234362426810121424610122426244262628262681026286236[[#This Row],[Saldo no cartão]:[Recarga Pendente]])</f>
        <v>0</v>
      </c>
      <c r="N1296" s="19">
        <f>Tabela174681012142230322681619252731333624210121416182426283038402481012141620222628303234362426810121424610122426244262628262681026286236[[#This Row],[Uso diário]]*2</f>
        <v>26.8</v>
      </c>
      <c r="O1296" s="19">
        <f>Tabela174681012142230322681619252731333624210121416182426283038402481012141620222628303234362426810121424610122426244262628262681026286236[[#This Row],[Total Acumulado]]-P1296</f>
        <v>-67</v>
      </c>
      <c r="P1296" s="48">
        <f>Tabela174681012142230322681619252731333624210121416182426283038402481012141620222628303234362426810121424610122426244262628262681026286236[[#This Row],[Uso diário]]*5</f>
        <v>67</v>
      </c>
      <c r="Q129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6" s="25">
        <v>26</v>
      </c>
    </row>
    <row r="1297" spans="1:20" s="26" customFormat="1" x14ac:dyDescent="0.25">
      <c r="A1297" s="16">
        <v>230703</v>
      </c>
      <c r="B1297" s="30" t="s">
        <v>540</v>
      </c>
      <c r="C1297" s="20" t="s">
        <v>655</v>
      </c>
      <c r="D1297" s="20" t="s">
        <v>734</v>
      </c>
      <c r="E1297" s="20" t="s">
        <v>4100</v>
      </c>
      <c r="F1297" s="20" t="s">
        <v>4101</v>
      </c>
      <c r="G1297" s="21">
        <v>13.4</v>
      </c>
      <c r="H1297" s="16">
        <v>26</v>
      </c>
      <c r="I1297" s="16"/>
      <c r="J129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7" s="22"/>
      <c r="L1297" s="23"/>
      <c r="M1297" s="23">
        <f>SUM(Tabela174681012142230322681619252731333624210121416182426283038402481012141620222628303234362426810121424610122426244262628262681026286236[[#This Row],[Saldo no cartão]:[Recarga Pendente]])</f>
        <v>0</v>
      </c>
      <c r="N1297" s="19">
        <f>Tabela174681012142230322681619252731333624210121416182426283038402481012141620222628303234362426810121424610122426244262628262681026286236[[#This Row],[Uso diário]]*2</f>
        <v>26.8</v>
      </c>
      <c r="O1297" s="19">
        <f>Tabela174681012142230322681619252731333624210121416182426283038402481012141620222628303234362426810121424610122426244262628262681026286236[[#This Row],[Total Acumulado]]-P1297</f>
        <v>-67</v>
      </c>
      <c r="P1297" s="48">
        <f>Tabela174681012142230322681619252731333624210121416182426283038402481012141620222628303234362426810121424610122426244262628262681026286236[[#This Row],[Uso diário]]*5</f>
        <v>67</v>
      </c>
      <c r="Q129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7" s="25">
        <v>26</v>
      </c>
    </row>
    <row r="1298" spans="1:20" s="26" customFormat="1" x14ac:dyDescent="0.25">
      <c r="A1298" s="16">
        <v>230706</v>
      </c>
      <c r="B1298" s="30" t="s">
        <v>607</v>
      </c>
      <c r="C1298" s="20" t="s">
        <v>655</v>
      </c>
      <c r="D1298" s="20" t="s">
        <v>713</v>
      </c>
      <c r="E1298" s="20" t="s">
        <v>4102</v>
      </c>
      <c r="F1298" s="20" t="s">
        <v>4103</v>
      </c>
      <c r="G1298" s="21">
        <v>13.4</v>
      </c>
      <c r="H1298" s="16">
        <v>26</v>
      </c>
      <c r="I1298" s="16"/>
      <c r="J129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8" s="22"/>
      <c r="L1298" s="23"/>
      <c r="M1298" s="23">
        <f>SUM(Tabela174681012142230322681619252731333624210121416182426283038402481012141620222628303234362426810121424610122426244262628262681026286236[[#This Row],[Saldo no cartão]:[Recarga Pendente]])</f>
        <v>0</v>
      </c>
      <c r="N1298" s="19">
        <f>Tabela174681012142230322681619252731333624210121416182426283038402481012141620222628303234362426810121424610122426244262628262681026286236[[#This Row],[Uso diário]]*2</f>
        <v>26.8</v>
      </c>
      <c r="O1298" s="19">
        <f>Tabela174681012142230322681619252731333624210121416182426283038402481012141620222628303234362426810121424610122426244262628262681026286236[[#This Row],[Total Acumulado]]-P1298</f>
        <v>-67</v>
      </c>
      <c r="P1298" s="48">
        <f>Tabela174681012142230322681619252731333624210121416182426283038402481012141620222628303234362426810121424610122426244262628262681026286236[[#This Row],[Uso diário]]*5</f>
        <v>67</v>
      </c>
      <c r="Q129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8" s="25">
        <v>26</v>
      </c>
    </row>
    <row r="1299" spans="1:20" s="26" customFormat="1" x14ac:dyDescent="0.25">
      <c r="A1299" s="16">
        <v>230712</v>
      </c>
      <c r="B1299" s="30" t="s">
        <v>1538</v>
      </c>
      <c r="C1299" s="20" t="s">
        <v>655</v>
      </c>
      <c r="D1299" s="20" t="s">
        <v>734</v>
      </c>
      <c r="E1299" s="20" t="s">
        <v>4104</v>
      </c>
      <c r="F1299" s="20" t="s">
        <v>4105</v>
      </c>
      <c r="G1299" s="21">
        <v>13.4</v>
      </c>
      <c r="H1299" s="16">
        <v>26</v>
      </c>
      <c r="I1299" s="16"/>
      <c r="J129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299" s="22"/>
      <c r="L1299" s="23"/>
      <c r="M1299" s="23">
        <f>SUM(Tabela174681012142230322681619252731333624210121416182426283038402481012141620222628303234362426810121424610122426244262628262681026286236[[#This Row],[Saldo no cartão]:[Recarga Pendente]])</f>
        <v>0</v>
      </c>
      <c r="N1299" s="19">
        <f>Tabela174681012142230322681619252731333624210121416182426283038402481012141620222628303234362426810121424610122426244262628262681026286236[[#This Row],[Uso diário]]*2</f>
        <v>26.8</v>
      </c>
      <c r="O1299" s="19">
        <f>Tabela174681012142230322681619252731333624210121416182426283038402481012141620222628303234362426810121424610122426244262628262681026286236[[#This Row],[Total Acumulado]]-P1299</f>
        <v>-67</v>
      </c>
      <c r="P1299" s="48">
        <f>Tabela174681012142230322681619252731333624210121416182426283038402481012141620222628303234362426810121424610122426244262628262681026286236[[#This Row],[Uso diário]]*5</f>
        <v>67</v>
      </c>
      <c r="Q129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29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29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299" s="25">
        <v>26</v>
      </c>
    </row>
    <row r="1300" spans="1:20" s="26" customFormat="1" x14ac:dyDescent="0.25">
      <c r="A1300" s="16">
        <v>230733</v>
      </c>
      <c r="B1300" s="30" t="s">
        <v>566</v>
      </c>
      <c r="C1300" s="20" t="s">
        <v>655</v>
      </c>
      <c r="D1300" s="20" t="s">
        <v>713</v>
      </c>
      <c r="E1300" s="20" t="s">
        <v>4106</v>
      </c>
      <c r="F1300" s="20" t="s">
        <v>4107</v>
      </c>
      <c r="G1300" s="21">
        <v>15.4</v>
      </c>
      <c r="H1300" s="16">
        <v>26</v>
      </c>
      <c r="I1300" s="16"/>
      <c r="J130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300" s="22"/>
      <c r="L1300" s="23"/>
      <c r="M1300" s="23">
        <f>SUM(Tabela174681012142230322681619252731333624210121416182426283038402481012141620222628303234362426810121424610122426244262628262681026286236[[#This Row],[Saldo no cartão]:[Recarga Pendente]])</f>
        <v>0</v>
      </c>
      <c r="N1300" s="19">
        <f>Tabela174681012142230322681619252731333624210121416182426283038402481012141620222628303234362426810121424610122426244262628262681026286236[[#This Row],[Uso diário]]*2</f>
        <v>30.8</v>
      </c>
      <c r="O1300" s="19">
        <f>Tabela174681012142230322681619252731333624210121416182426283038402481012141620222628303234362426810121424610122426244262628262681026286236[[#This Row],[Total Acumulado]]-P1300</f>
        <v>-77</v>
      </c>
      <c r="P1300" s="48">
        <f>Tabela174681012142230322681619252731333624210121416182426283038402481012141620222628303234362426810121424610122426244262628262681026286236[[#This Row],[Uso diário]]*5</f>
        <v>77</v>
      </c>
      <c r="Q130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30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0" s="25">
        <v>26</v>
      </c>
    </row>
    <row r="1301" spans="1:20" s="26" customFormat="1" x14ac:dyDescent="0.25">
      <c r="A1301" s="16">
        <v>231004</v>
      </c>
      <c r="B1301" s="30" t="s">
        <v>583</v>
      </c>
      <c r="C1301" s="20" t="s">
        <v>655</v>
      </c>
      <c r="D1301" s="20" t="s">
        <v>734</v>
      </c>
      <c r="E1301" s="20" t="s">
        <v>4108</v>
      </c>
      <c r="F1301" s="20" t="s">
        <v>4109</v>
      </c>
      <c r="G1301" s="21">
        <v>15.4</v>
      </c>
      <c r="H1301" s="16">
        <v>26</v>
      </c>
      <c r="I1301" s="16"/>
      <c r="J130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301" s="22"/>
      <c r="L1301" s="23"/>
      <c r="M1301" s="23">
        <f>SUM(Tabela174681012142230322681619252731333624210121416182426283038402481012141620222628303234362426810121424610122426244262628262681026286236[[#This Row],[Saldo no cartão]:[Recarga Pendente]])</f>
        <v>0</v>
      </c>
      <c r="N1301" s="19">
        <f>Tabela174681012142230322681619252731333624210121416182426283038402481012141620222628303234362426810121424610122426244262628262681026286236[[#This Row],[Uso diário]]*2</f>
        <v>30.8</v>
      </c>
      <c r="O1301" s="19">
        <f>Tabela174681012142230322681619252731333624210121416182426283038402481012141620222628303234362426810121424610122426244262628262681026286236[[#This Row],[Total Acumulado]]-P1301</f>
        <v>-77</v>
      </c>
      <c r="P1301" s="48">
        <f>Tabela174681012142230322681619252731333624210121416182426283038402481012141620222628303234362426810121424610122426244262628262681026286236[[#This Row],[Uso diário]]*5</f>
        <v>77</v>
      </c>
      <c r="Q130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30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1" s="25">
        <v>26</v>
      </c>
    </row>
    <row r="1302" spans="1:20" s="26" customFormat="1" x14ac:dyDescent="0.25">
      <c r="A1302" s="16">
        <v>231611</v>
      </c>
      <c r="B1302" s="30" t="s">
        <v>865</v>
      </c>
      <c r="C1302" s="20" t="s">
        <v>655</v>
      </c>
      <c r="D1302" s="20" t="s">
        <v>713</v>
      </c>
      <c r="E1302" s="20" t="s">
        <v>4110</v>
      </c>
      <c r="F1302" s="20" t="s">
        <v>4111</v>
      </c>
      <c r="G1302" s="21">
        <v>13.4</v>
      </c>
      <c r="H1302" s="16">
        <v>26</v>
      </c>
      <c r="I1302" s="16">
        <v>1</v>
      </c>
      <c r="J130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302" s="22"/>
      <c r="L1302" s="23"/>
      <c r="M1302" s="23">
        <f>SUM(Tabela174681012142230322681619252731333624210121416182426283038402481012141620222628303234362426810121424610122426244262628262681026286236[[#This Row],[Saldo no cartão]:[Recarga Pendente]])</f>
        <v>0</v>
      </c>
      <c r="N1302" s="19">
        <f>Tabela174681012142230322681619252731333624210121416182426283038402481012141620222628303234362426810121424610122426244262628262681026286236[[#This Row],[Uso diário]]*2</f>
        <v>26.8</v>
      </c>
      <c r="O1302" s="19">
        <f>Tabela174681012142230322681619252731333624210121416182426283038402481012141620222628303234362426810121424610122426244262628262681026286236[[#This Row],[Total Acumulado]]-P1302</f>
        <v>-67</v>
      </c>
      <c r="P1302" s="48">
        <f>Tabela174681012142230322681619252731333624210121416182426283038402481012141620222628303234362426810121424610122426244262628262681026286236[[#This Row],[Uso diário]]*5</f>
        <v>67</v>
      </c>
      <c r="Q130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30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2" s="25">
        <v>26</v>
      </c>
    </row>
    <row r="1303" spans="1:20" s="26" customFormat="1" x14ac:dyDescent="0.25">
      <c r="A1303" s="16">
        <v>232585</v>
      </c>
      <c r="B1303" s="30" t="s">
        <v>923</v>
      </c>
      <c r="C1303" s="20" t="s">
        <v>655</v>
      </c>
      <c r="D1303" s="20" t="s">
        <v>713</v>
      </c>
      <c r="E1303" s="20" t="s">
        <v>4112</v>
      </c>
      <c r="F1303" s="20" t="s">
        <v>4113</v>
      </c>
      <c r="G1303" s="21">
        <v>13.4</v>
      </c>
      <c r="H1303" s="16">
        <v>26</v>
      </c>
      <c r="I1303" s="16">
        <v>1</v>
      </c>
      <c r="J130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303" s="22"/>
      <c r="L1303" s="23"/>
      <c r="M1303" s="23">
        <f>SUM(Tabela174681012142230322681619252731333624210121416182426283038402481012141620222628303234362426810121424610122426244262628262681026286236[[#This Row],[Saldo no cartão]:[Recarga Pendente]])</f>
        <v>0</v>
      </c>
      <c r="N1303" s="19">
        <f>Tabela174681012142230322681619252731333624210121416182426283038402481012141620222628303234362426810121424610122426244262628262681026286236[[#This Row],[Uso diário]]*2</f>
        <v>26.8</v>
      </c>
      <c r="O1303" s="19">
        <f>Tabela174681012142230322681619252731333624210121416182426283038402481012141620222628303234362426810121424610122426244262628262681026286236[[#This Row],[Total Acumulado]]-P1303</f>
        <v>-67</v>
      </c>
      <c r="P1303" s="48">
        <f>Tabela174681012142230322681619252731333624210121416182426283038402481012141620222628303234362426810121424610122426244262628262681026286236[[#This Row],[Uso diário]]*5</f>
        <v>67</v>
      </c>
      <c r="Q130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30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3" s="25">
        <v>26</v>
      </c>
    </row>
    <row r="1304" spans="1:20" s="26" customFormat="1" x14ac:dyDescent="0.25">
      <c r="A1304" s="16">
        <v>234659</v>
      </c>
      <c r="B1304" s="30" t="s">
        <v>1336</v>
      </c>
      <c r="C1304" s="20" t="s">
        <v>655</v>
      </c>
      <c r="D1304" s="20" t="s">
        <v>734</v>
      </c>
      <c r="E1304" s="20" t="s">
        <v>4114</v>
      </c>
      <c r="F1304" s="20" t="s">
        <v>4115</v>
      </c>
      <c r="G1304" s="21">
        <v>13.4</v>
      </c>
      <c r="H1304" s="16">
        <v>26</v>
      </c>
      <c r="I1304" s="16"/>
      <c r="J130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04" s="22"/>
      <c r="L1304" s="23"/>
      <c r="M1304" s="23">
        <f>SUM(Tabela174681012142230322681619252731333624210121416182426283038402481012141620222628303234362426810121424610122426244262628262681026286236[[#This Row],[Saldo no cartão]:[Recarga Pendente]])</f>
        <v>0</v>
      </c>
      <c r="N1304" s="19">
        <f>Tabela174681012142230322681619252731333624210121416182426283038402481012141620222628303234362426810121424610122426244262628262681026286236[[#This Row],[Uso diário]]*2</f>
        <v>26.8</v>
      </c>
      <c r="O1304" s="19">
        <f>Tabela174681012142230322681619252731333624210121416182426283038402481012141620222628303234362426810121424610122426244262628262681026286236[[#This Row],[Total Acumulado]]-P1304</f>
        <v>-67</v>
      </c>
      <c r="P1304" s="48">
        <f>Tabela174681012142230322681619252731333624210121416182426283038402481012141620222628303234362426810121424610122426244262628262681026286236[[#This Row],[Uso diário]]*5</f>
        <v>67</v>
      </c>
      <c r="Q130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0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4" s="25">
        <v>26</v>
      </c>
    </row>
    <row r="1305" spans="1:20" s="26" customFormat="1" x14ac:dyDescent="0.25">
      <c r="A1305" s="16">
        <v>213281</v>
      </c>
      <c r="B1305" s="30" t="s">
        <v>306</v>
      </c>
      <c r="C1305" s="20" t="s">
        <v>641</v>
      </c>
      <c r="D1305" s="20" t="s">
        <v>735</v>
      </c>
      <c r="E1305" s="20" t="s">
        <v>4116</v>
      </c>
      <c r="F1305" s="20" t="s">
        <v>4117</v>
      </c>
      <c r="G1305" s="21">
        <v>18.8</v>
      </c>
      <c r="H1305" s="16">
        <v>26</v>
      </c>
      <c r="I1305" s="16"/>
      <c r="J130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305" s="22"/>
      <c r="L1305" s="23"/>
      <c r="M1305" s="23">
        <f>SUM(Tabela174681012142230322681619252731333624210121416182426283038402481012141620222628303234362426810121424610122426244262628262681026286236[[#This Row],[Saldo no cartão]:[Recarga Pendente]])</f>
        <v>0</v>
      </c>
      <c r="N1305" s="19">
        <f>Tabela174681012142230322681619252731333624210121416182426283038402481012141620222628303234362426810121424610122426244262628262681026286236[[#This Row],[Uso diário]]*2</f>
        <v>37.6</v>
      </c>
      <c r="O1305" s="19">
        <f>Tabela174681012142230322681619252731333624210121416182426283038402481012141620222628303234362426810121424610122426244262628262681026286236[[#This Row],[Total Acumulado]]-P1305</f>
        <v>-94</v>
      </c>
      <c r="P1305" s="48">
        <f>Tabela174681012142230322681619252731333624210121416182426283038402481012141620222628303234362426810121424610122426244262628262681026286236[[#This Row],[Uso diário]]*5</f>
        <v>94</v>
      </c>
      <c r="Q130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30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5" s="25">
        <v>26</v>
      </c>
    </row>
    <row r="1306" spans="1:20" s="26" customFormat="1" x14ac:dyDescent="0.25">
      <c r="A1306" s="16">
        <v>214668</v>
      </c>
      <c r="B1306" s="30" t="s">
        <v>1120</v>
      </c>
      <c r="C1306" s="20" t="s">
        <v>641</v>
      </c>
      <c r="D1306" s="20" t="s">
        <v>704</v>
      </c>
      <c r="E1306" s="20" t="s">
        <v>4118</v>
      </c>
      <c r="F1306" s="20" t="s">
        <v>4119</v>
      </c>
      <c r="G1306" s="21">
        <v>13.4</v>
      </c>
      <c r="H1306" s="16">
        <v>26</v>
      </c>
      <c r="I1306" s="16"/>
      <c r="J130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06" s="22"/>
      <c r="L1306" s="23"/>
      <c r="M1306" s="23">
        <f>SUM(Tabela174681012142230322681619252731333624210121416182426283038402481012141620222628303234362426810121424610122426244262628262681026286236[[#This Row],[Saldo no cartão]:[Recarga Pendente]])</f>
        <v>0</v>
      </c>
      <c r="N1306" s="19">
        <f>Tabela174681012142230322681619252731333624210121416182426283038402481012141620222628303234362426810121424610122426244262628262681026286236[[#This Row],[Uso diário]]*2</f>
        <v>26.8</v>
      </c>
      <c r="O1306" s="19">
        <f>Tabela174681012142230322681619252731333624210121416182426283038402481012141620222628303234362426810121424610122426244262628262681026286236[[#This Row],[Total Acumulado]]-P1306</f>
        <v>-67</v>
      </c>
      <c r="P1306" s="48">
        <f>Tabela174681012142230322681619252731333624210121416182426283038402481012141620222628303234362426810121424610122426244262628262681026286236[[#This Row],[Uso diário]]*5</f>
        <v>67</v>
      </c>
      <c r="Q130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0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6" s="25">
        <v>26</v>
      </c>
    </row>
    <row r="1307" spans="1:20" s="26" customFormat="1" x14ac:dyDescent="0.25">
      <c r="A1307" s="16">
        <v>219911</v>
      </c>
      <c r="B1307" s="30" t="s">
        <v>1539</v>
      </c>
      <c r="C1307" s="20" t="s">
        <v>641</v>
      </c>
      <c r="D1307" s="20" t="s">
        <v>704</v>
      </c>
      <c r="E1307" s="20" t="s">
        <v>4120</v>
      </c>
      <c r="F1307" s="20" t="s">
        <v>4121</v>
      </c>
      <c r="G1307" s="21">
        <v>18.8</v>
      </c>
      <c r="H1307" s="16">
        <v>26</v>
      </c>
      <c r="I1307" s="16"/>
      <c r="J130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307" s="22"/>
      <c r="L1307" s="23"/>
      <c r="M1307" s="23">
        <f>SUM(Tabela174681012142230322681619252731333624210121416182426283038402481012141620222628303234362426810121424610122426244262628262681026286236[[#This Row],[Saldo no cartão]:[Recarga Pendente]])</f>
        <v>0</v>
      </c>
      <c r="N1307" s="19">
        <f>Tabela174681012142230322681619252731333624210121416182426283038402481012141620222628303234362426810121424610122426244262628262681026286236[[#This Row],[Uso diário]]*2</f>
        <v>37.6</v>
      </c>
      <c r="O1307" s="19">
        <f>Tabela174681012142230322681619252731333624210121416182426283038402481012141620222628303234362426810121424610122426244262628262681026286236[[#This Row],[Total Acumulado]]-P1307</f>
        <v>-94</v>
      </c>
      <c r="P1307" s="48">
        <f>Tabela174681012142230322681619252731333624210121416182426283038402481012141620222628303234362426810121424610122426244262628262681026286236[[#This Row],[Uso diário]]*5</f>
        <v>94</v>
      </c>
      <c r="Q130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30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7" s="25">
        <v>26</v>
      </c>
    </row>
    <row r="1308" spans="1:20" s="26" customFormat="1" x14ac:dyDescent="0.25">
      <c r="A1308" s="16">
        <v>223390</v>
      </c>
      <c r="B1308" s="30" t="s">
        <v>1252</v>
      </c>
      <c r="C1308" s="20" t="s">
        <v>641</v>
      </c>
      <c r="D1308" s="20" t="s">
        <v>705</v>
      </c>
      <c r="E1308" s="20" t="s">
        <v>4122</v>
      </c>
      <c r="F1308" s="20" t="s">
        <v>4123</v>
      </c>
      <c r="G1308" s="21">
        <v>13.4</v>
      </c>
      <c r="H1308" s="16">
        <v>26</v>
      </c>
      <c r="I1308" s="16"/>
      <c r="J130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08" s="22"/>
      <c r="L1308" s="23"/>
      <c r="M1308" s="23">
        <f>SUM(Tabela174681012142230322681619252731333624210121416182426283038402481012141620222628303234362426810121424610122426244262628262681026286236[[#This Row],[Saldo no cartão]:[Recarga Pendente]])</f>
        <v>0</v>
      </c>
      <c r="N1308" s="19">
        <f>Tabela174681012142230322681619252731333624210121416182426283038402481012141620222628303234362426810121424610122426244262628262681026286236[[#This Row],[Uso diário]]*2</f>
        <v>26.8</v>
      </c>
      <c r="O1308" s="19">
        <f>Tabela174681012142230322681619252731333624210121416182426283038402481012141620222628303234362426810121424610122426244262628262681026286236[[#This Row],[Total Acumulado]]-P1308</f>
        <v>-67</v>
      </c>
      <c r="P1308" s="48">
        <f>Tabela174681012142230322681619252731333624210121416182426283038402481012141620222628303234362426810121424610122426244262628262681026286236[[#This Row],[Uso diário]]*5</f>
        <v>67</v>
      </c>
      <c r="Q130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0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8" s="25">
        <v>26</v>
      </c>
    </row>
    <row r="1309" spans="1:20" s="26" customFormat="1" x14ac:dyDescent="0.25">
      <c r="A1309" s="16">
        <v>228642</v>
      </c>
      <c r="B1309" s="30" t="s">
        <v>503</v>
      </c>
      <c r="C1309" s="20" t="s">
        <v>641</v>
      </c>
      <c r="D1309" s="20" t="s">
        <v>704</v>
      </c>
      <c r="E1309" s="20" t="s">
        <v>4124</v>
      </c>
      <c r="F1309" s="20" t="s">
        <v>4125</v>
      </c>
      <c r="G1309" s="21">
        <v>15.4</v>
      </c>
      <c r="H1309" s="16">
        <v>26</v>
      </c>
      <c r="I1309" s="16"/>
      <c r="J130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309" s="22"/>
      <c r="L1309" s="23"/>
      <c r="M1309" s="23">
        <f>SUM(Tabela174681012142230322681619252731333624210121416182426283038402481012141620222628303234362426810121424610122426244262628262681026286236[[#This Row],[Saldo no cartão]:[Recarga Pendente]])</f>
        <v>0</v>
      </c>
      <c r="N1309" s="19">
        <f>Tabela174681012142230322681619252731333624210121416182426283038402481012141620222628303234362426810121424610122426244262628262681026286236[[#This Row],[Uso diário]]*2</f>
        <v>30.8</v>
      </c>
      <c r="O1309" s="19">
        <f>Tabela174681012142230322681619252731333624210121416182426283038402481012141620222628303234362426810121424610122426244262628262681026286236[[#This Row],[Total Acumulado]]-P1309</f>
        <v>-77</v>
      </c>
      <c r="P1309" s="48">
        <f>Tabela174681012142230322681619252731333624210121416182426283038402481012141620222628303234362426810121424610122426244262628262681026286236[[#This Row],[Uso diário]]*5</f>
        <v>77</v>
      </c>
      <c r="Q130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0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30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09" s="25">
        <v>26</v>
      </c>
    </row>
    <row r="1310" spans="1:20" s="26" customFormat="1" x14ac:dyDescent="0.25">
      <c r="A1310" s="16">
        <v>229385</v>
      </c>
      <c r="B1310" s="30" t="s">
        <v>128</v>
      </c>
      <c r="C1310" s="20" t="s">
        <v>641</v>
      </c>
      <c r="D1310" s="20" t="s">
        <v>704</v>
      </c>
      <c r="E1310" s="20" t="s">
        <v>4126</v>
      </c>
      <c r="F1310" s="20" t="s">
        <v>4127</v>
      </c>
      <c r="G1310" s="21">
        <v>18.8</v>
      </c>
      <c r="H1310" s="16">
        <v>26</v>
      </c>
      <c r="I1310" s="16"/>
      <c r="J131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488.8</v>
      </c>
      <c r="K1310" s="22"/>
      <c r="L1310" s="23"/>
      <c r="M1310" s="23">
        <f>SUM(Tabela174681012142230322681619252731333624210121416182426283038402481012141620222628303234362426810121424610122426244262628262681026286236[[#This Row],[Saldo no cartão]:[Recarga Pendente]])</f>
        <v>0</v>
      </c>
      <c r="N1310" s="19">
        <f>Tabela174681012142230322681619252731333624210121416182426283038402481012141620222628303234362426810121424610122426244262628262681026286236[[#This Row],[Uso diário]]*2</f>
        <v>37.6</v>
      </c>
      <c r="O1310" s="19">
        <f>Tabela174681012142230322681619252731333624210121416182426283038402481012141620222628303234362426810121424610122426244262628262681026286236[[#This Row],[Total Acumulado]]-P1310</f>
        <v>-94</v>
      </c>
      <c r="P1310" s="48">
        <f>Tabela174681012142230322681619252731333624210121416182426283038402481012141620222628303234362426810121424610122426244262628262681026286236[[#This Row],[Uso diário]]*5</f>
        <v>94</v>
      </c>
      <c r="Q131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488.8</v>
      </c>
      <c r="S131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0" s="25">
        <v>26</v>
      </c>
    </row>
    <row r="1311" spans="1:20" s="26" customFormat="1" x14ac:dyDescent="0.25">
      <c r="A1311" s="16">
        <v>229581</v>
      </c>
      <c r="B1311" s="30" t="s">
        <v>455</v>
      </c>
      <c r="C1311" s="20" t="s">
        <v>641</v>
      </c>
      <c r="D1311" s="20" t="s">
        <v>704</v>
      </c>
      <c r="E1311" s="20" t="s">
        <v>4128</v>
      </c>
      <c r="F1311" s="20" t="s">
        <v>4129</v>
      </c>
      <c r="G1311" s="21">
        <v>15.4</v>
      </c>
      <c r="H1311" s="16">
        <v>26</v>
      </c>
      <c r="I1311" s="16"/>
      <c r="J131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400.40000000000003</v>
      </c>
      <c r="K1311" s="22"/>
      <c r="L1311" s="23"/>
      <c r="M1311" s="23">
        <f>SUM(Tabela174681012142230322681619252731333624210121416182426283038402481012141620222628303234362426810121424610122426244262628262681026286236[[#This Row],[Saldo no cartão]:[Recarga Pendente]])</f>
        <v>0</v>
      </c>
      <c r="N1311" s="19">
        <f>Tabela174681012142230322681619252731333624210121416182426283038402481012141620222628303234362426810121424610122426244262628262681026286236[[#This Row],[Uso diário]]*2</f>
        <v>30.8</v>
      </c>
      <c r="O1311" s="19">
        <f>Tabela174681012142230322681619252731333624210121416182426283038402481012141620222628303234362426810121424610122426244262628262681026286236[[#This Row],[Total Acumulado]]-P1311</f>
        <v>-77</v>
      </c>
      <c r="P1311" s="48">
        <f>Tabela174681012142230322681619252731333624210121416182426283038402481012141620222628303234362426810121424610122426244262628262681026286236[[#This Row],[Uso diário]]*5</f>
        <v>77</v>
      </c>
      <c r="Q131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400.40000000000003</v>
      </c>
      <c r="S131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1" s="25">
        <v>26</v>
      </c>
    </row>
    <row r="1312" spans="1:20" s="26" customFormat="1" x14ac:dyDescent="0.25">
      <c r="A1312" s="16">
        <v>229692</v>
      </c>
      <c r="B1312" s="30" t="s">
        <v>1540</v>
      </c>
      <c r="C1312" s="20" t="s">
        <v>641</v>
      </c>
      <c r="D1312" s="20" t="s">
        <v>704</v>
      </c>
      <c r="E1312" s="20" t="s">
        <v>4130</v>
      </c>
      <c r="F1312" s="20" t="s">
        <v>4131</v>
      </c>
      <c r="G1312" s="21">
        <v>13.4</v>
      </c>
      <c r="H1312" s="16">
        <v>26</v>
      </c>
      <c r="I1312" s="16">
        <v>5</v>
      </c>
      <c r="J131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281.40000000000003</v>
      </c>
      <c r="K1312" s="22"/>
      <c r="L1312" s="23"/>
      <c r="M1312" s="23">
        <f>SUM(Tabela174681012142230322681619252731333624210121416182426283038402481012141620222628303234362426810121424610122426244262628262681026286236[[#This Row],[Saldo no cartão]:[Recarga Pendente]])</f>
        <v>0</v>
      </c>
      <c r="N1312" s="19">
        <f>Tabela174681012142230322681619252731333624210121416182426283038402481012141620222628303234362426810121424610122426244262628262681026286236[[#This Row],[Uso diário]]*2</f>
        <v>26.8</v>
      </c>
      <c r="O1312" s="19">
        <f>Tabela174681012142230322681619252731333624210121416182426283038402481012141620222628303234362426810121424610122426244262628262681026286236[[#This Row],[Total Acumulado]]-P1312</f>
        <v>-67</v>
      </c>
      <c r="P1312" s="48">
        <f>Tabela174681012142230322681619252731333624210121416182426283038402481012141620222628303234362426810121424610122426244262628262681026286236[[#This Row],[Uso diário]]*5</f>
        <v>67</v>
      </c>
      <c r="Q131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281.40000000000003</v>
      </c>
      <c r="S131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2" s="25">
        <v>26</v>
      </c>
    </row>
    <row r="1313" spans="1:20" s="26" customFormat="1" x14ac:dyDescent="0.25">
      <c r="A1313" s="16">
        <v>230852</v>
      </c>
      <c r="B1313" s="30" t="s">
        <v>1541</v>
      </c>
      <c r="C1313" s="20" t="s">
        <v>641</v>
      </c>
      <c r="D1313" s="20" t="s">
        <v>704</v>
      </c>
      <c r="E1313" s="20" t="s">
        <v>4132</v>
      </c>
      <c r="F1313" s="20" t="s">
        <v>4133</v>
      </c>
      <c r="G1313" s="21">
        <v>13.4</v>
      </c>
      <c r="H1313" s="16">
        <v>26</v>
      </c>
      <c r="I1313" s="16"/>
      <c r="J131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13" s="22"/>
      <c r="L1313" s="23"/>
      <c r="M1313" s="23">
        <f>SUM(Tabela174681012142230322681619252731333624210121416182426283038402481012141620222628303234362426810121424610122426244262628262681026286236[[#This Row],[Saldo no cartão]:[Recarga Pendente]])</f>
        <v>0</v>
      </c>
      <c r="N1313" s="19">
        <f>Tabela174681012142230322681619252731333624210121416182426283038402481012141620222628303234362426810121424610122426244262628262681026286236[[#This Row],[Uso diário]]*2</f>
        <v>26.8</v>
      </c>
      <c r="O1313" s="19">
        <f>Tabela174681012142230322681619252731333624210121416182426283038402481012141620222628303234362426810121424610122426244262628262681026286236[[#This Row],[Total Acumulado]]-P1313</f>
        <v>-67</v>
      </c>
      <c r="P1313" s="48">
        <f>Tabela174681012142230322681619252731333624210121416182426283038402481012141620222628303234362426810121424610122426244262628262681026286236[[#This Row],[Uso diário]]*5</f>
        <v>67</v>
      </c>
      <c r="Q131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1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3" s="25">
        <v>26</v>
      </c>
    </row>
    <row r="1314" spans="1:20" s="26" customFormat="1" x14ac:dyDescent="0.25">
      <c r="A1314" s="16">
        <v>230853</v>
      </c>
      <c r="B1314" s="30" t="s">
        <v>1542</v>
      </c>
      <c r="C1314" s="20" t="s">
        <v>641</v>
      </c>
      <c r="D1314" s="20" t="s">
        <v>704</v>
      </c>
      <c r="E1314" s="20" t="s">
        <v>4134</v>
      </c>
      <c r="F1314" s="20" t="s">
        <v>4135</v>
      </c>
      <c r="G1314" s="21">
        <v>13.4</v>
      </c>
      <c r="H1314" s="16">
        <v>26</v>
      </c>
      <c r="I1314" s="16"/>
      <c r="J131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14" s="22"/>
      <c r="L1314" s="23"/>
      <c r="M1314" s="23">
        <f>SUM(Tabela174681012142230322681619252731333624210121416182426283038402481012141620222628303234362426810121424610122426244262628262681026286236[[#This Row],[Saldo no cartão]:[Recarga Pendente]])</f>
        <v>0</v>
      </c>
      <c r="N1314" s="19">
        <f>Tabela174681012142230322681619252731333624210121416182426283038402481012141620222628303234362426810121424610122426244262628262681026286236[[#This Row],[Uso diário]]*2</f>
        <v>26.8</v>
      </c>
      <c r="O1314" s="19">
        <f>Tabela174681012142230322681619252731333624210121416182426283038402481012141620222628303234362426810121424610122426244262628262681026286236[[#This Row],[Total Acumulado]]-P1314</f>
        <v>-67</v>
      </c>
      <c r="P1314" s="48">
        <f>Tabela174681012142230322681619252731333624210121416182426283038402481012141620222628303234362426810121424610122426244262628262681026286236[[#This Row],[Uso diário]]*5</f>
        <v>67</v>
      </c>
      <c r="Q131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1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4" s="25">
        <v>26</v>
      </c>
    </row>
    <row r="1315" spans="1:20" s="26" customFormat="1" x14ac:dyDescent="0.25">
      <c r="A1315" s="16">
        <v>230857</v>
      </c>
      <c r="B1315" s="30" t="s">
        <v>610</v>
      </c>
      <c r="C1315" s="20" t="s">
        <v>641</v>
      </c>
      <c r="D1315" s="20" t="s">
        <v>704</v>
      </c>
      <c r="E1315" s="20" t="e">
        <v>#N/A</v>
      </c>
      <c r="F1315" s="20" t="e">
        <v>#N/A</v>
      </c>
      <c r="G1315" s="21">
        <v>13.4</v>
      </c>
      <c r="H1315" s="16">
        <v>26</v>
      </c>
      <c r="I1315" s="16">
        <v>4</v>
      </c>
      <c r="J131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294.8</v>
      </c>
      <c r="K1315" s="22"/>
      <c r="L1315" s="23"/>
      <c r="M1315" s="23">
        <f>SUM(Tabela174681012142230322681619252731333624210121416182426283038402481012141620222628303234362426810121424610122426244262628262681026286236[[#This Row],[Saldo no cartão]:[Recarga Pendente]])</f>
        <v>0</v>
      </c>
      <c r="N1315" s="19">
        <f>Tabela174681012142230322681619252731333624210121416182426283038402481012141620222628303234362426810121424610122426244262628262681026286236[[#This Row],[Uso diário]]*2</f>
        <v>26.8</v>
      </c>
      <c r="O1315" s="19">
        <f>Tabela174681012142230322681619252731333624210121416182426283038402481012141620222628303234362426810121424610122426244262628262681026286236[[#This Row],[Total Acumulado]]-P1315</f>
        <v>-67</v>
      </c>
      <c r="P1315" s="48">
        <f>Tabela174681012142230322681619252731333624210121416182426283038402481012141620222628303234362426810121424610122426244262628262681026286236[[#This Row],[Uso diário]]*5</f>
        <v>67</v>
      </c>
      <c r="Q131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294.8</v>
      </c>
      <c r="S131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5" s="25">
        <v>26</v>
      </c>
    </row>
    <row r="1316" spans="1:20" s="26" customFormat="1" x14ac:dyDescent="0.25">
      <c r="A1316" s="16">
        <v>230871</v>
      </c>
      <c r="B1316" s="30" t="s">
        <v>612</v>
      </c>
      <c r="C1316" s="20" t="s">
        <v>641</v>
      </c>
      <c r="D1316" s="20" t="s">
        <v>743</v>
      </c>
      <c r="E1316" s="20" t="s">
        <v>4136</v>
      </c>
      <c r="F1316" s="20" t="s">
        <v>4137</v>
      </c>
      <c r="G1316" s="21">
        <v>13.4</v>
      </c>
      <c r="H1316" s="16">
        <v>26</v>
      </c>
      <c r="I1316" s="16"/>
      <c r="J131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16" s="22"/>
      <c r="L1316" s="23"/>
      <c r="M1316" s="23">
        <f>SUM(Tabela174681012142230322681619252731333624210121416182426283038402481012141620222628303234362426810121424610122426244262628262681026286236[[#This Row],[Saldo no cartão]:[Recarga Pendente]])</f>
        <v>0</v>
      </c>
      <c r="N1316" s="19">
        <f>Tabela174681012142230322681619252731333624210121416182426283038402481012141620222628303234362426810121424610122426244262628262681026286236[[#This Row],[Uso diário]]*2</f>
        <v>26.8</v>
      </c>
      <c r="O1316" s="19">
        <f>Tabela174681012142230322681619252731333624210121416182426283038402481012141620222628303234362426810121424610122426244262628262681026286236[[#This Row],[Total Acumulado]]-P1316</f>
        <v>-67</v>
      </c>
      <c r="P1316" s="48">
        <f>Tabela174681012142230322681619252731333624210121416182426283038402481012141620222628303234362426810121424610122426244262628262681026286236[[#This Row],[Uso diário]]*5</f>
        <v>67</v>
      </c>
      <c r="Q131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1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6" s="25">
        <v>26</v>
      </c>
    </row>
    <row r="1317" spans="1:20" s="26" customFormat="1" x14ac:dyDescent="0.25">
      <c r="A1317" s="16">
        <v>230996</v>
      </c>
      <c r="B1317" s="30" t="s">
        <v>613</v>
      </c>
      <c r="C1317" s="20" t="s">
        <v>641</v>
      </c>
      <c r="D1317" s="20" t="s">
        <v>704</v>
      </c>
      <c r="E1317" s="20" t="s">
        <v>4138</v>
      </c>
      <c r="F1317" s="20" t="s">
        <v>4139</v>
      </c>
      <c r="G1317" s="21">
        <v>13.4</v>
      </c>
      <c r="H1317" s="16">
        <v>26</v>
      </c>
      <c r="I1317" s="16"/>
      <c r="J131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17" s="22"/>
      <c r="L1317" s="23"/>
      <c r="M1317" s="23">
        <f>SUM(Tabela174681012142230322681619252731333624210121416182426283038402481012141620222628303234362426810121424610122426244262628262681026286236[[#This Row],[Saldo no cartão]:[Recarga Pendente]])</f>
        <v>0</v>
      </c>
      <c r="N1317" s="19">
        <f>Tabela174681012142230322681619252731333624210121416182426283038402481012141620222628303234362426810121424610122426244262628262681026286236[[#This Row],[Uso diário]]*2</f>
        <v>26.8</v>
      </c>
      <c r="O1317" s="19">
        <f>Tabela174681012142230322681619252731333624210121416182426283038402481012141620222628303234362426810121424610122426244262628262681026286236[[#This Row],[Total Acumulado]]-P1317</f>
        <v>-67</v>
      </c>
      <c r="P1317" s="48">
        <f>Tabela174681012142230322681619252731333624210121416182426283038402481012141620222628303234362426810121424610122426244262628262681026286236[[#This Row],[Uso diário]]*5</f>
        <v>67</v>
      </c>
      <c r="Q131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1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7" s="25">
        <v>26</v>
      </c>
    </row>
    <row r="1318" spans="1:20" s="26" customFormat="1" x14ac:dyDescent="0.25">
      <c r="A1318" s="16">
        <v>231055</v>
      </c>
      <c r="B1318" s="30" t="s">
        <v>614</v>
      </c>
      <c r="C1318" s="20" t="s">
        <v>641</v>
      </c>
      <c r="D1318" s="20" t="s">
        <v>744</v>
      </c>
      <c r="E1318" s="20" t="s">
        <v>4140</v>
      </c>
      <c r="F1318" s="20" t="s">
        <v>4141</v>
      </c>
      <c r="G1318" s="21">
        <v>13.4</v>
      </c>
      <c r="H1318" s="16">
        <v>26</v>
      </c>
      <c r="I1318" s="16">
        <v>8</v>
      </c>
      <c r="J131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241.20000000000002</v>
      </c>
      <c r="K1318" s="22"/>
      <c r="L1318" s="23"/>
      <c r="M1318" s="23">
        <f>SUM(Tabela174681012142230322681619252731333624210121416182426283038402481012141620222628303234362426810121424610122426244262628262681026286236[[#This Row],[Saldo no cartão]:[Recarga Pendente]])</f>
        <v>0</v>
      </c>
      <c r="N1318" s="19">
        <f>Tabela174681012142230322681619252731333624210121416182426283038402481012141620222628303234362426810121424610122426244262628262681026286236[[#This Row],[Uso diário]]*2</f>
        <v>26.8</v>
      </c>
      <c r="O1318" s="19">
        <f>Tabela174681012142230322681619252731333624210121416182426283038402481012141620222628303234362426810121424610122426244262628262681026286236[[#This Row],[Total Acumulado]]-P1318</f>
        <v>-67</v>
      </c>
      <c r="P1318" s="48">
        <f>Tabela174681012142230322681619252731333624210121416182426283038402481012141620222628303234362426810121424610122426244262628262681026286236[[#This Row],[Uso diário]]*5</f>
        <v>67</v>
      </c>
      <c r="Q131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241.20000000000002</v>
      </c>
      <c r="S131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8" s="25">
        <v>26</v>
      </c>
    </row>
    <row r="1319" spans="1:20" s="26" customFormat="1" x14ac:dyDescent="0.25">
      <c r="A1319" s="16">
        <v>231064</v>
      </c>
      <c r="B1319" s="30" t="s">
        <v>778</v>
      </c>
      <c r="C1319" s="20" t="s">
        <v>641</v>
      </c>
      <c r="D1319" s="20" t="s">
        <v>705</v>
      </c>
      <c r="E1319" s="20" t="s">
        <v>4142</v>
      </c>
      <c r="F1319" s="20" t="s">
        <v>4143</v>
      </c>
      <c r="G1319" s="21">
        <v>13.4</v>
      </c>
      <c r="H1319" s="16">
        <v>26</v>
      </c>
      <c r="I1319" s="16"/>
      <c r="J131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19" s="22"/>
      <c r="L1319" s="23"/>
      <c r="M1319" s="23">
        <f>SUM(Tabela174681012142230322681619252731333624210121416182426283038402481012141620222628303234362426810121424610122426244262628262681026286236[[#This Row],[Saldo no cartão]:[Recarga Pendente]])</f>
        <v>0</v>
      </c>
      <c r="N1319" s="19">
        <f>Tabela174681012142230322681619252731333624210121416182426283038402481012141620222628303234362426810121424610122426244262628262681026286236[[#This Row],[Uso diário]]*2</f>
        <v>26.8</v>
      </c>
      <c r="O1319" s="19">
        <f>Tabela174681012142230322681619252731333624210121416182426283038402481012141620222628303234362426810121424610122426244262628262681026286236[[#This Row],[Total Acumulado]]-P1319</f>
        <v>-67</v>
      </c>
      <c r="P1319" s="48">
        <f>Tabela174681012142230322681619252731333624210121416182426283038402481012141620222628303234362426810121424610122426244262628262681026286236[[#This Row],[Uso diário]]*5</f>
        <v>67</v>
      </c>
      <c r="Q131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1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1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19" s="25">
        <v>26</v>
      </c>
    </row>
    <row r="1320" spans="1:20" s="26" customFormat="1" x14ac:dyDescent="0.25">
      <c r="A1320" s="16">
        <v>231740</v>
      </c>
      <c r="B1320" s="30" t="s">
        <v>879</v>
      </c>
      <c r="C1320" s="20" t="s">
        <v>641</v>
      </c>
      <c r="D1320" s="20" t="s">
        <v>704</v>
      </c>
      <c r="E1320" s="20" t="s">
        <v>4144</v>
      </c>
      <c r="F1320" s="20" t="s">
        <v>4145</v>
      </c>
      <c r="G1320" s="21">
        <v>13.4</v>
      </c>
      <c r="H1320" s="16">
        <v>26</v>
      </c>
      <c r="I1320" s="16"/>
      <c r="J132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20" s="22"/>
      <c r="L1320" s="23"/>
      <c r="M1320" s="23">
        <f>SUM(Tabela174681012142230322681619252731333624210121416182426283038402481012141620222628303234362426810121424610122426244262628262681026286236[[#This Row],[Saldo no cartão]:[Recarga Pendente]])</f>
        <v>0</v>
      </c>
      <c r="N1320" s="19">
        <f>Tabela174681012142230322681619252731333624210121416182426283038402481012141620222628303234362426810121424610122426244262628262681026286236[[#This Row],[Uso diário]]*2</f>
        <v>26.8</v>
      </c>
      <c r="O1320" s="19">
        <f>Tabela174681012142230322681619252731333624210121416182426283038402481012141620222628303234362426810121424610122426244262628262681026286236[[#This Row],[Total Acumulado]]-P1320</f>
        <v>-67</v>
      </c>
      <c r="P1320" s="48">
        <f>Tabela174681012142230322681619252731333624210121416182426283038402481012141620222628303234362426810121424610122426244262628262681026286236[[#This Row],[Uso diário]]*5</f>
        <v>67</v>
      </c>
      <c r="Q132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2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0" s="25">
        <v>26</v>
      </c>
    </row>
    <row r="1321" spans="1:20" s="26" customFormat="1" x14ac:dyDescent="0.25">
      <c r="A1321" s="16">
        <v>232584</v>
      </c>
      <c r="B1321" s="30" t="s">
        <v>924</v>
      </c>
      <c r="C1321" s="20" t="s">
        <v>641</v>
      </c>
      <c r="D1321" s="20" t="s">
        <v>704</v>
      </c>
      <c r="E1321" s="20" t="s">
        <v>4146</v>
      </c>
      <c r="F1321" s="20" t="s">
        <v>4147</v>
      </c>
      <c r="G1321" s="21">
        <v>13.4</v>
      </c>
      <c r="H1321" s="16">
        <v>26</v>
      </c>
      <c r="I1321" s="16">
        <v>1</v>
      </c>
      <c r="J132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321" s="22"/>
      <c r="L1321" s="23"/>
      <c r="M1321" s="23">
        <f>SUM(Tabela174681012142230322681619252731333624210121416182426283038402481012141620222628303234362426810121424610122426244262628262681026286236[[#This Row],[Saldo no cartão]:[Recarga Pendente]])</f>
        <v>0</v>
      </c>
      <c r="N1321" s="19">
        <f>Tabela174681012142230322681619252731333624210121416182426283038402481012141620222628303234362426810121424610122426244262628262681026286236[[#This Row],[Uso diário]]*2</f>
        <v>26.8</v>
      </c>
      <c r="O1321" s="19">
        <f>Tabela174681012142230322681619252731333624210121416182426283038402481012141620222628303234362426810121424610122426244262628262681026286236[[#This Row],[Total Acumulado]]-P1321</f>
        <v>-67</v>
      </c>
      <c r="P1321" s="48">
        <f>Tabela174681012142230322681619252731333624210121416182426283038402481012141620222628303234362426810121424610122426244262628262681026286236[[#This Row],[Uso diário]]*5</f>
        <v>67</v>
      </c>
      <c r="Q132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32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1" s="25">
        <v>26</v>
      </c>
    </row>
    <row r="1322" spans="1:20" s="26" customFormat="1" x14ac:dyDescent="0.25">
      <c r="A1322" s="16">
        <v>233307</v>
      </c>
      <c r="B1322" s="30" t="s">
        <v>1121</v>
      </c>
      <c r="C1322" s="20" t="s">
        <v>641</v>
      </c>
      <c r="D1322" s="20" t="s">
        <v>743</v>
      </c>
      <c r="E1322" s="20" t="s">
        <v>4148</v>
      </c>
      <c r="F1322" s="20" t="s">
        <v>4149</v>
      </c>
      <c r="G1322" s="21">
        <v>13.4</v>
      </c>
      <c r="H1322" s="16">
        <v>26</v>
      </c>
      <c r="I1322" s="16"/>
      <c r="J132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22" s="22"/>
      <c r="L1322" s="23"/>
      <c r="M1322" s="23">
        <f>SUM(Tabela174681012142230322681619252731333624210121416182426283038402481012141620222628303234362426810121424610122426244262628262681026286236[[#This Row],[Saldo no cartão]:[Recarga Pendente]])</f>
        <v>0</v>
      </c>
      <c r="N1322" s="19">
        <f>Tabela174681012142230322681619252731333624210121416182426283038402481012141620222628303234362426810121424610122426244262628262681026286236[[#This Row],[Uso diário]]*2</f>
        <v>26.8</v>
      </c>
      <c r="O1322" s="19">
        <f>Tabela174681012142230322681619252731333624210121416182426283038402481012141620222628303234362426810121424610122426244262628262681026286236[[#This Row],[Total Acumulado]]-P1322</f>
        <v>-67</v>
      </c>
      <c r="P1322" s="48">
        <f>Tabela174681012142230322681619252731333624210121416182426283038402481012141620222628303234362426810121424610122426244262628262681026286236[[#This Row],[Uso diário]]*5</f>
        <v>67</v>
      </c>
      <c r="Q132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2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2" s="25">
        <v>26</v>
      </c>
    </row>
    <row r="1323" spans="1:20" s="26" customFormat="1" x14ac:dyDescent="0.25">
      <c r="A1323" s="16">
        <v>233520</v>
      </c>
      <c r="B1323" s="30" t="s">
        <v>1122</v>
      </c>
      <c r="C1323" s="20" t="s">
        <v>641</v>
      </c>
      <c r="D1323" s="20" t="s">
        <v>704</v>
      </c>
      <c r="E1323" s="20" t="s">
        <v>4150</v>
      </c>
      <c r="F1323" s="20" t="s">
        <v>4151</v>
      </c>
      <c r="G1323" s="21">
        <v>13.4</v>
      </c>
      <c r="H1323" s="16">
        <v>26</v>
      </c>
      <c r="I1323" s="16">
        <v>2</v>
      </c>
      <c r="J132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321.60000000000002</v>
      </c>
      <c r="K1323" s="22"/>
      <c r="L1323" s="23"/>
      <c r="M1323" s="23">
        <f>SUM(Tabela174681012142230322681619252731333624210121416182426283038402481012141620222628303234362426810121424610122426244262628262681026286236[[#This Row],[Saldo no cartão]:[Recarga Pendente]])</f>
        <v>0</v>
      </c>
      <c r="N1323" s="19">
        <f>Tabela174681012142230322681619252731333624210121416182426283038402481012141620222628303234362426810121424610122426244262628262681026286236[[#This Row],[Uso diário]]*2</f>
        <v>26.8</v>
      </c>
      <c r="O1323" s="19">
        <f>Tabela174681012142230322681619252731333624210121416182426283038402481012141620222628303234362426810121424610122426244262628262681026286236[[#This Row],[Total Acumulado]]-P1323</f>
        <v>-67</v>
      </c>
      <c r="P1323" s="48">
        <f>Tabela174681012142230322681619252731333624210121416182426283038402481012141620222628303234362426810121424610122426244262628262681026286236[[#This Row],[Uso diário]]*5</f>
        <v>67</v>
      </c>
      <c r="Q132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321.60000000000002</v>
      </c>
      <c r="S132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3" s="25">
        <v>26</v>
      </c>
    </row>
    <row r="1324" spans="1:20" s="26" customFormat="1" x14ac:dyDescent="0.25">
      <c r="A1324" s="16">
        <v>234075</v>
      </c>
      <c r="B1324" s="30" t="s">
        <v>1253</v>
      </c>
      <c r="C1324" s="20" t="s">
        <v>641</v>
      </c>
      <c r="D1324" s="20" t="s">
        <v>704</v>
      </c>
      <c r="E1324" s="20" t="s">
        <v>4152</v>
      </c>
      <c r="F1324" s="20" t="s">
        <v>4153</v>
      </c>
      <c r="G1324" s="21">
        <v>13.4</v>
      </c>
      <c r="H1324" s="16">
        <v>26</v>
      </c>
      <c r="I1324" s="16">
        <v>1</v>
      </c>
      <c r="J132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324" s="22"/>
      <c r="L1324" s="23"/>
      <c r="M1324" s="23">
        <f>SUM(Tabela174681012142230322681619252731333624210121416182426283038402481012141620222628303234362426810121424610122426244262628262681026286236[[#This Row],[Saldo no cartão]:[Recarga Pendente]])</f>
        <v>0</v>
      </c>
      <c r="N1324" s="19">
        <f>Tabela174681012142230322681619252731333624210121416182426283038402481012141620222628303234362426810121424610122426244262628262681026286236[[#This Row],[Uso diário]]*2</f>
        <v>26.8</v>
      </c>
      <c r="O1324" s="19">
        <f>Tabela174681012142230322681619252731333624210121416182426283038402481012141620222628303234362426810121424610122426244262628262681026286236[[#This Row],[Total Acumulado]]-P1324</f>
        <v>-67</v>
      </c>
      <c r="P1324" s="48">
        <f>Tabela174681012142230322681619252731333624210121416182426283038402481012141620222628303234362426810121424610122426244262628262681026286236[[#This Row],[Uso diário]]*5</f>
        <v>67</v>
      </c>
      <c r="Q132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32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4" s="25">
        <v>26</v>
      </c>
    </row>
    <row r="1325" spans="1:20" s="26" customFormat="1" x14ac:dyDescent="0.25">
      <c r="A1325" s="16">
        <v>234077</v>
      </c>
      <c r="B1325" s="30" t="s">
        <v>1254</v>
      </c>
      <c r="C1325" s="20" t="s">
        <v>641</v>
      </c>
      <c r="D1325" s="20" t="s">
        <v>704</v>
      </c>
      <c r="E1325" s="20" t="s">
        <v>4154</v>
      </c>
      <c r="F1325" s="20" t="s">
        <v>4155</v>
      </c>
      <c r="G1325" s="21">
        <v>13.4</v>
      </c>
      <c r="H1325" s="16">
        <v>26</v>
      </c>
      <c r="I1325" s="16"/>
      <c r="J132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25" s="22"/>
      <c r="L1325" s="23">
        <v>47.6</v>
      </c>
      <c r="M1325" s="23">
        <f>SUM(Tabela174681012142230322681619252731333624210121416182426283038402481012141620222628303234362426810121424610122426244262628262681026286236[[#This Row],[Saldo no cartão]:[Recarga Pendente]])</f>
        <v>47.6</v>
      </c>
      <c r="N1325" s="19">
        <f>Tabela174681012142230322681619252731333624210121416182426283038402481012141620222628303234362426810121424610122426244262628262681026286236[[#This Row],[Uso diário]]*2</f>
        <v>26.8</v>
      </c>
      <c r="O1325" s="19">
        <f>Tabela174681012142230322681619252731333624210121416182426283038402481012141620222628303234362426810121424610122426244262628262681026286236[[#This Row],[Total Acumulado]]-P1325</f>
        <v>-19.399999999999999</v>
      </c>
      <c r="P1325" s="48">
        <f>Tabela174681012142230322681619252731333624210121416182426283038402481012141620222628303234362426810121424610122426244262628262681026286236[[#This Row],[Uso diário]]*5</f>
        <v>67</v>
      </c>
      <c r="Q132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2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5" s="25">
        <v>26</v>
      </c>
    </row>
    <row r="1326" spans="1:20" s="26" customFormat="1" x14ac:dyDescent="0.25">
      <c r="A1326" s="16">
        <v>234155</v>
      </c>
      <c r="B1326" s="30" t="s">
        <v>1255</v>
      </c>
      <c r="C1326" s="20" t="s">
        <v>641</v>
      </c>
      <c r="D1326" s="20" t="s">
        <v>704</v>
      </c>
      <c r="E1326" s="20" t="s">
        <v>4156</v>
      </c>
      <c r="F1326" s="20" t="s">
        <v>4157</v>
      </c>
      <c r="G1326" s="21">
        <v>13.4</v>
      </c>
      <c r="H1326" s="16">
        <v>26</v>
      </c>
      <c r="I1326" s="16">
        <v>1</v>
      </c>
      <c r="J132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335</v>
      </c>
      <c r="K1326" s="22"/>
      <c r="L1326" s="23"/>
      <c r="M1326" s="23">
        <f>SUM(Tabela174681012142230322681619252731333624210121416182426283038402481012141620222628303234362426810121424610122426244262628262681026286236[[#This Row],[Saldo no cartão]:[Recarga Pendente]])</f>
        <v>0</v>
      </c>
      <c r="N1326" s="19">
        <f>Tabela174681012142230322681619252731333624210121416182426283038402481012141620222628303234362426810121424610122426244262628262681026286236[[#This Row],[Uso diário]]*2</f>
        <v>26.8</v>
      </c>
      <c r="O1326" s="19">
        <f>Tabela174681012142230322681619252731333624210121416182426283038402481012141620222628303234362426810121424610122426244262628262681026286236[[#This Row],[Total Acumulado]]-P1326</f>
        <v>-67</v>
      </c>
      <c r="P1326" s="48">
        <f>Tabela174681012142230322681619252731333624210121416182426283038402481012141620222628303234362426810121424610122426244262628262681026286236[[#This Row],[Uso diário]]*5</f>
        <v>67</v>
      </c>
      <c r="Q132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335</v>
      </c>
      <c r="S132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6" s="25">
        <v>26</v>
      </c>
    </row>
    <row r="1327" spans="1:20" s="26" customFormat="1" x14ac:dyDescent="0.25">
      <c r="A1327" s="16">
        <v>234881</v>
      </c>
      <c r="B1327" s="30" t="s">
        <v>1543</v>
      </c>
      <c r="C1327" s="20" t="s">
        <v>641</v>
      </c>
      <c r="D1327" s="20" t="s">
        <v>743</v>
      </c>
      <c r="E1327" s="20" t="s">
        <v>4158</v>
      </c>
      <c r="F1327" s="20" t="s">
        <v>4159</v>
      </c>
      <c r="G1327" s="21">
        <v>13.4</v>
      </c>
      <c r="H1327" s="16">
        <v>26</v>
      </c>
      <c r="I1327" s="16"/>
      <c r="J132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27" s="22"/>
      <c r="L1327" s="23">
        <v>59.5</v>
      </c>
      <c r="M1327" s="23">
        <f>SUM(Tabela174681012142230322681619252731333624210121416182426283038402481012141620222628303234362426810121424610122426244262628262681026286236[[#This Row],[Saldo no cartão]:[Recarga Pendente]])</f>
        <v>59.5</v>
      </c>
      <c r="N1327" s="19">
        <f>Tabela174681012142230322681619252731333624210121416182426283038402481012141620222628303234362426810121424610122426244262628262681026286236[[#This Row],[Uso diário]]*2</f>
        <v>26.8</v>
      </c>
      <c r="O1327" s="19">
        <f>Tabela174681012142230322681619252731333624210121416182426283038402481012141620222628303234362426810121424610122426244262628262681026286236[[#This Row],[Total Acumulado]]-P1327</f>
        <v>-7.5</v>
      </c>
      <c r="P1327" s="48">
        <f>Tabela174681012142230322681619252731333624210121416182426283038402481012141620222628303234362426810121424610122426244262628262681026286236[[#This Row],[Uso diário]]*5</f>
        <v>67</v>
      </c>
      <c r="Q132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2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7" s="25">
        <v>26</v>
      </c>
    </row>
    <row r="1328" spans="1:20" s="26" customFormat="1" x14ac:dyDescent="0.25">
      <c r="A1328" s="16">
        <v>230708</v>
      </c>
      <c r="B1328" s="30" t="s">
        <v>1544</v>
      </c>
      <c r="C1328" s="20" t="s">
        <v>645</v>
      </c>
      <c r="D1328" s="20" t="s">
        <v>711</v>
      </c>
      <c r="E1328" s="20" t="s">
        <v>4160</v>
      </c>
      <c r="F1328" s="20" t="s">
        <v>4161</v>
      </c>
      <c r="G1328" s="21">
        <v>13.4</v>
      </c>
      <c r="H1328" s="16">
        <v>26</v>
      </c>
      <c r="I1328" s="16"/>
      <c r="J1328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28" s="22"/>
      <c r="L1328" s="23"/>
      <c r="M1328" s="23">
        <f>SUM(Tabela174681012142230322681619252731333624210121416182426283038402481012141620222628303234362426810121424610122426244262628262681026286236[[#This Row],[Saldo no cartão]:[Recarga Pendente]])</f>
        <v>0</v>
      </c>
      <c r="N1328" s="19">
        <f>Tabela174681012142230322681619252731333624210121416182426283038402481012141620222628303234362426810121424610122426244262628262681026286236[[#This Row],[Uso diário]]*2</f>
        <v>26.8</v>
      </c>
      <c r="O1328" s="19">
        <f>Tabela174681012142230322681619252731333624210121416182426283038402481012141620222628303234362426810121424610122426244262628262681026286236[[#This Row],[Total Acumulado]]-P1328</f>
        <v>-67</v>
      </c>
      <c r="P1328" s="48">
        <f>Tabela174681012142230322681619252731333624210121416182426283038402481012141620222628303234362426810121424610122426244262628262681026286236[[#This Row],[Uso diário]]*5</f>
        <v>67</v>
      </c>
      <c r="Q1328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8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28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8" s="25">
        <v>26</v>
      </c>
    </row>
    <row r="1329" spans="1:20" s="26" customFormat="1" x14ac:dyDescent="0.25">
      <c r="A1329" s="16">
        <v>230776</v>
      </c>
      <c r="B1329" s="30" t="s">
        <v>615</v>
      </c>
      <c r="C1329" s="20" t="s">
        <v>645</v>
      </c>
      <c r="D1329" s="20" t="s">
        <v>711</v>
      </c>
      <c r="E1329" s="20" t="s">
        <v>4162</v>
      </c>
      <c r="F1329" s="20" t="s">
        <v>4163</v>
      </c>
      <c r="G1329" s="21">
        <v>13.4</v>
      </c>
      <c r="H1329" s="16">
        <v>26</v>
      </c>
      <c r="I1329" s="16"/>
      <c r="J1329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29" s="22"/>
      <c r="L1329" s="23"/>
      <c r="M1329" s="23">
        <f>SUM(Tabela174681012142230322681619252731333624210121416182426283038402481012141620222628303234362426810121424610122426244262628262681026286236[[#This Row],[Saldo no cartão]:[Recarga Pendente]])</f>
        <v>0</v>
      </c>
      <c r="N1329" s="19">
        <f>Tabela174681012142230322681619252731333624210121416182426283038402481012141620222628303234362426810121424610122426244262628262681026286236[[#This Row],[Uso diário]]*2</f>
        <v>26.8</v>
      </c>
      <c r="O1329" s="19">
        <f>Tabela174681012142230322681619252731333624210121416182426283038402481012141620222628303234362426810121424610122426244262628262681026286236[[#This Row],[Total Acumulado]]-P1329</f>
        <v>-67</v>
      </c>
      <c r="P1329" s="48">
        <f>Tabela174681012142230322681619252731333624210121416182426283038402481012141620222628303234362426810121424610122426244262628262681026286236[[#This Row],[Uso diário]]*5</f>
        <v>67</v>
      </c>
      <c r="Q1329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29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29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29" s="25">
        <v>26</v>
      </c>
    </row>
    <row r="1330" spans="1:20" s="26" customFormat="1" x14ac:dyDescent="0.25">
      <c r="A1330" s="16">
        <v>230829</v>
      </c>
      <c r="B1330" s="30" t="s">
        <v>616</v>
      </c>
      <c r="C1330" s="20" t="s">
        <v>645</v>
      </c>
      <c r="D1330" s="20" t="s">
        <v>711</v>
      </c>
      <c r="E1330" s="20" t="s">
        <v>4164</v>
      </c>
      <c r="F1330" s="20" t="s">
        <v>4165</v>
      </c>
      <c r="G1330" s="21">
        <v>13.4</v>
      </c>
      <c r="H1330" s="16">
        <v>26</v>
      </c>
      <c r="I1330" s="16"/>
      <c r="J1330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0" s="22"/>
      <c r="L1330" s="23"/>
      <c r="M1330" s="23">
        <f>SUM(Tabela174681012142230322681619252731333624210121416182426283038402481012141620222628303234362426810121424610122426244262628262681026286236[[#This Row],[Saldo no cartão]:[Recarga Pendente]])</f>
        <v>0</v>
      </c>
      <c r="N1330" s="19">
        <f>Tabela174681012142230322681619252731333624210121416182426283038402481012141620222628303234362426810121424610122426244262628262681026286236[[#This Row],[Uso diário]]*2</f>
        <v>26.8</v>
      </c>
      <c r="O1330" s="19">
        <f>Tabela174681012142230322681619252731333624210121416182426283038402481012141620222628303234362426810121424610122426244262628262681026286236[[#This Row],[Total Acumulado]]-P1330</f>
        <v>-67</v>
      </c>
      <c r="P1330" s="48">
        <f>Tabela174681012142230322681619252731333624210121416182426283038402481012141620222628303234362426810121424610122426244262628262681026286236[[#This Row],[Uso diário]]*5</f>
        <v>67</v>
      </c>
      <c r="Q1330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0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0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0" s="25">
        <v>26</v>
      </c>
    </row>
    <row r="1331" spans="1:20" s="26" customFormat="1" x14ac:dyDescent="0.25">
      <c r="A1331" s="16">
        <v>231057</v>
      </c>
      <c r="B1331" s="30" t="s">
        <v>617</v>
      </c>
      <c r="C1331" s="20" t="s">
        <v>645</v>
      </c>
      <c r="D1331" s="20" t="s">
        <v>711</v>
      </c>
      <c r="E1331" s="20" t="s">
        <v>4166</v>
      </c>
      <c r="F1331" s="20" t="s">
        <v>4167</v>
      </c>
      <c r="G1331" s="21">
        <v>13.4</v>
      </c>
      <c r="H1331" s="16">
        <v>26</v>
      </c>
      <c r="I1331" s="16"/>
      <c r="J1331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1" s="22"/>
      <c r="L1331" s="23"/>
      <c r="M1331" s="23">
        <f>SUM(Tabela174681012142230322681619252731333624210121416182426283038402481012141620222628303234362426810121424610122426244262628262681026286236[[#This Row],[Saldo no cartão]:[Recarga Pendente]])</f>
        <v>0</v>
      </c>
      <c r="N1331" s="19">
        <f>Tabela174681012142230322681619252731333624210121416182426283038402481012141620222628303234362426810121424610122426244262628262681026286236[[#This Row],[Uso diário]]*2</f>
        <v>26.8</v>
      </c>
      <c r="O1331" s="19">
        <f>Tabela174681012142230322681619252731333624210121416182426283038402481012141620222628303234362426810121424610122426244262628262681026286236[[#This Row],[Total Acumulado]]-P1331</f>
        <v>-67</v>
      </c>
      <c r="P1331" s="48">
        <f>Tabela174681012142230322681619252731333624210121416182426283038402481012141620222628303234362426810121424610122426244262628262681026286236[[#This Row],[Uso diário]]*5</f>
        <v>67</v>
      </c>
      <c r="Q1331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1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1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1" s="25">
        <v>26</v>
      </c>
    </row>
    <row r="1332" spans="1:20" s="26" customFormat="1" x14ac:dyDescent="0.25">
      <c r="A1332" s="16">
        <v>231695</v>
      </c>
      <c r="B1332" s="30" t="s">
        <v>881</v>
      </c>
      <c r="C1332" s="20" t="s">
        <v>645</v>
      </c>
      <c r="D1332" s="20" t="s">
        <v>711</v>
      </c>
      <c r="E1332" s="20" t="s">
        <v>4168</v>
      </c>
      <c r="F1332" s="20" t="s">
        <v>4169</v>
      </c>
      <c r="G1332" s="21">
        <v>13.4</v>
      </c>
      <c r="H1332" s="16">
        <v>26</v>
      </c>
      <c r="I1332" s="16"/>
      <c r="J1332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2" s="22"/>
      <c r="L1332" s="23"/>
      <c r="M1332" s="23">
        <f>SUM(Tabela174681012142230322681619252731333624210121416182426283038402481012141620222628303234362426810121424610122426244262628262681026286236[[#This Row],[Saldo no cartão]:[Recarga Pendente]])</f>
        <v>0</v>
      </c>
      <c r="N1332" s="19">
        <f>Tabela174681012142230322681619252731333624210121416182426283038402481012141620222628303234362426810121424610122426244262628262681026286236[[#This Row],[Uso diário]]*2</f>
        <v>26.8</v>
      </c>
      <c r="O1332" s="19">
        <f>Tabela174681012142230322681619252731333624210121416182426283038402481012141620222628303234362426810121424610122426244262628262681026286236[[#This Row],[Total Acumulado]]-P1332</f>
        <v>-67</v>
      </c>
      <c r="P1332" s="48">
        <f>Tabela174681012142230322681619252731333624210121416182426283038402481012141620222628303234362426810121424610122426244262628262681026286236[[#This Row],[Uso diário]]*5</f>
        <v>67</v>
      </c>
      <c r="Q1332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2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2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2" s="25">
        <v>26</v>
      </c>
    </row>
    <row r="1333" spans="1:20" s="26" customFormat="1" x14ac:dyDescent="0.25">
      <c r="A1333" s="16">
        <v>232753</v>
      </c>
      <c r="B1333" s="30" t="s">
        <v>955</v>
      </c>
      <c r="C1333" s="20" t="s">
        <v>645</v>
      </c>
      <c r="D1333" s="20" t="s">
        <v>711</v>
      </c>
      <c r="E1333" s="20" t="s">
        <v>4170</v>
      </c>
      <c r="F1333" s="20" t="s">
        <v>4171</v>
      </c>
      <c r="G1333" s="21">
        <v>13.4</v>
      </c>
      <c r="H1333" s="16">
        <v>26</v>
      </c>
      <c r="I1333" s="16"/>
      <c r="J1333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3" s="22"/>
      <c r="L1333" s="23"/>
      <c r="M1333" s="23">
        <f>SUM(Tabela174681012142230322681619252731333624210121416182426283038402481012141620222628303234362426810121424610122426244262628262681026286236[[#This Row],[Saldo no cartão]:[Recarga Pendente]])</f>
        <v>0</v>
      </c>
      <c r="N1333" s="19">
        <f>Tabela174681012142230322681619252731333624210121416182426283038402481012141620222628303234362426810121424610122426244262628262681026286236[[#This Row],[Uso diário]]*2</f>
        <v>26.8</v>
      </c>
      <c r="O1333" s="19">
        <f>Tabela174681012142230322681619252731333624210121416182426283038402481012141620222628303234362426810121424610122426244262628262681026286236[[#This Row],[Total Acumulado]]-P1333</f>
        <v>-67</v>
      </c>
      <c r="P1333" s="48">
        <f>Tabela174681012142230322681619252731333624210121416182426283038402481012141620222628303234362426810121424610122426244262628262681026286236[[#This Row],[Uso diário]]*5</f>
        <v>67</v>
      </c>
      <c r="Q1333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3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3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3" s="25">
        <v>26</v>
      </c>
    </row>
    <row r="1334" spans="1:20" s="26" customFormat="1" x14ac:dyDescent="0.25">
      <c r="A1334" s="16">
        <v>232822</v>
      </c>
      <c r="B1334" s="30" t="s">
        <v>956</v>
      </c>
      <c r="C1334" s="20" t="s">
        <v>645</v>
      </c>
      <c r="D1334" s="20" t="s">
        <v>711</v>
      </c>
      <c r="E1334" s="20" t="s">
        <v>4172</v>
      </c>
      <c r="F1334" s="20" t="s">
        <v>4173</v>
      </c>
      <c r="G1334" s="21">
        <v>13.4</v>
      </c>
      <c r="H1334" s="16">
        <v>26</v>
      </c>
      <c r="I1334" s="16"/>
      <c r="J1334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4" s="22"/>
      <c r="L1334" s="23"/>
      <c r="M1334" s="23">
        <f>SUM(Tabela174681012142230322681619252731333624210121416182426283038402481012141620222628303234362426810121424610122426244262628262681026286236[[#This Row],[Saldo no cartão]:[Recarga Pendente]])</f>
        <v>0</v>
      </c>
      <c r="N1334" s="19">
        <f>Tabela174681012142230322681619252731333624210121416182426283038402481012141620222628303234362426810121424610122426244262628262681026286236[[#This Row],[Uso diário]]*2</f>
        <v>26.8</v>
      </c>
      <c r="O1334" s="19">
        <f>Tabela174681012142230322681619252731333624210121416182426283038402481012141620222628303234362426810121424610122426244262628262681026286236[[#This Row],[Total Acumulado]]-P1334</f>
        <v>-67</v>
      </c>
      <c r="P1334" s="48">
        <f>Tabela174681012142230322681619252731333624210121416182426283038402481012141620222628303234362426810121424610122426244262628262681026286236[[#This Row],[Uso diário]]*5</f>
        <v>67</v>
      </c>
      <c r="Q1334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4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4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4" s="25">
        <v>26</v>
      </c>
    </row>
    <row r="1335" spans="1:20" s="26" customFormat="1" x14ac:dyDescent="0.25">
      <c r="A1335" s="16">
        <v>234045</v>
      </c>
      <c r="B1335" s="30" t="s">
        <v>1256</v>
      </c>
      <c r="C1335" s="20" t="s">
        <v>645</v>
      </c>
      <c r="D1335" s="20" t="s">
        <v>711</v>
      </c>
      <c r="E1335" s="20" t="s">
        <v>4174</v>
      </c>
      <c r="F1335" s="20" t="s">
        <v>4175</v>
      </c>
      <c r="G1335" s="21">
        <v>13.4</v>
      </c>
      <c r="H1335" s="16">
        <v>26</v>
      </c>
      <c r="I1335" s="16"/>
      <c r="J1335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5" s="22"/>
      <c r="L1335" s="23"/>
      <c r="M1335" s="23">
        <f>SUM(Tabela174681012142230322681619252731333624210121416182426283038402481012141620222628303234362426810121424610122426244262628262681026286236[[#This Row],[Saldo no cartão]:[Recarga Pendente]])</f>
        <v>0</v>
      </c>
      <c r="N1335" s="19">
        <f>Tabela174681012142230322681619252731333624210121416182426283038402481012141620222628303234362426810121424610122426244262628262681026286236[[#This Row],[Uso diário]]*2</f>
        <v>26.8</v>
      </c>
      <c r="O1335" s="19">
        <f>Tabela174681012142230322681619252731333624210121416182426283038402481012141620222628303234362426810121424610122426244262628262681026286236[[#This Row],[Total Acumulado]]-P1335</f>
        <v>-67</v>
      </c>
      <c r="P1335" s="48">
        <f>Tabela174681012142230322681619252731333624210121416182426283038402481012141620222628303234362426810121424610122426244262628262681026286236[[#This Row],[Uso diário]]*5</f>
        <v>67</v>
      </c>
      <c r="Q1335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5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5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5" s="25">
        <v>26</v>
      </c>
    </row>
    <row r="1336" spans="1:20" s="26" customFormat="1" x14ac:dyDescent="0.25">
      <c r="A1336" s="16">
        <v>234560</v>
      </c>
      <c r="B1336" s="30" t="s">
        <v>1337</v>
      </c>
      <c r="C1336" s="20" t="s">
        <v>645</v>
      </c>
      <c r="D1336" s="20" t="s">
        <v>711</v>
      </c>
      <c r="E1336" s="20" t="s">
        <v>4176</v>
      </c>
      <c r="F1336" s="20" t="s">
        <v>4177</v>
      </c>
      <c r="G1336" s="21">
        <v>13.4</v>
      </c>
      <c r="H1336" s="16">
        <v>26</v>
      </c>
      <c r="I1336" s="16"/>
      <c r="J1336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6" s="22"/>
      <c r="L1336" s="23"/>
      <c r="M1336" s="23">
        <f>SUM(Tabela174681012142230322681619252731333624210121416182426283038402481012141620222628303234362426810121424610122426244262628262681026286236[[#This Row],[Saldo no cartão]:[Recarga Pendente]])</f>
        <v>0</v>
      </c>
      <c r="N1336" s="19">
        <f>Tabela174681012142230322681619252731333624210121416182426283038402481012141620222628303234362426810121424610122426244262628262681026286236[[#This Row],[Uso diário]]*2</f>
        <v>26.8</v>
      </c>
      <c r="O1336" s="19">
        <f>Tabela174681012142230322681619252731333624210121416182426283038402481012141620222628303234362426810121424610122426244262628262681026286236[[#This Row],[Total Acumulado]]-P1336</f>
        <v>-67</v>
      </c>
      <c r="P1336" s="48">
        <f>Tabela174681012142230322681619252731333624210121416182426283038402481012141620222628303234362426810121424610122426244262628262681026286236[[#This Row],[Uso diário]]*5</f>
        <v>67</v>
      </c>
      <c r="Q1336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6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6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6" s="25">
        <v>26</v>
      </c>
    </row>
    <row r="1337" spans="1:20" s="26" customFormat="1" x14ac:dyDescent="0.25">
      <c r="A1337" s="16">
        <v>234688</v>
      </c>
      <c r="B1337" s="30" t="s">
        <v>1387</v>
      </c>
      <c r="C1337" s="20" t="s">
        <v>645</v>
      </c>
      <c r="D1337" s="20" t="s">
        <v>711</v>
      </c>
      <c r="E1337" s="20" t="s">
        <v>4178</v>
      </c>
      <c r="F1337" s="20" t="s">
        <v>4179</v>
      </c>
      <c r="G1337" s="21">
        <v>13.4</v>
      </c>
      <c r="H1337" s="16">
        <v>26</v>
      </c>
      <c r="I1337" s="16"/>
      <c r="J1337" s="17">
        <f>(Tabela174681012142230322681619252731333624210121416182426283038402481012141620222628303234362426810121424610122426244262628262681026286236[[#This Row],[D]]-Tabela174681012142230322681619252731333624210121416182426283038402481012141620222628303234362426810121424610122426244262628262681026286236[[#This Row],[F]])*Tabela174681012142230322681619252731333624210121416182426283038402481012141620222628303234362426810121424610122426244262628262681026286236[[#This Row],[Uso diário]]</f>
        <v>348.40000000000003</v>
      </c>
      <c r="K1337" s="22"/>
      <c r="L1337" s="23"/>
      <c r="M1337" s="23">
        <f>SUM(Tabela174681012142230322681619252731333624210121416182426283038402481012141620222628303234362426810121424610122426244262628262681026286236[[#This Row],[Saldo no cartão]:[Recarga Pendente]])</f>
        <v>0</v>
      </c>
      <c r="N1337" s="19">
        <f>Tabela174681012142230322681619252731333624210121416182426283038402481012141620222628303234362426810121424610122426244262628262681026286236[[#This Row],[Uso diário]]*2</f>
        <v>26.8</v>
      </c>
      <c r="O1337" s="19">
        <f>Tabela174681012142230322681619252731333624210121416182426283038402481012141620222628303234362426810121424610122426244262628262681026286236[[#This Row],[Total Acumulado]]-P1337</f>
        <v>-67</v>
      </c>
      <c r="P1337" s="48">
        <f>Tabela174681012142230322681619252731333624210121416182426283038402481012141620222628303234362426810121424610122426244262628262681026286236[[#This Row],[Uso diário]]*5</f>
        <v>67</v>
      </c>
      <c r="Q1337" s="17">
        <f>IF(Tabela174681012142230322681619252731333624210121416182426283038402481012141620222628303234362426810121424610122426244262628262681026286236[[#This Row],[acumulo]]&lt;Tabela174681012142230322681619252731333624210121416182426283038402481012141620222628303234362426810121424610122426244262628262681026286236[[#This Row],[acumulo minimo]],0,Tabela174681012142230322681619252731333624210121416182426283038402481012141620222628303234362426810121424610122426244262628262681026286236[[#This Row],[acumulo]])</f>
        <v>0</v>
      </c>
      <c r="R1337" s="24">
        <f>IF(Tabela174681012142230322681619252731333624210121416182426283038402481012141620222628303234362426810121424610122426244262628262681026286236[[#This Row],[Valor economizado]]&gt;Tabela174681012142230322681619252731333624210121416182426283038402481012141620222628303234362426810121424610122426244262628262681026286236[[#This Row],[Pedido Inicial]],0,Tabela174681012142230322681619252731333624210121416182426283038402481012141620222628303234362426810121424610122426244262628262681026286236[[#This Row],[Pedido Inicial]]-Tabela174681012142230322681619252731333624210121416182426283038402481012141620222628303234362426810121424610122426244262628262681026286236[[#This Row],[Valor economizado]])</f>
        <v>348.40000000000003</v>
      </c>
      <c r="S1337" s="18" t="str">
        <f>IF(Tabela174681012142230322681619252731333624210121416182426283038402481012141620222628303234362426810121424610122426244262628262681026286236[[#This Row],[Pedido Final]]=0,"NÃO EFETUAR RECARGA","RECARGA NORMAL")</f>
        <v>RECARGA NORMAL</v>
      </c>
      <c r="T1337" s="25">
        <v>26</v>
      </c>
    </row>
    <row r="1338" spans="1:20" x14ac:dyDescent="0.25">
      <c r="A1338" s="13" t="s">
        <v>13</v>
      </c>
      <c r="B1338" s="13"/>
      <c r="C1338" s="13"/>
      <c r="D1338" s="13"/>
      <c r="E1338" s="20"/>
      <c r="F1338" s="20"/>
      <c r="G1338" s="33"/>
      <c r="H1338" s="13"/>
      <c r="I1338" s="13"/>
      <c r="J1338" s="14">
        <f>SUBTOTAL(109,Tabela174681012142230322681619252731333624210121416182426283038402481012141620222628303234362426810121424610122426244262628262681026286236[Pedido Inicial])</f>
        <v>456890.30000000331</v>
      </c>
      <c r="K1338" s="15"/>
      <c r="L1338" s="15"/>
      <c r="M1338" s="15"/>
      <c r="N1338" s="15"/>
      <c r="O1338" s="15"/>
      <c r="P1338" s="15"/>
      <c r="Q1338" s="15"/>
      <c r="R1338" s="14">
        <f>SUBTOTAL(109,Tabela174681012142230322681619252731333624210121416182426283038402481012141620222628303234362426810121424610122426244262628262681026286236[Pedido Final])</f>
        <v>448660.18000000337</v>
      </c>
      <c r="S1338" s="31">
        <f>SUBTOTAL(103,Tabela174681012142230322681619252731333624210121416182426283038402481012141620222628303234362426810121424610122426244262628262681026286236[Status])</f>
        <v>1334</v>
      </c>
      <c r="T1338" s="13"/>
    </row>
    <row r="1339" spans="1:20" x14ac:dyDescent="0.25">
      <c r="A1339" s="13"/>
      <c r="B1339" s="13"/>
      <c r="C1339" s="13"/>
      <c r="D1339" s="13"/>
      <c r="E1339" s="20"/>
      <c r="F1339" s="20"/>
      <c r="G1339" s="33"/>
      <c r="H1339" s="13"/>
      <c r="I1339" s="13"/>
      <c r="J1339" s="14"/>
      <c r="K1339" s="15"/>
      <c r="L1339" s="15"/>
      <c r="M1339" s="15"/>
      <c r="N1339" s="15"/>
      <c r="O1339" s="15"/>
      <c r="P1339" s="15"/>
      <c r="Q1339" s="15"/>
      <c r="R1339" s="14"/>
      <c r="S1339" s="31"/>
      <c r="T1339" s="13"/>
    </row>
    <row r="1340" spans="1:20" x14ac:dyDescent="0.25">
      <c r="A1340" s="13"/>
      <c r="B1340" s="13"/>
      <c r="C1340" s="13"/>
      <c r="D1340" s="13"/>
      <c r="E1340" s="20"/>
      <c r="F1340" s="20"/>
      <c r="G1340" s="33"/>
      <c r="H1340" s="13"/>
      <c r="I1340" s="13"/>
      <c r="J1340" s="14"/>
      <c r="K1340" s="15"/>
      <c r="L1340" s="15"/>
      <c r="M1340" s="15"/>
      <c r="N1340" s="15"/>
      <c r="O1340" s="15"/>
      <c r="P1340" s="15"/>
      <c r="Q1340" s="15"/>
      <c r="R1340" s="14"/>
      <c r="S1340" s="31"/>
      <c r="T1340" s="13"/>
    </row>
    <row r="1341" spans="1:20" x14ac:dyDescent="0.25">
      <c r="B1341" s="54" t="s">
        <v>14</v>
      </c>
      <c r="C1341" s="55"/>
      <c r="D1341" s="13"/>
      <c r="E1341" s="8"/>
      <c r="F1341" s="37"/>
      <c r="G1341" s="37"/>
      <c r="H1341" s="37"/>
      <c r="I1341" s="37"/>
      <c r="J1341" s="28"/>
      <c r="K1341" s="3"/>
      <c r="R1341" s="4" t="s">
        <v>26</v>
      </c>
      <c r="S1341" s="39" t="s">
        <v>15</v>
      </c>
      <c r="T1341" s="8"/>
    </row>
    <row r="1342" spans="1:20" x14ac:dyDescent="0.25">
      <c r="B1342" s="50" t="s">
        <v>24</v>
      </c>
      <c r="C1342" s="45">
        <f>Tabela174681012142230322681619252731333624210121416182426283038402481012141620222628303234362426810121424610122426244262628262681026286236[[#Totals],[Pedido Inicial]]</f>
        <v>456890.30000000331</v>
      </c>
      <c r="D1342" s="13"/>
      <c r="E1342" s="8"/>
      <c r="F1342" s="41"/>
      <c r="G1342" s="41"/>
      <c r="H1342" s="34"/>
      <c r="I1342" s="34"/>
      <c r="J1342" s="34"/>
      <c r="K1342" s="5"/>
      <c r="R1342" s="58" t="s">
        <v>28</v>
      </c>
      <c r="S1342" s="59">
        <f>COUNTIF(Tabela174681012142230322681619252731333624210121416182426283038402481012141620222628303234362426810121424610122426244262628262681026286236[Status],Tabela25791113152331333791720262832343735311131517192527293139413591113151721232729313335373537911131535711133537345373739373791137397337[[#This Row],[STATUS]])</f>
        <v>1281</v>
      </c>
      <c r="T1342" s="8"/>
    </row>
    <row r="1343" spans="1:20" x14ac:dyDescent="0.25">
      <c r="B1343" s="50" t="s">
        <v>25</v>
      </c>
      <c r="C1343" s="45">
        <f>Tabela174681012142230322681619252731333624210121416182426283038402481012141620222628303234362426810121424610122426244262628262681026286236[[#Totals],[Pedido Final]]</f>
        <v>448660.18000000337</v>
      </c>
      <c r="D1343" s="13"/>
      <c r="E1343" s="8"/>
      <c r="F1343" s="41"/>
      <c r="G1343" s="41"/>
      <c r="H1343" s="34"/>
      <c r="I1343" s="34"/>
      <c r="J1343" s="34"/>
      <c r="K1343" s="5"/>
      <c r="Q1343" s="8"/>
      <c r="R1343" s="58" t="s">
        <v>11</v>
      </c>
      <c r="S1343" s="59">
        <f>COUNTIF(Tabela174681012142230322681619252731333624210121416182426283038402481012141620222628303234362426810121424610122426244262628262681026286236[Status],Tabela25791113152331333791720262832343735311131517192527293139413591113151721232729313335373537911131535711133537345373739373791137397337[[#This Row],[STATUS]])</f>
        <v>44</v>
      </c>
      <c r="T1343" s="8"/>
    </row>
    <row r="1344" spans="1:20" x14ac:dyDescent="0.25">
      <c r="B1344" s="51" t="str">
        <f>_xlfn.CONCAT("ECONOMIA"," ",ROUND(C1344/C1342,2)*100,"%")</f>
        <v>ECONOMIA 2%</v>
      </c>
      <c r="C1344" s="46">
        <f>SUM(C1342-C1343)</f>
        <v>8230.1199999999371</v>
      </c>
      <c r="D1344" s="13"/>
      <c r="E1344" s="8"/>
      <c r="F1344" s="41"/>
      <c r="G1344" s="41"/>
      <c r="H1344" s="36"/>
      <c r="I1344" s="36"/>
      <c r="J1344" s="38"/>
      <c r="K1344" s="36"/>
      <c r="Q1344" s="35"/>
      <c r="R1344" s="58" t="s">
        <v>12</v>
      </c>
      <c r="S1344" s="59">
        <f>COUNTIF(Tabela174681012142230322681619252731333624210121416182426283038402481012141620222628303234362426810121424610122426244262628262681026286236[Status],Tabela25791113152331333791720262832343735311131517192527293139413591113151721232729313335373537911131535711133537345373739373791137397337[[#This Row],[STATUS]])</f>
        <v>9</v>
      </c>
      <c r="T1344" s="8"/>
    </row>
    <row r="1345" spans="1:20" x14ac:dyDescent="0.25">
      <c r="B1345" s="51" t="str">
        <f>_xlfn.CONCAT("HPOD"," ",ROUND(C1345/C1344,2)*100,"%")</f>
        <v>HPOD 12%</v>
      </c>
      <c r="C1345" s="46">
        <f>C1344*12%</f>
        <v>987.61439999999243</v>
      </c>
      <c r="D1345" s="13"/>
      <c r="E1345" s="8"/>
      <c r="F1345" s="41"/>
      <c r="G1345" s="41"/>
      <c r="H1345" s="36"/>
      <c r="I1345" s="36"/>
      <c r="J1345" s="38"/>
      <c r="K1345" s="36"/>
      <c r="R1345" s="6" t="s">
        <v>27</v>
      </c>
      <c r="S1345" s="40">
        <f>SUBTOTAL(109,Tabela25791113152331333791720262832343735311131517192527293139413591113151721232729313335373537911131535711133537345373739373791137397337[Coluna1])</f>
        <v>1334</v>
      </c>
      <c r="T1345" s="8"/>
    </row>
    <row r="1346" spans="1:20" x14ac:dyDescent="0.25">
      <c r="C1346" s="47"/>
      <c r="D1346" s="13"/>
      <c r="T1346" s="6"/>
    </row>
    <row r="1347" spans="1:20" x14ac:dyDescent="0.25">
      <c r="O1347" s="35"/>
    </row>
    <row r="1348" spans="1:20" x14ac:dyDescent="0.25">
      <c r="A1348" s="26"/>
      <c r="B1348" s="12"/>
      <c r="C1348" s="12"/>
      <c r="D1348" s="12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</row>
    <row r="1349" spans="1:20" x14ac:dyDescent="0.25">
      <c r="A1349" s="26"/>
      <c r="B1349" s="12"/>
      <c r="C1349" s="12"/>
      <c r="D1349" s="12"/>
      <c r="E1349" s="27"/>
      <c r="F1349" s="27"/>
      <c r="G1349" s="27"/>
      <c r="H1349" s="27"/>
      <c r="I1349" s="27"/>
      <c r="J1349" s="27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</row>
    <row r="1350" spans="1:20" x14ac:dyDescent="0.25">
      <c r="A1350" s="26"/>
      <c r="B1350" s="12"/>
      <c r="C1350" s="12"/>
      <c r="D1350" s="12"/>
      <c r="E1350" s="28"/>
      <c r="F1350" s="28"/>
      <c r="G1350" s="28"/>
      <c r="H1350" s="28"/>
      <c r="I1350" s="28"/>
      <c r="J1350" s="28"/>
      <c r="K1350" s="27"/>
      <c r="L1350" s="26"/>
      <c r="M1350" s="26"/>
      <c r="N1350" s="26"/>
      <c r="O1350" s="26"/>
      <c r="P1350" s="26"/>
      <c r="Q1350" s="26"/>
      <c r="R1350" s="26"/>
      <c r="S1350" s="26"/>
      <c r="T1350" s="26"/>
    </row>
    <row r="1351" spans="1:20" x14ac:dyDescent="0.25">
      <c r="A1351" s="26"/>
      <c r="B1351" s="12"/>
      <c r="C1351" s="12"/>
      <c r="D1351" s="12"/>
      <c r="E1351" s="28"/>
      <c r="F1351" s="28"/>
      <c r="G1351" s="28"/>
      <c r="H1351" s="28"/>
      <c r="I1351" s="28"/>
      <c r="J1351" s="28"/>
      <c r="K1351" s="27"/>
      <c r="L1351" s="26"/>
      <c r="M1351" s="26"/>
      <c r="N1351" s="26"/>
      <c r="O1351" s="26"/>
      <c r="P1351" s="26"/>
      <c r="Q1351" s="26"/>
      <c r="R1351" s="26"/>
      <c r="S1351" s="26"/>
      <c r="T1351" s="26"/>
    </row>
    <row r="1352" spans="1:20" x14ac:dyDescent="0.25">
      <c r="A1352" s="26"/>
      <c r="B1352" s="12"/>
      <c r="C1352" s="12"/>
      <c r="D1352" s="12"/>
      <c r="E1352" s="28"/>
      <c r="F1352" s="28"/>
      <c r="G1352" s="28"/>
      <c r="H1352" s="28"/>
      <c r="I1352" s="28"/>
      <c r="J1352" s="28"/>
      <c r="K1352" s="27"/>
      <c r="L1352" s="26"/>
      <c r="M1352" s="26"/>
      <c r="N1352" s="26"/>
      <c r="O1352" s="26"/>
      <c r="P1352" s="29"/>
      <c r="Q1352" s="26"/>
      <c r="R1352" s="26"/>
      <c r="S1352" s="26"/>
      <c r="T1352" s="26"/>
    </row>
    <row r="1353" spans="1:20" x14ac:dyDescent="0.25">
      <c r="A1353" s="26"/>
      <c r="B1353" s="12"/>
      <c r="C1353" s="12"/>
      <c r="D1353" s="12"/>
      <c r="E1353" s="26"/>
      <c r="F1353" s="26"/>
      <c r="G1353" s="26"/>
      <c r="H1353" s="26"/>
      <c r="I1353" s="26"/>
      <c r="J1353" s="26"/>
      <c r="K1353" s="27"/>
      <c r="L1353" s="26"/>
      <c r="M1353" s="26"/>
      <c r="N1353" s="26"/>
      <c r="O1353" s="26"/>
      <c r="P1353" s="26"/>
      <c r="Q1353" s="26"/>
      <c r="R1353" s="26"/>
      <c r="S1353" s="26"/>
      <c r="T1353" s="26"/>
    </row>
    <row r="1354" spans="1:20" x14ac:dyDescent="0.25">
      <c r="A1354" s="26"/>
      <c r="B1354" s="12"/>
      <c r="C1354" s="12"/>
      <c r="D1354" s="12"/>
      <c r="E1354" s="28"/>
      <c r="F1354" s="28"/>
      <c r="G1354" s="28"/>
      <c r="H1354" s="28"/>
      <c r="I1354" s="28"/>
      <c r="J1354" s="28"/>
      <c r="K1354" s="29"/>
      <c r="L1354" s="26"/>
      <c r="M1354" s="26"/>
      <c r="N1354" s="26"/>
      <c r="O1354" s="26"/>
      <c r="P1354" s="26"/>
      <c r="Q1354" s="26"/>
      <c r="R1354" s="26"/>
      <c r="S1354" s="26"/>
      <c r="T1354" s="26"/>
    </row>
    <row r="1355" spans="1:20" x14ac:dyDescent="0.25">
      <c r="A1355" s="26"/>
      <c r="B1355" s="12"/>
      <c r="C1355" s="12"/>
      <c r="D1355" s="12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</row>
    <row r="1356" spans="1:20" x14ac:dyDescent="0.25">
      <c r="A1356" s="26"/>
      <c r="B1356" s="12"/>
      <c r="C1356" s="12"/>
      <c r="D1356" s="12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9"/>
    </row>
    <row r="1357" spans="1:20" x14ac:dyDescent="0.25">
      <c r="A1357" s="26"/>
      <c r="B1357" s="12"/>
      <c r="C1357" s="12"/>
      <c r="D1357" s="12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</row>
    <row r="1358" spans="1:20" x14ac:dyDescent="0.25">
      <c r="A1358" s="26"/>
      <c r="B1358" s="12"/>
      <c r="C1358" s="12"/>
      <c r="D1358" s="12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</row>
    <row r="1359" spans="1:20" x14ac:dyDescent="0.25">
      <c r="A1359" s="26"/>
      <c r="B1359" s="12"/>
      <c r="C1359" s="12"/>
      <c r="D1359" s="12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</row>
    <row r="1360" spans="1:20" x14ac:dyDescent="0.25">
      <c r="A1360" s="26"/>
      <c r="B1360" s="12"/>
      <c r="C1360" s="12"/>
      <c r="D1360" s="12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</row>
    <row r="1361" spans="1:20" x14ac:dyDescent="0.25">
      <c r="A1361" s="26"/>
      <c r="B1361" s="12"/>
      <c r="C1361" s="12"/>
      <c r="D1361" s="12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</row>
    <row r="1362" spans="1:20" x14ac:dyDescent="0.25">
      <c r="T1362" s="26"/>
    </row>
    <row r="1363" spans="1:20" x14ac:dyDescent="0.25">
      <c r="E1363" s="32"/>
      <c r="F1363" s="32"/>
      <c r="G1363" s="32"/>
      <c r="H1363" s="32"/>
      <c r="I1363" s="32"/>
      <c r="J1363" s="32"/>
    </row>
    <row r="1364" spans="1:20" x14ac:dyDescent="0.25">
      <c r="E1364" s="32"/>
      <c r="F1364" s="32"/>
      <c r="G1364" s="32"/>
      <c r="H1364" s="32"/>
      <c r="I1364" s="32"/>
      <c r="J1364" s="32"/>
    </row>
  </sheetData>
  <mergeCells count="1">
    <mergeCell ref="A2:T2"/>
  </mergeCells>
  <phoneticPr fontId="23" type="noConversion"/>
  <conditionalFormatting sqref="A1:A1048576">
    <cfRule type="duplicateValues" dxfId="77" priority="172"/>
    <cfRule type="duplicateValues" dxfId="76" priority="173"/>
  </conditionalFormatting>
  <conditionalFormatting sqref="B1:B1048576">
    <cfRule type="duplicateValues" dxfId="75" priority="178"/>
  </conditionalFormatting>
  <conditionalFormatting sqref="B1342:C13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{F6AF2553-B8C3-4AE3-A7C4-7CEB3C371CC4}</x14:id>
        </ext>
      </extLst>
    </cfRule>
  </conditionalFormatting>
  <conditionalFormatting sqref="H1342:J1343 F1342:G134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{A00C3F27-464B-4797-8E74-CA638B7FEE7E}</x14:id>
        </ext>
      </extLst>
    </cfRule>
  </conditionalFormatting>
  <conditionalFormatting sqref="R1342:S134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{D46843D3-926A-41CA-BBB0-5823EED340B7}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ignoredErrors>
    <ignoredError sqref="S14:S1210" calculatedColumn="1"/>
  </ignoredErrors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AF2553-B8C3-4AE3-A7C4-7CEB3C371C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B1342:C1345</xm:sqref>
        </x14:conditionalFormatting>
        <x14:conditionalFormatting xmlns:xm="http://schemas.microsoft.com/office/excel/2006/main">
          <x14:cfRule type="dataBar" id="{A00C3F27-464B-4797-8E74-CA638B7FEE7E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H1342:J1343 F1342:G1345</xm:sqref>
        </x14:conditionalFormatting>
        <x14:conditionalFormatting xmlns:xm="http://schemas.microsoft.com/office/excel/2006/main">
          <x14:cfRule type="dataBar" id="{D46843D3-926A-41CA-BBB0-5823EED34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R1342:S1344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B4F2-D02A-4E94-8EFB-6F1C34904288}">
  <sheetPr>
    <tabColor rgb="FF92D050"/>
    <pageSetUpPr fitToPage="1"/>
  </sheetPr>
  <dimension ref="A1:BL1364"/>
  <sheetViews>
    <sheetView tabSelected="1" topLeftCell="D1" zoomScaleNormal="100" workbookViewId="0">
      <selection activeCell="T3" sqref="T3"/>
    </sheetView>
  </sheetViews>
  <sheetFormatPr defaultColWidth="9.140625" defaultRowHeight="15" x14ac:dyDescent="0.25"/>
  <cols>
    <col min="1" max="1" width="7.28515625" style="1" bestFit="1" customWidth="1"/>
    <col min="2" max="2" width="33.140625" style="3" bestFit="1" customWidth="1"/>
    <col min="3" max="3" width="26.28515625" style="3" bestFit="1" customWidth="1"/>
    <col min="4" max="4" width="39.85546875" style="3" bestFit="1" customWidth="1"/>
    <col min="5" max="5" width="11.7109375" style="1" bestFit="1" customWidth="1"/>
    <col min="6" max="6" width="13.5703125" style="1" bestFit="1" customWidth="1"/>
    <col min="7" max="7" width="9.140625" style="1" customWidth="1"/>
    <col min="8" max="8" width="3.5703125" style="1" customWidth="1"/>
    <col min="9" max="9" width="2.28515625" style="1" customWidth="1"/>
    <col min="10" max="10" width="15.5703125" style="1" bestFit="1" customWidth="1"/>
    <col min="11" max="11" width="9.42578125" style="1" hidden="1" customWidth="1"/>
    <col min="12" max="12" width="15.42578125" style="1" hidden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8.85546875" style="1" bestFit="1" customWidth="1"/>
    <col min="19" max="19" width="17.7109375" style="1" bestFit="1" customWidth="1"/>
    <col min="20" max="20" width="4" style="1" bestFit="1" customWidth="1"/>
    <col min="21" max="64" width="8.7109375" style="8" customWidth="1"/>
    <col min="65" max="239" width="8.7109375" style="7" customWidth="1"/>
    <col min="240" max="16384" width="9.140625" style="7"/>
  </cols>
  <sheetData>
    <row r="1" spans="1:64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</row>
    <row r="2" spans="1:64" s="1" customFormat="1" ht="38.450000000000003" customHeight="1" x14ac:dyDescent="0.25">
      <c r="A2" s="69" t="s">
        <v>4192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</row>
    <row r="3" spans="1:64" s="1" customFormat="1" ht="24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</row>
    <row r="4" spans="1:64" s="26" customFormat="1" x14ac:dyDescent="0.25">
      <c r="A4" s="16">
        <v>223380</v>
      </c>
      <c r="B4" s="43" t="s">
        <v>1129</v>
      </c>
      <c r="C4" s="20" t="s">
        <v>1257</v>
      </c>
      <c r="D4" s="20" t="s">
        <v>1260</v>
      </c>
      <c r="E4" s="17" t="s">
        <v>1547</v>
      </c>
      <c r="F4" s="17" t="s">
        <v>1548</v>
      </c>
      <c r="G4" s="21">
        <v>18.8</v>
      </c>
      <c r="H4" s="16">
        <v>22</v>
      </c>
      <c r="I4" s="16">
        <v>5</v>
      </c>
      <c r="J4" s="17">
        <v>319.60000000000002</v>
      </c>
      <c r="K4" s="57"/>
      <c r="L4" s="57"/>
      <c r="M4" s="23">
        <v>0</v>
      </c>
      <c r="N4" s="19">
        <v>37.6</v>
      </c>
      <c r="O4" s="19">
        <v>-94</v>
      </c>
      <c r="P4" s="48">
        <v>94</v>
      </c>
      <c r="Q4" s="17">
        <v>0</v>
      </c>
      <c r="R4" s="24">
        <v>319.60000000000002</v>
      </c>
      <c r="S4" s="18" t="s">
        <v>28</v>
      </c>
      <c r="T4" s="25">
        <v>1</v>
      </c>
    </row>
    <row r="5" spans="1:64" s="26" customFormat="1" x14ac:dyDescent="0.25">
      <c r="A5" s="16">
        <v>226767</v>
      </c>
      <c r="B5" s="30" t="s">
        <v>31</v>
      </c>
      <c r="C5" s="20" t="s">
        <v>618</v>
      </c>
      <c r="D5" s="20" t="s">
        <v>666</v>
      </c>
      <c r="E5" s="56" t="s">
        <v>1549</v>
      </c>
      <c r="F5" s="56" t="s">
        <v>1550</v>
      </c>
      <c r="G5" s="21">
        <v>18.8</v>
      </c>
      <c r="H5" s="16">
        <v>22</v>
      </c>
      <c r="I5" s="16"/>
      <c r="J5" s="17">
        <v>413.6</v>
      </c>
      <c r="K5" s="22"/>
      <c r="L5" s="23"/>
      <c r="M5" s="23">
        <v>0</v>
      </c>
      <c r="N5" s="19">
        <v>37.6</v>
      </c>
      <c r="O5" s="19">
        <v>-94</v>
      </c>
      <c r="P5" s="48">
        <v>94</v>
      </c>
      <c r="Q5" s="17">
        <v>0</v>
      </c>
      <c r="R5" s="24">
        <v>413.6</v>
      </c>
      <c r="S5" s="18" t="s">
        <v>28</v>
      </c>
      <c r="T5" s="25">
        <v>1</v>
      </c>
    </row>
    <row r="6" spans="1:64" s="26" customFormat="1" x14ac:dyDescent="0.25">
      <c r="A6" s="16">
        <v>234666</v>
      </c>
      <c r="B6" s="30" t="s">
        <v>1339</v>
      </c>
      <c r="C6" s="20" t="s">
        <v>618</v>
      </c>
      <c r="D6" s="20" t="s">
        <v>666</v>
      </c>
      <c r="E6" s="56" t="s">
        <v>1551</v>
      </c>
      <c r="F6" s="17" t="s">
        <v>4182</v>
      </c>
      <c r="G6" s="21">
        <v>18.8</v>
      </c>
      <c r="H6" s="16">
        <v>22</v>
      </c>
      <c r="I6" s="16"/>
      <c r="J6" s="17">
        <v>413.6</v>
      </c>
      <c r="K6" s="22"/>
      <c r="L6" s="23"/>
      <c r="M6" s="23">
        <v>0</v>
      </c>
      <c r="N6" s="19">
        <v>37.6</v>
      </c>
      <c r="O6" s="19">
        <v>-94</v>
      </c>
      <c r="P6" s="48">
        <v>94</v>
      </c>
      <c r="Q6" s="17">
        <v>0</v>
      </c>
      <c r="R6" s="24">
        <v>413.6</v>
      </c>
      <c r="S6" s="18" t="s">
        <v>28</v>
      </c>
      <c r="T6" s="25">
        <v>1</v>
      </c>
    </row>
    <row r="7" spans="1:64" s="26" customFormat="1" x14ac:dyDescent="0.25">
      <c r="A7" s="16">
        <v>219159</v>
      </c>
      <c r="B7" s="30" t="s">
        <v>1130</v>
      </c>
      <c r="C7" s="20" t="s">
        <v>619</v>
      </c>
      <c r="D7" s="20" t="s">
        <v>667</v>
      </c>
      <c r="E7" s="56" t="s">
        <v>1552</v>
      </c>
      <c r="F7" s="17" t="s">
        <v>1553</v>
      </c>
      <c r="G7" s="21">
        <v>18.8</v>
      </c>
      <c r="H7" s="16">
        <v>15</v>
      </c>
      <c r="I7" s="16"/>
      <c r="J7" s="17">
        <v>282</v>
      </c>
      <c r="K7" s="22"/>
      <c r="L7" s="23"/>
      <c r="M7" s="23">
        <v>0</v>
      </c>
      <c r="N7" s="19">
        <v>37.6</v>
      </c>
      <c r="O7" s="19">
        <v>-94</v>
      </c>
      <c r="P7" s="48">
        <v>94</v>
      </c>
      <c r="Q7" s="17">
        <v>0</v>
      </c>
      <c r="R7" s="24">
        <v>282</v>
      </c>
      <c r="S7" s="18" t="s">
        <v>28</v>
      </c>
      <c r="T7" s="25">
        <v>1</v>
      </c>
    </row>
    <row r="8" spans="1:64" s="26" customFormat="1" x14ac:dyDescent="0.25">
      <c r="A8" s="16">
        <v>222999</v>
      </c>
      <c r="B8" s="30" t="s">
        <v>32</v>
      </c>
      <c r="C8" s="20" t="s">
        <v>619</v>
      </c>
      <c r="D8" s="20" t="s">
        <v>667</v>
      </c>
      <c r="E8" s="56" t="s">
        <v>1554</v>
      </c>
      <c r="F8" s="17" t="s">
        <v>1555</v>
      </c>
      <c r="G8" s="21">
        <v>13.4</v>
      </c>
      <c r="H8" s="16">
        <v>15</v>
      </c>
      <c r="I8" s="16"/>
      <c r="J8" s="17">
        <v>201</v>
      </c>
      <c r="K8" s="22"/>
      <c r="L8" s="23"/>
      <c r="M8" s="23">
        <v>0</v>
      </c>
      <c r="N8" s="19">
        <v>26.8</v>
      </c>
      <c r="O8" s="19">
        <v>-67</v>
      </c>
      <c r="P8" s="48">
        <v>67</v>
      </c>
      <c r="Q8" s="17">
        <v>0</v>
      </c>
      <c r="R8" s="24">
        <v>201</v>
      </c>
      <c r="S8" s="18" t="s">
        <v>28</v>
      </c>
      <c r="T8" s="25">
        <v>1</v>
      </c>
    </row>
    <row r="9" spans="1:64" s="26" customFormat="1" x14ac:dyDescent="0.25">
      <c r="A9" s="16">
        <v>209079</v>
      </c>
      <c r="B9" s="30" t="s">
        <v>362</v>
      </c>
      <c r="C9" s="20" t="s">
        <v>620</v>
      </c>
      <c r="D9" s="20" t="s">
        <v>668</v>
      </c>
      <c r="E9" s="56" t="s">
        <v>1556</v>
      </c>
      <c r="F9" s="17" t="s">
        <v>1557</v>
      </c>
      <c r="G9" s="21">
        <v>13.4</v>
      </c>
      <c r="H9" s="16">
        <v>26</v>
      </c>
      <c r="I9" s="16"/>
      <c r="J9" s="17">
        <v>348.40000000000003</v>
      </c>
      <c r="K9" s="22"/>
      <c r="L9" s="23"/>
      <c r="M9" s="23">
        <v>0</v>
      </c>
      <c r="N9" s="19">
        <v>26.8</v>
      </c>
      <c r="O9" s="19">
        <v>-67</v>
      </c>
      <c r="P9" s="48">
        <v>67</v>
      </c>
      <c r="Q9" s="17">
        <v>0</v>
      </c>
      <c r="R9" s="24">
        <v>348.40000000000003</v>
      </c>
      <c r="S9" s="18" t="s">
        <v>28</v>
      </c>
      <c r="T9" s="25">
        <v>1</v>
      </c>
    </row>
    <row r="10" spans="1:64" s="26" customFormat="1" x14ac:dyDescent="0.25">
      <c r="A10" s="16">
        <v>210066</v>
      </c>
      <c r="B10" s="30" t="s">
        <v>34</v>
      </c>
      <c r="C10" s="20" t="s">
        <v>620</v>
      </c>
      <c r="D10" s="20" t="s">
        <v>668</v>
      </c>
      <c r="E10" s="56" t="s">
        <v>1558</v>
      </c>
      <c r="F10" s="17" t="s">
        <v>1559</v>
      </c>
      <c r="G10" s="21">
        <v>13.4</v>
      </c>
      <c r="H10" s="16">
        <v>26</v>
      </c>
      <c r="I10" s="16"/>
      <c r="J10" s="17">
        <v>348.40000000000003</v>
      </c>
      <c r="K10" s="22"/>
      <c r="L10" s="23"/>
      <c r="M10" s="23">
        <v>0</v>
      </c>
      <c r="N10" s="19">
        <v>26.8</v>
      </c>
      <c r="O10" s="19">
        <v>-67</v>
      </c>
      <c r="P10" s="48">
        <v>67</v>
      </c>
      <c r="Q10" s="17">
        <v>0</v>
      </c>
      <c r="R10" s="24">
        <v>348.40000000000003</v>
      </c>
      <c r="S10" s="18" t="s">
        <v>28</v>
      </c>
      <c r="T10" s="25">
        <v>1</v>
      </c>
    </row>
    <row r="11" spans="1:64" s="26" customFormat="1" x14ac:dyDescent="0.25">
      <c r="A11" s="16">
        <v>204017</v>
      </c>
      <c r="B11" s="30" t="s">
        <v>35</v>
      </c>
      <c r="C11" s="20" t="s">
        <v>621</v>
      </c>
      <c r="D11" s="20" t="s">
        <v>669</v>
      </c>
      <c r="E11" s="56" t="s">
        <v>1560</v>
      </c>
      <c r="F11" s="17" t="s">
        <v>1561</v>
      </c>
      <c r="G11" s="21">
        <v>13.4</v>
      </c>
      <c r="H11" s="16">
        <v>26</v>
      </c>
      <c r="I11" s="16"/>
      <c r="J11" s="17">
        <v>348.40000000000003</v>
      </c>
      <c r="K11" s="22"/>
      <c r="L11" s="23"/>
      <c r="M11" s="23">
        <v>0</v>
      </c>
      <c r="N11" s="19">
        <v>26.8</v>
      </c>
      <c r="O11" s="19">
        <v>-67</v>
      </c>
      <c r="P11" s="48">
        <v>67</v>
      </c>
      <c r="Q11" s="17">
        <v>0</v>
      </c>
      <c r="R11" s="24">
        <v>348.40000000000003</v>
      </c>
      <c r="S11" s="18" t="s">
        <v>28</v>
      </c>
      <c r="T11" s="25">
        <v>1</v>
      </c>
    </row>
    <row r="12" spans="1:64" s="26" customFormat="1" x14ac:dyDescent="0.25">
      <c r="A12" s="16">
        <v>208586</v>
      </c>
      <c r="B12" s="30" t="s">
        <v>36</v>
      </c>
      <c r="C12" s="20" t="s">
        <v>621</v>
      </c>
      <c r="D12" s="20" t="s">
        <v>669</v>
      </c>
      <c r="E12" s="56" t="s">
        <v>1562</v>
      </c>
      <c r="F12" s="17" t="s">
        <v>1563</v>
      </c>
      <c r="G12" s="21">
        <v>13.4</v>
      </c>
      <c r="H12" s="16">
        <v>26</v>
      </c>
      <c r="I12" s="16"/>
      <c r="J12" s="17">
        <v>348.40000000000003</v>
      </c>
      <c r="K12" s="22"/>
      <c r="L12" s="23"/>
      <c r="M12" s="23">
        <v>0</v>
      </c>
      <c r="N12" s="19">
        <v>26.8</v>
      </c>
      <c r="O12" s="19">
        <v>-67</v>
      </c>
      <c r="P12" s="48">
        <v>67</v>
      </c>
      <c r="Q12" s="17">
        <v>0</v>
      </c>
      <c r="R12" s="24">
        <v>348.40000000000003</v>
      </c>
      <c r="S12" s="18" t="s">
        <v>28</v>
      </c>
      <c r="T12" s="25">
        <v>1</v>
      </c>
    </row>
    <row r="13" spans="1:64" s="26" customFormat="1" x14ac:dyDescent="0.25">
      <c r="A13" s="16">
        <v>215074</v>
      </c>
      <c r="B13" s="30" t="s">
        <v>37</v>
      </c>
      <c r="C13" s="20" t="s">
        <v>621</v>
      </c>
      <c r="D13" s="20" t="s">
        <v>670</v>
      </c>
      <c r="E13" s="56" t="s">
        <v>1564</v>
      </c>
      <c r="F13" s="17" t="s">
        <v>1565</v>
      </c>
      <c r="G13" s="21">
        <v>13.4</v>
      </c>
      <c r="H13" s="16">
        <v>22</v>
      </c>
      <c r="I13" s="16"/>
      <c r="J13" s="17">
        <v>294.8</v>
      </c>
      <c r="K13" s="22"/>
      <c r="L13" s="23"/>
      <c r="M13" s="23">
        <v>0</v>
      </c>
      <c r="N13" s="19">
        <v>26.8</v>
      </c>
      <c r="O13" s="19">
        <v>-67</v>
      </c>
      <c r="P13" s="48">
        <v>67</v>
      </c>
      <c r="Q13" s="17">
        <v>0</v>
      </c>
      <c r="R13" s="24">
        <v>294.8</v>
      </c>
      <c r="S13" s="18" t="s">
        <v>28</v>
      </c>
      <c r="T13" s="25">
        <v>1</v>
      </c>
    </row>
    <row r="14" spans="1:64" s="26" customFormat="1" x14ac:dyDescent="0.25">
      <c r="A14" s="16">
        <v>217049</v>
      </c>
      <c r="B14" s="30" t="s">
        <v>1131</v>
      </c>
      <c r="C14" s="20" t="s">
        <v>621</v>
      </c>
      <c r="D14" s="20" t="s">
        <v>669</v>
      </c>
      <c r="E14" s="56" t="s">
        <v>1566</v>
      </c>
      <c r="F14" s="17" t="s">
        <v>1567</v>
      </c>
      <c r="G14" s="21">
        <v>13.4</v>
      </c>
      <c r="H14" s="16">
        <v>26</v>
      </c>
      <c r="I14" s="16"/>
      <c r="J14" s="17">
        <v>348.40000000000003</v>
      </c>
      <c r="K14" s="22"/>
      <c r="L14" s="23">
        <v>217.85</v>
      </c>
      <c r="M14" s="23">
        <v>217.85</v>
      </c>
      <c r="N14" s="19">
        <v>26.8</v>
      </c>
      <c r="O14" s="19">
        <v>150.85</v>
      </c>
      <c r="P14" s="48">
        <v>67</v>
      </c>
      <c r="Q14" s="17">
        <v>150.85</v>
      </c>
      <c r="R14" s="24">
        <v>197.55000000000004</v>
      </c>
      <c r="S14" s="18" t="s">
        <v>11</v>
      </c>
      <c r="T14" s="25">
        <v>1</v>
      </c>
    </row>
    <row r="15" spans="1:64" s="26" customFormat="1" x14ac:dyDescent="0.25">
      <c r="A15" s="16">
        <v>218058</v>
      </c>
      <c r="B15" s="30" t="s">
        <v>1021</v>
      </c>
      <c r="C15" s="20" t="s">
        <v>621</v>
      </c>
      <c r="D15" s="20" t="s">
        <v>669</v>
      </c>
      <c r="E15" s="56" t="s">
        <v>1568</v>
      </c>
      <c r="F15" s="17" t="s">
        <v>1569</v>
      </c>
      <c r="G15" s="21">
        <v>13.4</v>
      </c>
      <c r="H15" s="16">
        <v>26</v>
      </c>
      <c r="I15" s="16"/>
      <c r="J15" s="17">
        <v>348.40000000000003</v>
      </c>
      <c r="K15" s="22"/>
      <c r="L15" s="23"/>
      <c r="M15" s="23">
        <v>0</v>
      </c>
      <c r="N15" s="19">
        <v>26.8</v>
      </c>
      <c r="O15" s="19">
        <v>-67</v>
      </c>
      <c r="P15" s="48">
        <v>67</v>
      </c>
      <c r="Q15" s="17">
        <v>0</v>
      </c>
      <c r="R15" s="24">
        <v>348.40000000000003</v>
      </c>
      <c r="S15" s="18" t="s">
        <v>28</v>
      </c>
      <c r="T15" s="25">
        <v>1</v>
      </c>
    </row>
    <row r="16" spans="1:64" s="26" customFormat="1" x14ac:dyDescent="0.25">
      <c r="A16" s="65">
        <v>100154</v>
      </c>
      <c r="B16" s="30" t="s">
        <v>38</v>
      </c>
      <c r="C16" s="20" t="s">
        <v>622</v>
      </c>
      <c r="D16" s="20" t="s">
        <v>671</v>
      </c>
      <c r="E16" s="56" t="s">
        <v>1570</v>
      </c>
      <c r="F16" s="17" t="s">
        <v>1571</v>
      </c>
      <c r="G16" s="21">
        <v>18.8</v>
      </c>
      <c r="H16" s="16">
        <v>26</v>
      </c>
      <c r="I16" s="16"/>
      <c r="J16" s="17">
        <v>488.8</v>
      </c>
      <c r="K16" s="22"/>
      <c r="L16" s="23">
        <v>18.8</v>
      </c>
      <c r="M16" s="23">
        <v>18.8</v>
      </c>
      <c r="N16" s="19">
        <v>37.6</v>
      </c>
      <c r="O16" s="19">
        <v>-75.2</v>
      </c>
      <c r="P16" s="48">
        <v>94</v>
      </c>
      <c r="Q16" s="17">
        <v>0</v>
      </c>
      <c r="R16" s="24">
        <v>488.8</v>
      </c>
      <c r="S16" s="18" t="s">
        <v>28</v>
      </c>
      <c r="T16" s="25">
        <v>1</v>
      </c>
    </row>
    <row r="17" spans="1:20" s="26" customFormat="1" x14ac:dyDescent="0.25">
      <c r="A17" s="16">
        <v>100182</v>
      </c>
      <c r="B17" s="30" t="s">
        <v>39</v>
      </c>
      <c r="C17" s="20" t="s">
        <v>622</v>
      </c>
      <c r="D17" s="20" t="s">
        <v>671</v>
      </c>
      <c r="E17" s="56" t="s">
        <v>1572</v>
      </c>
      <c r="F17" s="17" t="s">
        <v>1573</v>
      </c>
      <c r="G17" s="21">
        <v>13.4</v>
      </c>
      <c r="H17" s="16">
        <v>26</v>
      </c>
      <c r="I17" s="16"/>
      <c r="J17" s="17">
        <v>348.40000000000003</v>
      </c>
      <c r="K17" s="22"/>
      <c r="L17" s="23"/>
      <c r="M17" s="23">
        <v>0</v>
      </c>
      <c r="N17" s="19">
        <v>26.8</v>
      </c>
      <c r="O17" s="19">
        <v>-67</v>
      </c>
      <c r="P17" s="48">
        <v>67</v>
      </c>
      <c r="Q17" s="17">
        <v>0</v>
      </c>
      <c r="R17" s="24">
        <v>348.40000000000003</v>
      </c>
      <c r="S17" s="18" t="s">
        <v>28</v>
      </c>
      <c r="T17" s="25">
        <v>1</v>
      </c>
    </row>
    <row r="18" spans="1:20" s="26" customFormat="1" x14ac:dyDescent="0.25">
      <c r="A18" s="16">
        <v>207946</v>
      </c>
      <c r="B18" s="30" t="s">
        <v>288</v>
      </c>
      <c r="C18" s="20" t="s">
        <v>622</v>
      </c>
      <c r="D18" s="20" t="s">
        <v>671</v>
      </c>
      <c r="E18" s="56" t="s">
        <v>1574</v>
      </c>
      <c r="F18" s="17" t="s">
        <v>1575</v>
      </c>
      <c r="G18" s="21">
        <v>13.4</v>
      </c>
      <c r="H18" s="16">
        <v>26</v>
      </c>
      <c r="I18" s="16"/>
      <c r="J18" s="17">
        <v>348.40000000000003</v>
      </c>
      <c r="K18" s="22"/>
      <c r="L18" s="23"/>
      <c r="M18" s="23">
        <v>0</v>
      </c>
      <c r="N18" s="19">
        <v>26.8</v>
      </c>
      <c r="O18" s="19">
        <v>-67</v>
      </c>
      <c r="P18" s="48">
        <v>67</v>
      </c>
      <c r="Q18" s="17">
        <v>0</v>
      </c>
      <c r="R18" s="24">
        <v>348.40000000000003</v>
      </c>
      <c r="S18" s="18" t="s">
        <v>28</v>
      </c>
      <c r="T18" s="25">
        <v>1</v>
      </c>
    </row>
    <row r="19" spans="1:20" s="26" customFormat="1" x14ac:dyDescent="0.25">
      <c r="A19" s="16">
        <v>5260</v>
      </c>
      <c r="B19" s="30" t="s">
        <v>40</v>
      </c>
      <c r="C19" s="20" t="s">
        <v>623</v>
      </c>
      <c r="D19" s="20" t="s">
        <v>672</v>
      </c>
      <c r="E19" s="56" t="s">
        <v>1576</v>
      </c>
      <c r="F19" s="17" t="s">
        <v>1577</v>
      </c>
      <c r="G19" s="21">
        <v>13.4</v>
      </c>
      <c r="H19" s="16">
        <v>26</v>
      </c>
      <c r="I19" s="16"/>
      <c r="J19" s="17">
        <v>348.40000000000003</v>
      </c>
      <c r="K19" s="22"/>
      <c r="L19" s="23">
        <v>600</v>
      </c>
      <c r="M19" s="23">
        <v>600</v>
      </c>
      <c r="N19" s="19">
        <v>26.8</v>
      </c>
      <c r="O19" s="19">
        <v>533</v>
      </c>
      <c r="P19" s="48">
        <v>67</v>
      </c>
      <c r="Q19" s="17">
        <v>533</v>
      </c>
      <c r="R19" s="24">
        <v>0</v>
      </c>
      <c r="S19" s="18" t="s">
        <v>12</v>
      </c>
      <c r="T19" s="25">
        <v>1</v>
      </c>
    </row>
    <row r="20" spans="1:20" s="26" customFormat="1" x14ac:dyDescent="0.25">
      <c r="A20" s="16">
        <v>210151</v>
      </c>
      <c r="B20" s="30" t="s">
        <v>1391</v>
      </c>
      <c r="C20" s="20" t="s">
        <v>623</v>
      </c>
      <c r="D20" s="20" t="s">
        <v>672</v>
      </c>
      <c r="E20" s="20" t="s">
        <v>1578</v>
      </c>
      <c r="F20" s="20" t="s">
        <v>1579</v>
      </c>
      <c r="G20" s="21">
        <v>13.4</v>
      </c>
      <c r="H20" s="16">
        <v>26</v>
      </c>
      <c r="I20" s="16"/>
      <c r="J20" s="17">
        <v>348.40000000000003</v>
      </c>
      <c r="K20" s="22"/>
      <c r="L20" s="23"/>
      <c r="M20" s="23">
        <v>0</v>
      </c>
      <c r="N20" s="19">
        <v>26.8</v>
      </c>
      <c r="O20" s="19">
        <v>-67</v>
      </c>
      <c r="P20" s="48">
        <v>67</v>
      </c>
      <c r="Q20" s="17">
        <v>0</v>
      </c>
      <c r="R20" s="24">
        <v>348.40000000000003</v>
      </c>
      <c r="S20" s="18" t="s">
        <v>28</v>
      </c>
      <c r="T20" s="25">
        <v>1</v>
      </c>
    </row>
    <row r="21" spans="1:20" s="26" customFormat="1" x14ac:dyDescent="0.25">
      <c r="A21" s="16">
        <v>209118</v>
      </c>
      <c r="B21" s="30" t="s">
        <v>41</v>
      </c>
      <c r="C21" s="20" t="s">
        <v>624</v>
      </c>
      <c r="D21" s="20" t="s">
        <v>673</v>
      </c>
      <c r="E21" s="20" t="s">
        <v>1580</v>
      </c>
      <c r="F21" s="20" t="s">
        <v>1581</v>
      </c>
      <c r="G21" s="21">
        <v>13.4</v>
      </c>
      <c r="H21" s="16">
        <v>26</v>
      </c>
      <c r="I21" s="16">
        <v>1</v>
      </c>
      <c r="J21" s="17">
        <v>335</v>
      </c>
      <c r="K21" s="22"/>
      <c r="L21" s="23"/>
      <c r="M21" s="23">
        <v>0</v>
      </c>
      <c r="N21" s="19">
        <v>26.8</v>
      </c>
      <c r="O21" s="19">
        <v>-67</v>
      </c>
      <c r="P21" s="48">
        <v>67</v>
      </c>
      <c r="Q21" s="17">
        <v>0</v>
      </c>
      <c r="R21" s="24">
        <v>335</v>
      </c>
      <c r="S21" s="18" t="s">
        <v>28</v>
      </c>
      <c r="T21" s="25">
        <v>1</v>
      </c>
    </row>
    <row r="22" spans="1:20" s="26" customFormat="1" x14ac:dyDescent="0.25">
      <c r="A22" s="16">
        <v>208951</v>
      </c>
      <c r="B22" s="30" t="s">
        <v>42</v>
      </c>
      <c r="C22" s="20" t="s">
        <v>625</v>
      </c>
      <c r="D22" s="20" t="s">
        <v>674</v>
      </c>
      <c r="E22" s="20" t="s">
        <v>4187</v>
      </c>
      <c r="F22" s="20" t="s">
        <v>4183</v>
      </c>
      <c r="G22" s="21">
        <v>18.8</v>
      </c>
      <c r="H22" s="16">
        <v>0</v>
      </c>
      <c r="I22" s="16"/>
      <c r="J22" s="17">
        <v>0</v>
      </c>
      <c r="K22" s="22"/>
      <c r="L22" s="23"/>
      <c r="M22" s="23">
        <v>0</v>
      </c>
      <c r="N22" s="19">
        <v>37.6</v>
      </c>
      <c r="O22" s="19">
        <v>-94</v>
      </c>
      <c r="P22" s="48">
        <v>94</v>
      </c>
      <c r="Q22" s="17">
        <v>0</v>
      </c>
      <c r="R22" s="24">
        <v>0</v>
      </c>
      <c r="S22" s="18" t="s">
        <v>12</v>
      </c>
      <c r="T22" s="25">
        <v>1</v>
      </c>
    </row>
    <row r="23" spans="1:20" s="26" customFormat="1" x14ac:dyDescent="0.25">
      <c r="A23" s="16">
        <v>209761</v>
      </c>
      <c r="B23" s="30" t="s">
        <v>1022</v>
      </c>
      <c r="C23" s="20" t="s">
        <v>625</v>
      </c>
      <c r="D23" s="20" t="s">
        <v>676</v>
      </c>
      <c r="E23" s="20" t="s">
        <v>1582</v>
      </c>
      <c r="F23" s="20" t="s">
        <v>1583</v>
      </c>
      <c r="G23" s="21">
        <v>18.8</v>
      </c>
      <c r="H23" s="16">
        <v>24</v>
      </c>
      <c r="I23" s="16">
        <v>2</v>
      </c>
      <c r="J23" s="17">
        <v>413.6</v>
      </c>
      <c r="K23" s="22"/>
      <c r="L23" s="23"/>
      <c r="M23" s="23">
        <v>0</v>
      </c>
      <c r="N23" s="19">
        <v>37.6</v>
      </c>
      <c r="O23" s="19">
        <v>-94</v>
      </c>
      <c r="P23" s="48">
        <v>94</v>
      </c>
      <c r="Q23" s="17">
        <v>0</v>
      </c>
      <c r="R23" s="24">
        <v>413.6</v>
      </c>
      <c r="S23" s="18" t="s">
        <v>28</v>
      </c>
      <c r="T23" s="25">
        <v>1</v>
      </c>
    </row>
    <row r="24" spans="1:20" s="26" customFormat="1" x14ac:dyDescent="0.25">
      <c r="A24" s="16">
        <v>212221</v>
      </c>
      <c r="B24" s="30" t="s">
        <v>43</v>
      </c>
      <c r="C24" s="20" t="s">
        <v>625</v>
      </c>
      <c r="D24" s="20" t="s">
        <v>677</v>
      </c>
      <c r="E24" s="20" t="s">
        <v>1584</v>
      </c>
      <c r="F24" s="20" t="s">
        <v>1585</v>
      </c>
      <c r="G24" s="21">
        <v>18.8</v>
      </c>
      <c r="H24" s="16">
        <v>24</v>
      </c>
      <c r="I24" s="16">
        <v>3</v>
      </c>
      <c r="J24" s="17">
        <v>394.8</v>
      </c>
      <c r="K24" s="22"/>
      <c r="L24" s="23"/>
      <c r="M24" s="23">
        <v>0</v>
      </c>
      <c r="N24" s="19">
        <v>37.6</v>
      </c>
      <c r="O24" s="19">
        <v>-94</v>
      </c>
      <c r="P24" s="48">
        <v>94</v>
      </c>
      <c r="Q24" s="17">
        <v>0</v>
      </c>
      <c r="R24" s="24">
        <v>394.8</v>
      </c>
      <c r="S24" s="18" t="s">
        <v>28</v>
      </c>
      <c r="T24" s="25">
        <v>1</v>
      </c>
    </row>
    <row r="25" spans="1:20" s="26" customFormat="1" x14ac:dyDescent="0.25">
      <c r="A25" s="16">
        <v>215364</v>
      </c>
      <c r="B25" s="30" t="s">
        <v>44</v>
      </c>
      <c r="C25" s="20" t="s">
        <v>625</v>
      </c>
      <c r="D25" s="20" t="s">
        <v>675</v>
      </c>
      <c r="E25" s="20" t="s">
        <v>1586</v>
      </c>
      <c r="F25" s="20" t="s">
        <v>1587</v>
      </c>
      <c r="G25" s="21">
        <v>18.8</v>
      </c>
      <c r="H25" s="16">
        <v>24</v>
      </c>
      <c r="I25" s="16">
        <v>1</v>
      </c>
      <c r="J25" s="17">
        <v>432.40000000000003</v>
      </c>
      <c r="K25" s="22"/>
      <c r="L25" s="23"/>
      <c r="M25" s="23">
        <v>0</v>
      </c>
      <c r="N25" s="19">
        <v>37.6</v>
      </c>
      <c r="O25" s="19">
        <v>-94</v>
      </c>
      <c r="P25" s="48">
        <v>94</v>
      </c>
      <c r="Q25" s="17">
        <v>0</v>
      </c>
      <c r="R25" s="24">
        <v>432.40000000000003</v>
      </c>
      <c r="S25" s="18" t="s">
        <v>28</v>
      </c>
      <c r="T25" s="25">
        <v>1</v>
      </c>
    </row>
    <row r="26" spans="1:20" s="26" customFormat="1" x14ac:dyDescent="0.25">
      <c r="A26" s="16">
        <v>215805</v>
      </c>
      <c r="B26" s="30" t="s">
        <v>1132</v>
      </c>
      <c r="C26" s="20" t="s">
        <v>625</v>
      </c>
      <c r="D26" s="20" t="s">
        <v>675</v>
      </c>
      <c r="E26" s="20" t="s">
        <v>1588</v>
      </c>
      <c r="F26" s="20" t="s">
        <v>1589</v>
      </c>
      <c r="G26" s="21">
        <v>18.8</v>
      </c>
      <c r="H26" s="16">
        <v>24</v>
      </c>
      <c r="I26" s="16">
        <v>2</v>
      </c>
      <c r="J26" s="17">
        <v>413.6</v>
      </c>
      <c r="K26" s="22"/>
      <c r="L26" s="23"/>
      <c r="M26" s="23">
        <v>0</v>
      </c>
      <c r="N26" s="19">
        <v>37.6</v>
      </c>
      <c r="O26" s="19">
        <v>-94</v>
      </c>
      <c r="P26" s="48">
        <v>94</v>
      </c>
      <c r="Q26" s="17">
        <v>0</v>
      </c>
      <c r="R26" s="24">
        <v>413.6</v>
      </c>
      <c r="S26" s="18" t="s">
        <v>28</v>
      </c>
      <c r="T26" s="25">
        <v>1</v>
      </c>
    </row>
    <row r="27" spans="1:20" s="26" customFormat="1" x14ac:dyDescent="0.25">
      <c r="A27" s="16">
        <v>218138</v>
      </c>
      <c r="B27" s="30" t="s">
        <v>1023</v>
      </c>
      <c r="C27" s="20" t="s">
        <v>625</v>
      </c>
      <c r="D27" s="20" t="s">
        <v>677</v>
      </c>
      <c r="E27" s="20" t="s">
        <v>1590</v>
      </c>
      <c r="F27" s="20" t="s">
        <v>1591</v>
      </c>
      <c r="G27" s="21">
        <v>18.8</v>
      </c>
      <c r="H27" s="16">
        <v>24</v>
      </c>
      <c r="I27" s="16">
        <v>1</v>
      </c>
      <c r="J27" s="17">
        <v>432.40000000000003</v>
      </c>
      <c r="K27" s="22"/>
      <c r="L27" s="23">
        <v>18.8</v>
      </c>
      <c r="M27" s="23">
        <v>18.8</v>
      </c>
      <c r="N27" s="19">
        <v>37.6</v>
      </c>
      <c r="O27" s="19">
        <v>-75.2</v>
      </c>
      <c r="P27" s="48">
        <v>94</v>
      </c>
      <c r="Q27" s="17">
        <v>0</v>
      </c>
      <c r="R27" s="24">
        <v>432.40000000000003</v>
      </c>
      <c r="S27" s="18" t="s">
        <v>28</v>
      </c>
      <c r="T27" s="25">
        <v>1</v>
      </c>
    </row>
    <row r="28" spans="1:20" s="26" customFormat="1" x14ac:dyDescent="0.25">
      <c r="A28" s="16">
        <v>218175</v>
      </c>
      <c r="B28" s="30" t="s">
        <v>45</v>
      </c>
      <c r="C28" s="20" t="s">
        <v>625</v>
      </c>
      <c r="D28" s="20" t="s">
        <v>677</v>
      </c>
      <c r="E28" s="20" t="s">
        <v>1592</v>
      </c>
      <c r="F28" s="20" t="s">
        <v>1593</v>
      </c>
      <c r="G28" s="21">
        <v>18.8</v>
      </c>
      <c r="H28" s="16">
        <v>22</v>
      </c>
      <c r="I28" s="16">
        <v>1</v>
      </c>
      <c r="J28" s="17">
        <v>394.8</v>
      </c>
      <c r="K28" s="22"/>
      <c r="L28" s="23"/>
      <c r="M28" s="23">
        <v>0</v>
      </c>
      <c r="N28" s="19">
        <v>37.6</v>
      </c>
      <c r="O28" s="19">
        <v>-94</v>
      </c>
      <c r="P28" s="48">
        <v>94</v>
      </c>
      <c r="Q28" s="17">
        <v>0</v>
      </c>
      <c r="R28" s="24">
        <v>394.8</v>
      </c>
      <c r="S28" s="18" t="s">
        <v>28</v>
      </c>
      <c r="T28" s="25">
        <v>1</v>
      </c>
    </row>
    <row r="29" spans="1:20" s="26" customFormat="1" x14ac:dyDescent="0.25">
      <c r="A29" s="16">
        <v>219135</v>
      </c>
      <c r="B29" s="30" t="s">
        <v>46</v>
      </c>
      <c r="C29" s="20" t="s">
        <v>625</v>
      </c>
      <c r="D29" s="20" t="s">
        <v>808</v>
      </c>
      <c r="E29" s="20" t="s">
        <v>1594</v>
      </c>
      <c r="F29" s="20" t="s">
        <v>1595</v>
      </c>
      <c r="G29" s="21">
        <v>18.8</v>
      </c>
      <c r="H29" s="16">
        <v>22</v>
      </c>
      <c r="I29" s="16"/>
      <c r="J29" s="17">
        <v>413.6</v>
      </c>
      <c r="K29" s="22"/>
      <c r="L29" s="23">
        <v>18.8</v>
      </c>
      <c r="M29" s="23">
        <v>18.8</v>
      </c>
      <c r="N29" s="19">
        <v>37.6</v>
      </c>
      <c r="O29" s="19">
        <v>-75.2</v>
      </c>
      <c r="P29" s="48">
        <v>94</v>
      </c>
      <c r="Q29" s="17">
        <v>0</v>
      </c>
      <c r="R29" s="24">
        <v>413.6</v>
      </c>
      <c r="S29" s="18" t="s">
        <v>28</v>
      </c>
      <c r="T29" s="25">
        <v>1</v>
      </c>
    </row>
    <row r="30" spans="1:20" s="26" customFormat="1" x14ac:dyDescent="0.25">
      <c r="A30" s="16">
        <v>220932</v>
      </c>
      <c r="B30" s="30" t="s">
        <v>47</v>
      </c>
      <c r="C30" s="20" t="s">
        <v>625</v>
      </c>
      <c r="D30" s="20" t="s">
        <v>675</v>
      </c>
      <c r="E30" s="20" t="s">
        <v>1596</v>
      </c>
      <c r="F30" s="20" t="s">
        <v>1597</v>
      </c>
      <c r="G30" s="21">
        <v>18.8</v>
      </c>
      <c r="H30" s="16">
        <v>22</v>
      </c>
      <c r="I30" s="16"/>
      <c r="J30" s="17">
        <v>413.6</v>
      </c>
      <c r="K30" s="22"/>
      <c r="L30" s="23">
        <v>18.8</v>
      </c>
      <c r="M30" s="23">
        <v>18.8</v>
      </c>
      <c r="N30" s="19">
        <v>37.6</v>
      </c>
      <c r="O30" s="19">
        <v>-75.2</v>
      </c>
      <c r="P30" s="48">
        <v>94</v>
      </c>
      <c r="Q30" s="17">
        <v>0</v>
      </c>
      <c r="R30" s="24">
        <v>413.6</v>
      </c>
      <c r="S30" s="18" t="s">
        <v>28</v>
      </c>
      <c r="T30" s="25">
        <v>1</v>
      </c>
    </row>
    <row r="31" spans="1:20" s="26" customFormat="1" x14ac:dyDescent="0.25">
      <c r="A31" s="16">
        <v>221493</v>
      </c>
      <c r="B31" s="30" t="s">
        <v>48</v>
      </c>
      <c r="C31" s="20" t="s">
        <v>625</v>
      </c>
      <c r="D31" s="20" t="s">
        <v>676</v>
      </c>
      <c r="E31" s="20" t="s">
        <v>1598</v>
      </c>
      <c r="F31" s="20" t="s">
        <v>1599</v>
      </c>
      <c r="G31" s="21">
        <v>18.8</v>
      </c>
      <c r="H31" s="16">
        <v>24</v>
      </c>
      <c r="I31" s="16"/>
      <c r="J31" s="17">
        <v>451.20000000000005</v>
      </c>
      <c r="K31" s="22"/>
      <c r="L31" s="23"/>
      <c r="M31" s="23">
        <v>0</v>
      </c>
      <c r="N31" s="19">
        <v>37.6</v>
      </c>
      <c r="O31" s="19">
        <v>-94</v>
      </c>
      <c r="P31" s="48">
        <v>94</v>
      </c>
      <c r="Q31" s="17">
        <v>0</v>
      </c>
      <c r="R31" s="24">
        <v>451.20000000000005</v>
      </c>
      <c r="S31" s="18" t="s">
        <v>28</v>
      </c>
      <c r="T31" s="25">
        <v>1</v>
      </c>
    </row>
    <row r="32" spans="1:20" s="26" customFormat="1" x14ac:dyDescent="0.25">
      <c r="A32" s="16">
        <v>222506</v>
      </c>
      <c r="B32" s="30" t="s">
        <v>49</v>
      </c>
      <c r="C32" s="20" t="s">
        <v>625</v>
      </c>
      <c r="D32" s="20" t="s">
        <v>677</v>
      </c>
      <c r="E32" s="20" t="s">
        <v>1600</v>
      </c>
      <c r="F32" s="20" t="s">
        <v>1601</v>
      </c>
      <c r="G32" s="21">
        <v>18.8</v>
      </c>
      <c r="H32" s="16">
        <v>22</v>
      </c>
      <c r="I32" s="16"/>
      <c r="J32" s="17">
        <v>413.6</v>
      </c>
      <c r="K32" s="22"/>
      <c r="L32" s="23"/>
      <c r="M32" s="23">
        <v>0</v>
      </c>
      <c r="N32" s="19">
        <v>37.6</v>
      </c>
      <c r="O32" s="19">
        <v>-94</v>
      </c>
      <c r="P32" s="48">
        <v>94</v>
      </c>
      <c r="Q32" s="17">
        <v>0</v>
      </c>
      <c r="R32" s="24">
        <v>413.6</v>
      </c>
      <c r="S32" s="18" t="s">
        <v>28</v>
      </c>
      <c r="T32" s="25">
        <v>1</v>
      </c>
    </row>
    <row r="33" spans="1:20" s="26" customFormat="1" x14ac:dyDescent="0.25">
      <c r="A33" s="16">
        <v>222853</v>
      </c>
      <c r="B33" s="30" t="s">
        <v>50</v>
      </c>
      <c r="C33" s="20" t="s">
        <v>625</v>
      </c>
      <c r="D33" s="20" t="s">
        <v>675</v>
      </c>
      <c r="E33" s="20" t="s">
        <v>1602</v>
      </c>
      <c r="F33" s="20" t="s">
        <v>1603</v>
      </c>
      <c r="G33" s="21">
        <v>13.7</v>
      </c>
      <c r="H33" s="16">
        <v>24</v>
      </c>
      <c r="I33" s="16"/>
      <c r="J33" s="17">
        <v>328.79999999999995</v>
      </c>
      <c r="K33" s="22"/>
      <c r="L33" s="23">
        <v>13.7</v>
      </c>
      <c r="M33" s="23">
        <v>13.7</v>
      </c>
      <c r="N33" s="19">
        <v>27.4</v>
      </c>
      <c r="O33" s="19">
        <v>-54.8</v>
      </c>
      <c r="P33" s="48">
        <v>68.5</v>
      </c>
      <c r="Q33" s="17">
        <v>0</v>
      </c>
      <c r="R33" s="24">
        <v>328.79999999999995</v>
      </c>
      <c r="S33" s="18" t="s">
        <v>28</v>
      </c>
      <c r="T33" s="25">
        <v>1</v>
      </c>
    </row>
    <row r="34" spans="1:20" s="26" customFormat="1" x14ac:dyDescent="0.25">
      <c r="A34" s="16">
        <v>222855</v>
      </c>
      <c r="B34" s="30" t="s">
        <v>51</v>
      </c>
      <c r="C34" s="20" t="s">
        <v>625</v>
      </c>
      <c r="D34" s="20" t="s">
        <v>677</v>
      </c>
      <c r="E34" s="20" t="s">
        <v>1604</v>
      </c>
      <c r="F34" s="20" t="s">
        <v>1605</v>
      </c>
      <c r="G34" s="21">
        <v>13.4</v>
      </c>
      <c r="H34" s="16">
        <v>22</v>
      </c>
      <c r="I34" s="16">
        <v>1</v>
      </c>
      <c r="J34" s="17">
        <v>281.40000000000003</v>
      </c>
      <c r="K34" s="22"/>
      <c r="L34" s="23"/>
      <c r="M34" s="23">
        <v>0</v>
      </c>
      <c r="N34" s="19">
        <v>26.8</v>
      </c>
      <c r="O34" s="19">
        <v>-67</v>
      </c>
      <c r="P34" s="48">
        <v>67</v>
      </c>
      <c r="Q34" s="17">
        <v>0</v>
      </c>
      <c r="R34" s="24">
        <v>281.40000000000003</v>
      </c>
      <c r="S34" s="18" t="s">
        <v>28</v>
      </c>
      <c r="T34" s="25">
        <v>1</v>
      </c>
    </row>
    <row r="35" spans="1:20" s="26" customFormat="1" x14ac:dyDescent="0.25">
      <c r="A35" s="16">
        <v>222857</v>
      </c>
      <c r="B35" s="30" t="s">
        <v>1392</v>
      </c>
      <c r="C35" s="20" t="s">
        <v>625</v>
      </c>
      <c r="D35" s="20" t="s">
        <v>675</v>
      </c>
      <c r="E35" s="20" t="s">
        <v>1606</v>
      </c>
      <c r="F35" s="20" t="s">
        <v>1607</v>
      </c>
      <c r="G35" s="21">
        <v>18.8</v>
      </c>
      <c r="H35" s="16">
        <v>24</v>
      </c>
      <c r="I35" s="16"/>
      <c r="J35" s="17">
        <v>451.20000000000005</v>
      </c>
      <c r="K35" s="22"/>
      <c r="L35" s="23">
        <v>18.8</v>
      </c>
      <c r="M35" s="23">
        <v>18.8</v>
      </c>
      <c r="N35" s="19">
        <v>37.6</v>
      </c>
      <c r="O35" s="19">
        <v>-75.2</v>
      </c>
      <c r="P35" s="48">
        <v>94</v>
      </c>
      <c r="Q35" s="17">
        <v>0</v>
      </c>
      <c r="R35" s="24">
        <v>451.20000000000005</v>
      </c>
      <c r="S35" s="18" t="s">
        <v>28</v>
      </c>
      <c r="T35" s="25">
        <v>1</v>
      </c>
    </row>
    <row r="36" spans="1:20" s="26" customFormat="1" x14ac:dyDescent="0.25">
      <c r="A36" s="16">
        <v>222858</v>
      </c>
      <c r="B36" s="30" t="s">
        <v>1024</v>
      </c>
      <c r="C36" s="20" t="s">
        <v>625</v>
      </c>
      <c r="D36" s="20" t="s">
        <v>677</v>
      </c>
      <c r="E36" s="20" t="s">
        <v>1608</v>
      </c>
      <c r="F36" s="20" t="s">
        <v>1609</v>
      </c>
      <c r="G36" s="21">
        <v>18.8</v>
      </c>
      <c r="H36" s="16">
        <v>22</v>
      </c>
      <c r="I36" s="16">
        <v>1</v>
      </c>
      <c r="J36" s="17">
        <v>394.8</v>
      </c>
      <c r="K36" s="22"/>
      <c r="L36" s="23"/>
      <c r="M36" s="23">
        <v>0</v>
      </c>
      <c r="N36" s="19">
        <v>37.6</v>
      </c>
      <c r="O36" s="19">
        <v>-94</v>
      </c>
      <c r="P36" s="48">
        <v>94</v>
      </c>
      <c r="Q36" s="17">
        <v>0</v>
      </c>
      <c r="R36" s="24">
        <v>394.8</v>
      </c>
      <c r="S36" s="18" t="s">
        <v>28</v>
      </c>
      <c r="T36" s="25">
        <v>1</v>
      </c>
    </row>
    <row r="37" spans="1:20" s="26" customFormat="1" x14ac:dyDescent="0.25">
      <c r="A37" s="16">
        <v>223106</v>
      </c>
      <c r="B37" s="30" t="s">
        <v>52</v>
      </c>
      <c r="C37" s="20" t="s">
        <v>625</v>
      </c>
      <c r="D37" s="20" t="s">
        <v>808</v>
      </c>
      <c r="E37" s="20" t="s">
        <v>1610</v>
      </c>
      <c r="F37" s="20" t="s">
        <v>1611</v>
      </c>
      <c r="G37" s="21">
        <v>18.8</v>
      </c>
      <c r="H37" s="16">
        <v>24</v>
      </c>
      <c r="I37" s="16">
        <v>1</v>
      </c>
      <c r="J37" s="17">
        <v>432.40000000000003</v>
      </c>
      <c r="K37" s="22"/>
      <c r="L37" s="23"/>
      <c r="M37" s="23">
        <v>0</v>
      </c>
      <c r="N37" s="19">
        <v>37.6</v>
      </c>
      <c r="O37" s="19">
        <v>-94</v>
      </c>
      <c r="P37" s="48">
        <v>94</v>
      </c>
      <c r="Q37" s="17">
        <v>0</v>
      </c>
      <c r="R37" s="24">
        <v>432.40000000000003</v>
      </c>
      <c r="S37" s="18" t="s">
        <v>28</v>
      </c>
      <c r="T37" s="25">
        <v>1</v>
      </c>
    </row>
    <row r="38" spans="1:20" s="26" customFormat="1" x14ac:dyDescent="0.25">
      <c r="A38" s="16">
        <v>223699</v>
      </c>
      <c r="B38" s="30" t="s">
        <v>53</v>
      </c>
      <c r="C38" s="20" t="s">
        <v>625</v>
      </c>
      <c r="D38" s="20" t="s">
        <v>676</v>
      </c>
      <c r="E38" s="20" t="s">
        <v>1612</v>
      </c>
      <c r="F38" s="20" t="s">
        <v>1613</v>
      </c>
      <c r="G38" s="21">
        <v>18.8</v>
      </c>
      <c r="H38" s="16">
        <v>24</v>
      </c>
      <c r="I38" s="16"/>
      <c r="J38" s="17">
        <v>451.20000000000005</v>
      </c>
      <c r="K38" s="22"/>
      <c r="L38" s="23"/>
      <c r="M38" s="23">
        <v>0</v>
      </c>
      <c r="N38" s="19">
        <v>37.6</v>
      </c>
      <c r="O38" s="19">
        <v>-94</v>
      </c>
      <c r="P38" s="48">
        <v>94</v>
      </c>
      <c r="Q38" s="17">
        <v>0</v>
      </c>
      <c r="R38" s="24">
        <v>451.20000000000005</v>
      </c>
      <c r="S38" s="18" t="s">
        <v>28</v>
      </c>
      <c r="T38" s="25">
        <v>1</v>
      </c>
    </row>
    <row r="39" spans="1:20" s="26" customFormat="1" x14ac:dyDescent="0.25">
      <c r="A39" s="16">
        <v>224577</v>
      </c>
      <c r="B39" s="30" t="s">
        <v>55</v>
      </c>
      <c r="C39" s="20" t="s">
        <v>625</v>
      </c>
      <c r="D39" s="20" t="s">
        <v>676</v>
      </c>
      <c r="E39" s="20" t="s">
        <v>1614</v>
      </c>
      <c r="F39" s="20" t="s">
        <v>1615</v>
      </c>
      <c r="G39" s="21">
        <v>18.8</v>
      </c>
      <c r="H39" s="16">
        <v>24</v>
      </c>
      <c r="I39" s="16">
        <v>2</v>
      </c>
      <c r="J39" s="17">
        <v>413.6</v>
      </c>
      <c r="K39" s="22"/>
      <c r="L39" s="23">
        <v>18.8</v>
      </c>
      <c r="M39" s="23">
        <v>18.8</v>
      </c>
      <c r="N39" s="19">
        <v>37.6</v>
      </c>
      <c r="O39" s="19">
        <v>-75.2</v>
      </c>
      <c r="P39" s="48">
        <v>94</v>
      </c>
      <c r="Q39" s="17">
        <v>0</v>
      </c>
      <c r="R39" s="24">
        <v>413.6</v>
      </c>
      <c r="S39" s="18" t="s">
        <v>28</v>
      </c>
      <c r="T39" s="25">
        <v>1</v>
      </c>
    </row>
    <row r="40" spans="1:20" s="26" customFormat="1" x14ac:dyDescent="0.25">
      <c r="A40" s="16">
        <v>224889</v>
      </c>
      <c r="B40" s="30" t="s">
        <v>56</v>
      </c>
      <c r="C40" s="20" t="s">
        <v>625</v>
      </c>
      <c r="D40" s="20" t="s">
        <v>677</v>
      </c>
      <c r="E40" s="20" t="s">
        <v>1616</v>
      </c>
      <c r="F40" s="20" t="s">
        <v>1617</v>
      </c>
      <c r="G40" s="21">
        <v>18.8</v>
      </c>
      <c r="H40" s="16">
        <v>22</v>
      </c>
      <c r="I40" s="16"/>
      <c r="J40" s="17">
        <v>413.6</v>
      </c>
      <c r="K40" s="22"/>
      <c r="L40" s="23"/>
      <c r="M40" s="23">
        <v>0</v>
      </c>
      <c r="N40" s="19">
        <v>37.6</v>
      </c>
      <c r="O40" s="19">
        <v>-94</v>
      </c>
      <c r="P40" s="48">
        <v>94</v>
      </c>
      <c r="Q40" s="17">
        <v>0</v>
      </c>
      <c r="R40" s="24">
        <v>413.6</v>
      </c>
      <c r="S40" s="18" t="s">
        <v>28</v>
      </c>
      <c r="T40" s="25">
        <v>1</v>
      </c>
    </row>
    <row r="41" spans="1:20" s="26" customFormat="1" x14ac:dyDescent="0.25">
      <c r="A41" s="16">
        <v>224980</v>
      </c>
      <c r="B41" s="30" t="s">
        <v>57</v>
      </c>
      <c r="C41" s="20" t="s">
        <v>625</v>
      </c>
      <c r="D41" s="20" t="s">
        <v>677</v>
      </c>
      <c r="E41" s="20" t="s">
        <v>1618</v>
      </c>
      <c r="F41" s="20" t="s">
        <v>1619</v>
      </c>
      <c r="G41" s="21">
        <v>18.8</v>
      </c>
      <c r="H41" s="16">
        <v>24</v>
      </c>
      <c r="I41" s="16"/>
      <c r="J41" s="17">
        <v>451.20000000000005</v>
      </c>
      <c r="K41" s="22"/>
      <c r="L41" s="23">
        <v>18.8</v>
      </c>
      <c r="M41" s="23">
        <v>18.8</v>
      </c>
      <c r="N41" s="19">
        <v>37.6</v>
      </c>
      <c r="O41" s="19">
        <v>-75.2</v>
      </c>
      <c r="P41" s="48">
        <v>94</v>
      </c>
      <c r="Q41" s="17">
        <v>0</v>
      </c>
      <c r="R41" s="24">
        <v>451.20000000000005</v>
      </c>
      <c r="S41" s="18" t="s">
        <v>28</v>
      </c>
      <c r="T41" s="25">
        <v>1</v>
      </c>
    </row>
    <row r="42" spans="1:20" s="26" customFormat="1" x14ac:dyDescent="0.25">
      <c r="A42" s="16">
        <v>225864</v>
      </c>
      <c r="B42" s="30" t="s">
        <v>1133</v>
      </c>
      <c r="C42" s="20" t="s">
        <v>625</v>
      </c>
      <c r="D42" s="20" t="s">
        <v>677</v>
      </c>
      <c r="E42" s="20" t="s">
        <v>1620</v>
      </c>
      <c r="F42" s="20" t="s">
        <v>1621</v>
      </c>
      <c r="G42" s="21">
        <v>18.8</v>
      </c>
      <c r="H42" s="16">
        <v>24</v>
      </c>
      <c r="I42" s="16">
        <v>1</v>
      </c>
      <c r="J42" s="17">
        <v>432.40000000000003</v>
      </c>
      <c r="K42" s="22"/>
      <c r="L42" s="23">
        <v>18.8</v>
      </c>
      <c r="M42" s="23">
        <v>18.8</v>
      </c>
      <c r="N42" s="19">
        <v>37.6</v>
      </c>
      <c r="O42" s="19">
        <v>-75.2</v>
      </c>
      <c r="P42" s="48">
        <v>94</v>
      </c>
      <c r="Q42" s="17">
        <v>0</v>
      </c>
      <c r="R42" s="24">
        <v>432.40000000000003</v>
      </c>
      <c r="S42" s="18" t="s">
        <v>28</v>
      </c>
      <c r="T42" s="25">
        <v>1</v>
      </c>
    </row>
    <row r="43" spans="1:20" s="26" customFormat="1" x14ac:dyDescent="0.25">
      <c r="A43" s="16">
        <v>226871</v>
      </c>
      <c r="B43" s="30" t="s">
        <v>58</v>
      </c>
      <c r="C43" s="20" t="s">
        <v>625</v>
      </c>
      <c r="D43" s="20" t="s">
        <v>677</v>
      </c>
      <c r="E43" s="20" t="s">
        <v>1622</v>
      </c>
      <c r="F43" s="20" t="s">
        <v>1623</v>
      </c>
      <c r="G43" s="21">
        <v>18.8</v>
      </c>
      <c r="H43" s="16">
        <v>22</v>
      </c>
      <c r="I43" s="16">
        <v>1</v>
      </c>
      <c r="J43" s="17">
        <v>394.8</v>
      </c>
      <c r="K43" s="22"/>
      <c r="L43" s="23">
        <v>110.6</v>
      </c>
      <c r="M43" s="23">
        <v>110.6</v>
      </c>
      <c r="N43" s="19">
        <v>37.6</v>
      </c>
      <c r="O43" s="19">
        <v>16.599999999999994</v>
      </c>
      <c r="P43" s="48">
        <v>94</v>
      </c>
      <c r="Q43" s="17">
        <v>0</v>
      </c>
      <c r="R43" s="24">
        <v>394.8</v>
      </c>
      <c r="S43" s="18" t="s">
        <v>28</v>
      </c>
      <c r="T43" s="25">
        <v>1</v>
      </c>
    </row>
    <row r="44" spans="1:20" s="26" customFormat="1" x14ac:dyDescent="0.25">
      <c r="A44" s="16">
        <v>228926</v>
      </c>
      <c r="B44" s="30" t="s">
        <v>59</v>
      </c>
      <c r="C44" s="20" t="s">
        <v>625</v>
      </c>
      <c r="D44" s="20" t="s">
        <v>676</v>
      </c>
      <c r="E44" s="20" t="s">
        <v>1624</v>
      </c>
      <c r="F44" s="20" t="s">
        <v>1625</v>
      </c>
      <c r="G44" s="21">
        <v>18.8</v>
      </c>
      <c r="H44" s="16">
        <v>24</v>
      </c>
      <c r="I44" s="16">
        <v>2</v>
      </c>
      <c r="J44" s="17">
        <v>413.6</v>
      </c>
      <c r="K44" s="22"/>
      <c r="L44" s="23"/>
      <c r="M44" s="23">
        <v>0</v>
      </c>
      <c r="N44" s="19">
        <v>37.6</v>
      </c>
      <c r="O44" s="19">
        <v>-94</v>
      </c>
      <c r="P44" s="48">
        <v>94</v>
      </c>
      <c r="Q44" s="17">
        <v>0</v>
      </c>
      <c r="R44" s="24">
        <v>413.6</v>
      </c>
      <c r="S44" s="18" t="s">
        <v>28</v>
      </c>
      <c r="T44" s="25">
        <v>1</v>
      </c>
    </row>
    <row r="45" spans="1:20" s="26" customFormat="1" x14ac:dyDescent="0.25">
      <c r="A45" s="16">
        <v>229458</v>
      </c>
      <c r="B45" s="30" t="s">
        <v>129</v>
      </c>
      <c r="C45" s="20" t="s">
        <v>625</v>
      </c>
      <c r="D45" s="20" t="s">
        <v>677</v>
      </c>
      <c r="E45" s="20" t="s">
        <v>1626</v>
      </c>
      <c r="F45" s="20" t="s">
        <v>1627</v>
      </c>
      <c r="G45" s="21">
        <v>18.8</v>
      </c>
      <c r="H45" s="16">
        <v>22</v>
      </c>
      <c r="I45" s="16">
        <v>3</v>
      </c>
      <c r="J45" s="17">
        <v>357.2</v>
      </c>
      <c r="K45" s="22"/>
      <c r="L45" s="23"/>
      <c r="M45" s="23">
        <v>0</v>
      </c>
      <c r="N45" s="19">
        <v>37.6</v>
      </c>
      <c r="O45" s="19">
        <v>-94</v>
      </c>
      <c r="P45" s="48">
        <v>94</v>
      </c>
      <c r="Q45" s="17">
        <v>0</v>
      </c>
      <c r="R45" s="24">
        <v>357.2</v>
      </c>
      <c r="S45" s="18" t="s">
        <v>28</v>
      </c>
      <c r="T45" s="25">
        <v>1</v>
      </c>
    </row>
    <row r="46" spans="1:20" s="26" customFormat="1" x14ac:dyDescent="0.25">
      <c r="A46" s="16">
        <v>231204</v>
      </c>
      <c r="B46" s="30" t="s">
        <v>764</v>
      </c>
      <c r="C46" s="20" t="s">
        <v>625</v>
      </c>
      <c r="D46" s="20" t="s">
        <v>677</v>
      </c>
      <c r="E46" s="20" t="s">
        <v>1628</v>
      </c>
      <c r="F46" s="20" t="s">
        <v>1629</v>
      </c>
      <c r="G46" s="21">
        <v>18.8</v>
      </c>
      <c r="H46" s="16">
        <v>24</v>
      </c>
      <c r="I46" s="16"/>
      <c r="J46" s="17">
        <v>451.20000000000005</v>
      </c>
      <c r="K46" s="22"/>
      <c r="L46" s="23"/>
      <c r="M46" s="23">
        <v>0</v>
      </c>
      <c r="N46" s="19">
        <v>37.6</v>
      </c>
      <c r="O46" s="19">
        <v>-94</v>
      </c>
      <c r="P46" s="48">
        <v>94</v>
      </c>
      <c r="Q46" s="17">
        <v>0</v>
      </c>
      <c r="R46" s="24">
        <v>451.20000000000005</v>
      </c>
      <c r="S46" s="18" t="s">
        <v>28</v>
      </c>
      <c r="T46" s="25">
        <v>1</v>
      </c>
    </row>
    <row r="47" spans="1:20" s="26" customFormat="1" x14ac:dyDescent="0.25">
      <c r="A47" s="16">
        <v>231317</v>
      </c>
      <c r="B47" s="30" t="s">
        <v>783</v>
      </c>
      <c r="C47" s="20" t="s">
        <v>625</v>
      </c>
      <c r="D47" s="20" t="s">
        <v>677</v>
      </c>
      <c r="E47" s="20" t="s">
        <v>1630</v>
      </c>
      <c r="F47" s="20" t="s">
        <v>1631</v>
      </c>
      <c r="G47" s="21">
        <v>18.8</v>
      </c>
      <c r="H47" s="16">
        <v>16</v>
      </c>
      <c r="I47" s="16">
        <v>8</v>
      </c>
      <c r="J47" s="17">
        <v>150.4</v>
      </c>
      <c r="K47" s="22"/>
      <c r="L47" s="23"/>
      <c r="M47" s="23">
        <v>0</v>
      </c>
      <c r="N47" s="19">
        <v>37.6</v>
      </c>
      <c r="O47" s="19">
        <v>-94</v>
      </c>
      <c r="P47" s="48">
        <v>94</v>
      </c>
      <c r="Q47" s="17">
        <v>0</v>
      </c>
      <c r="R47" s="24">
        <v>150.4</v>
      </c>
      <c r="S47" s="18" t="s">
        <v>28</v>
      </c>
      <c r="T47" s="25">
        <v>1</v>
      </c>
    </row>
    <row r="48" spans="1:20" s="26" customFormat="1" x14ac:dyDescent="0.25">
      <c r="A48" s="16">
        <v>232037</v>
      </c>
      <c r="B48" s="30" t="s">
        <v>815</v>
      </c>
      <c r="C48" s="20" t="s">
        <v>625</v>
      </c>
      <c r="D48" s="20" t="s">
        <v>677</v>
      </c>
      <c r="E48" s="20" t="s">
        <v>1632</v>
      </c>
      <c r="F48" s="20" t="s">
        <v>1633</v>
      </c>
      <c r="G48" s="21">
        <v>18.8</v>
      </c>
      <c r="H48" s="16">
        <v>24</v>
      </c>
      <c r="I48" s="16">
        <v>2</v>
      </c>
      <c r="J48" s="17">
        <v>413.6</v>
      </c>
      <c r="K48" s="22"/>
      <c r="L48" s="23"/>
      <c r="M48" s="23">
        <v>0</v>
      </c>
      <c r="N48" s="19">
        <v>37.6</v>
      </c>
      <c r="O48" s="19">
        <v>-94</v>
      </c>
      <c r="P48" s="48">
        <v>94</v>
      </c>
      <c r="Q48" s="17">
        <v>0</v>
      </c>
      <c r="R48" s="24">
        <v>413.6</v>
      </c>
      <c r="S48" s="18" t="s">
        <v>28</v>
      </c>
      <c r="T48" s="25">
        <v>1</v>
      </c>
    </row>
    <row r="49" spans="1:20" s="26" customFormat="1" x14ac:dyDescent="0.25">
      <c r="A49" s="16">
        <v>232315</v>
      </c>
      <c r="B49" s="30" t="s">
        <v>883</v>
      </c>
      <c r="C49" s="20" t="s">
        <v>625</v>
      </c>
      <c r="D49" s="20" t="s">
        <v>677</v>
      </c>
      <c r="E49" s="20" t="s">
        <v>1634</v>
      </c>
      <c r="F49" s="20" t="s">
        <v>1635</v>
      </c>
      <c r="G49" s="21">
        <v>10</v>
      </c>
      <c r="H49" s="16">
        <v>24</v>
      </c>
      <c r="I49" s="16"/>
      <c r="J49" s="17">
        <v>240</v>
      </c>
      <c r="K49" s="22"/>
      <c r="L49" s="23"/>
      <c r="M49" s="23">
        <v>0</v>
      </c>
      <c r="N49" s="19">
        <v>20</v>
      </c>
      <c r="O49" s="19">
        <v>-50</v>
      </c>
      <c r="P49" s="48">
        <v>50</v>
      </c>
      <c r="Q49" s="17">
        <v>0</v>
      </c>
      <c r="R49" s="24">
        <v>240</v>
      </c>
      <c r="S49" s="18" t="s">
        <v>28</v>
      </c>
      <c r="T49" s="25">
        <v>1</v>
      </c>
    </row>
    <row r="50" spans="1:20" s="26" customFormat="1" x14ac:dyDescent="0.25">
      <c r="A50" s="16">
        <v>234366</v>
      </c>
      <c r="B50" s="30" t="s">
        <v>1273</v>
      </c>
      <c r="C50" s="20" t="s">
        <v>625</v>
      </c>
      <c r="D50" s="20" t="s">
        <v>677</v>
      </c>
      <c r="E50" s="20" t="s">
        <v>1636</v>
      </c>
      <c r="F50" s="20" t="s">
        <v>1637</v>
      </c>
      <c r="G50" s="21">
        <v>18.8</v>
      </c>
      <c r="H50" s="16">
        <v>24</v>
      </c>
      <c r="I50" s="16">
        <v>2</v>
      </c>
      <c r="J50" s="17">
        <v>413.6</v>
      </c>
      <c r="K50" s="22"/>
      <c r="L50" s="23"/>
      <c r="M50" s="23">
        <v>0</v>
      </c>
      <c r="N50" s="19">
        <v>37.6</v>
      </c>
      <c r="O50" s="19">
        <v>-94</v>
      </c>
      <c r="P50" s="48">
        <v>94</v>
      </c>
      <c r="Q50" s="17">
        <v>0</v>
      </c>
      <c r="R50" s="24">
        <v>413.6</v>
      </c>
      <c r="S50" s="18" t="s">
        <v>28</v>
      </c>
      <c r="T50" s="25">
        <v>1</v>
      </c>
    </row>
    <row r="51" spans="1:20" s="26" customFormat="1" x14ac:dyDescent="0.25">
      <c r="A51" s="16">
        <v>225352</v>
      </c>
      <c r="B51" s="30" t="s">
        <v>80</v>
      </c>
      <c r="C51" s="20" t="s">
        <v>626</v>
      </c>
      <c r="D51" s="20" t="s">
        <v>678</v>
      </c>
      <c r="E51" s="20" t="s">
        <v>1638</v>
      </c>
      <c r="F51" s="20" t="s">
        <v>1639</v>
      </c>
      <c r="G51" s="21">
        <v>10</v>
      </c>
      <c r="H51" s="16">
        <v>22</v>
      </c>
      <c r="I51" s="16"/>
      <c r="J51" s="17">
        <v>220</v>
      </c>
      <c r="K51" s="22"/>
      <c r="L51" s="23"/>
      <c r="M51" s="23">
        <v>0</v>
      </c>
      <c r="N51" s="19">
        <v>20</v>
      </c>
      <c r="O51" s="19">
        <v>-50</v>
      </c>
      <c r="P51" s="48">
        <v>50</v>
      </c>
      <c r="Q51" s="17">
        <v>0</v>
      </c>
      <c r="R51" s="24">
        <v>220</v>
      </c>
      <c r="S51" s="18" t="s">
        <v>28</v>
      </c>
      <c r="T51" s="25">
        <v>1</v>
      </c>
    </row>
    <row r="52" spans="1:20" s="26" customFormat="1" x14ac:dyDescent="0.25">
      <c r="A52" s="16">
        <v>211071</v>
      </c>
      <c r="B52" s="30" t="s">
        <v>1026</v>
      </c>
      <c r="C52" s="20" t="s">
        <v>627</v>
      </c>
      <c r="D52" s="20" t="s">
        <v>679</v>
      </c>
      <c r="E52" s="20" t="s">
        <v>1640</v>
      </c>
      <c r="F52" s="20" t="s">
        <v>1641</v>
      </c>
      <c r="G52" s="21">
        <v>18.8</v>
      </c>
      <c r="H52" s="16">
        <v>26</v>
      </c>
      <c r="I52" s="16">
        <v>1</v>
      </c>
      <c r="J52" s="17">
        <v>470</v>
      </c>
      <c r="K52" s="22"/>
      <c r="L52" s="23"/>
      <c r="M52" s="23">
        <v>0</v>
      </c>
      <c r="N52" s="19">
        <v>37.6</v>
      </c>
      <c r="O52" s="19">
        <v>-94</v>
      </c>
      <c r="P52" s="48">
        <v>94</v>
      </c>
      <c r="Q52" s="17">
        <v>0</v>
      </c>
      <c r="R52" s="24">
        <v>470</v>
      </c>
      <c r="S52" s="18" t="s">
        <v>28</v>
      </c>
      <c r="T52" s="25">
        <v>1</v>
      </c>
    </row>
    <row r="53" spans="1:20" s="26" customFormat="1" x14ac:dyDescent="0.25">
      <c r="A53" s="16">
        <v>224863</v>
      </c>
      <c r="B53" s="30" t="s">
        <v>62</v>
      </c>
      <c r="C53" s="20" t="s">
        <v>627</v>
      </c>
      <c r="D53" s="20" t="s">
        <v>679</v>
      </c>
      <c r="E53" s="20" t="s">
        <v>1642</v>
      </c>
      <c r="F53" s="20" t="s">
        <v>1643</v>
      </c>
      <c r="G53" s="21">
        <v>18.8</v>
      </c>
      <c r="H53" s="16">
        <v>26</v>
      </c>
      <c r="I53" s="16"/>
      <c r="J53" s="17">
        <v>488.8</v>
      </c>
      <c r="K53" s="22"/>
      <c r="L53" s="23"/>
      <c r="M53" s="23">
        <v>0</v>
      </c>
      <c r="N53" s="19">
        <v>37.6</v>
      </c>
      <c r="O53" s="19">
        <v>-94</v>
      </c>
      <c r="P53" s="48">
        <v>94</v>
      </c>
      <c r="Q53" s="17">
        <v>0</v>
      </c>
      <c r="R53" s="24">
        <v>488.8</v>
      </c>
      <c r="S53" s="18" t="s">
        <v>28</v>
      </c>
      <c r="T53" s="25">
        <v>1</v>
      </c>
    </row>
    <row r="54" spans="1:20" s="26" customFormat="1" x14ac:dyDescent="0.25">
      <c r="A54" s="16">
        <v>233451</v>
      </c>
      <c r="B54" s="30" t="s">
        <v>1042</v>
      </c>
      <c r="C54" s="20" t="s">
        <v>627</v>
      </c>
      <c r="D54" s="20" t="s">
        <v>679</v>
      </c>
      <c r="E54" s="20" t="s">
        <v>1644</v>
      </c>
      <c r="F54" s="20" t="s">
        <v>1645</v>
      </c>
      <c r="G54" s="21">
        <v>13.4</v>
      </c>
      <c r="H54" s="16">
        <v>26</v>
      </c>
      <c r="I54" s="16">
        <v>1</v>
      </c>
      <c r="J54" s="17">
        <v>335</v>
      </c>
      <c r="K54" s="22"/>
      <c r="L54" s="23"/>
      <c r="M54" s="23">
        <v>0</v>
      </c>
      <c r="N54" s="19">
        <v>26.8</v>
      </c>
      <c r="O54" s="19">
        <v>-67</v>
      </c>
      <c r="P54" s="48">
        <v>67</v>
      </c>
      <c r="Q54" s="17">
        <v>0</v>
      </c>
      <c r="R54" s="24">
        <v>335</v>
      </c>
      <c r="S54" s="18" t="s">
        <v>28</v>
      </c>
      <c r="T54" s="25">
        <v>1</v>
      </c>
    </row>
    <row r="55" spans="1:20" s="26" customFormat="1" x14ac:dyDescent="0.25">
      <c r="A55" s="16">
        <v>5286</v>
      </c>
      <c r="B55" s="30" t="s">
        <v>64</v>
      </c>
      <c r="C55" s="20" t="s">
        <v>628</v>
      </c>
      <c r="D55" s="20" t="s">
        <v>681</v>
      </c>
      <c r="E55" s="20" t="s">
        <v>1646</v>
      </c>
      <c r="F55" s="20" t="s">
        <v>1647</v>
      </c>
      <c r="G55" s="21">
        <v>18.8</v>
      </c>
      <c r="H55" s="16">
        <v>22</v>
      </c>
      <c r="I55" s="16">
        <v>2</v>
      </c>
      <c r="J55" s="17">
        <v>376</v>
      </c>
      <c r="K55" s="22"/>
      <c r="L55" s="23"/>
      <c r="M55" s="23">
        <v>0</v>
      </c>
      <c r="N55" s="19">
        <v>37.6</v>
      </c>
      <c r="O55" s="19">
        <v>-94</v>
      </c>
      <c r="P55" s="48">
        <v>94</v>
      </c>
      <c r="Q55" s="17">
        <v>0</v>
      </c>
      <c r="R55" s="24">
        <v>376</v>
      </c>
      <c r="S55" s="18" t="s">
        <v>28</v>
      </c>
      <c r="T55" s="25">
        <v>1</v>
      </c>
    </row>
    <row r="56" spans="1:20" s="26" customFormat="1" x14ac:dyDescent="0.25">
      <c r="A56" s="16">
        <v>213535</v>
      </c>
      <c r="B56" s="30" t="s">
        <v>1393</v>
      </c>
      <c r="C56" s="20" t="s">
        <v>628</v>
      </c>
      <c r="D56" s="20" t="s">
        <v>681</v>
      </c>
      <c r="E56" s="20" t="s">
        <v>1648</v>
      </c>
      <c r="F56" s="20" t="s">
        <v>1649</v>
      </c>
      <c r="G56" s="21">
        <v>18.8</v>
      </c>
      <c r="H56" s="16">
        <v>22</v>
      </c>
      <c r="I56" s="16"/>
      <c r="J56" s="17">
        <v>413.6</v>
      </c>
      <c r="K56" s="22"/>
      <c r="L56" s="23"/>
      <c r="M56" s="23">
        <v>0</v>
      </c>
      <c r="N56" s="19">
        <v>37.6</v>
      </c>
      <c r="O56" s="19">
        <v>-94</v>
      </c>
      <c r="P56" s="48">
        <v>94</v>
      </c>
      <c r="Q56" s="17">
        <v>0</v>
      </c>
      <c r="R56" s="24">
        <v>413.6</v>
      </c>
      <c r="S56" s="18" t="s">
        <v>28</v>
      </c>
      <c r="T56" s="25">
        <v>1</v>
      </c>
    </row>
    <row r="57" spans="1:20" s="26" customFormat="1" x14ac:dyDescent="0.25">
      <c r="A57" s="16">
        <v>213858</v>
      </c>
      <c r="B57" s="30" t="s">
        <v>65</v>
      </c>
      <c r="C57" s="20" t="s">
        <v>628</v>
      </c>
      <c r="D57" s="20" t="s">
        <v>680</v>
      </c>
      <c r="E57" s="20" t="s">
        <v>1650</v>
      </c>
      <c r="F57" s="20" t="s">
        <v>1651</v>
      </c>
      <c r="G57" s="21">
        <v>18.8</v>
      </c>
      <c r="H57" s="16">
        <v>22</v>
      </c>
      <c r="I57" s="16"/>
      <c r="J57" s="17">
        <v>413.6</v>
      </c>
      <c r="K57" s="22"/>
      <c r="L57" s="23"/>
      <c r="M57" s="23">
        <v>0</v>
      </c>
      <c r="N57" s="19">
        <v>37.6</v>
      </c>
      <c r="O57" s="19">
        <v>-94</v>
      </c>
      <c r="P57" s="48">
        <v>94</v>
      </c>
      <c r="Q57" s="17">
        <v>0</v>
      </c>
      <c r="R57" s="24">
        <v>413.6</v>
      </c>
      <c r="S57" s="18" t="s">
        <v>28</v>
      </c>
      <c r="T57" s="25">
        <v>1</v>
      </c>
    </row>
    <row r="58" spans="1:20" s="26" customFormat="1" x14ac:dyDescent="0.25">
      <c r="A58" s="16">
        <v>216259</v>
      </c>
      <c r="B58" s="30" t="s">
        <v>319</v>
      </c>
      <c r="C58" s="20" t="s">
        <v>628</v>
      </c>
      <c r="D58" s="20" t="s">
        <v>681</v>
      </c>
      <c r="E58" s="20" t="s">
        <v>1652</v>
      </c>
      <c r="F58" s="20" t="s">
        <v>1653</v>
      </c>
      <c r="G58" s="21">
        <v>10</v>
      </c>
      <c r="H58" s="16">
        <v>22</v>
      </c>
      <c r="I58" s="16"/>
      <c r="J58" s="17">
        <v>220</v>
      </c>
      <c r="K58" s="22"/>
      <c r="L58" s="23"/>
      <c r="M58" s="23">
        <v>0</v>
      </c>
      <c r="N58" s="19">
        <v>20</v>
      </c>
      <c r="O58" s="19">
        <v>-50</v>
      </c>
      <c r="P58" s="48">
        <v>50</v>
      </c>
      <c r="Q58" s="17">
        <v>0</v>
      </c>
      <c r="R58" s="24">
        <v>220</v>
      </c>
      <c r="S58" s="18" t="s">
        <v>28</v>
      </c>
      <c r="T58" s="25">
        <v>1</v>
      </c>
    </row>
    <row r="59" spans="1:20" s="26" customFormat="1" x14ac:dyDescent="0.25">
      <c r="A59" s="16">
        <v>216302</v>
      </c>
      <c r="B59" s="30" t="s">
        <v>392</v>
      </c>
      <c r="C59" s="20" t="s">
        <v>628</v>
      </c>
      <c r="D59" s="20" t="s">
        <v>681</v>
      </c>
      <c r="E59" s="20" t="s">
        <v>1654</v>
      </c>
      <c r="F59" s="20" t="s">
        <v>1655</v>
      </c>
      <c r="G59" s="21">
        <v>18.8</v>
      </c>
      <c r="H59" s="16">
        <v>22</v>
      </c>
      <c r="I59" s="16"/>
      <c r="J59" s="17">
        <v>413.6</v>
      </c>
      <c r="K59" s="22"/>
      <c r="L59" s="23"/>
      <c r="M59" s="23">
        <v>0</v>
      </c>
      <c r="N59" s="19">
        <v>37.6</v>
      </c>
      <c r="O59" s="19">
        <v>-94</v>
      </c>
      <c r="P59" s="48">
        <v>94</v>
      </c>
      <c r="Q59" s="17">
        <v>0</v>
      </c>
      <c r="R59" s="24">
        <v>413.6</v>
      </c>
      <c r="S59" s="18" t="s">
        <v>28</v>
      </c>
      <c r="T59" s="25">
        <v>1</v>
      </c>
    </row>
    <row r="60" spans="1:20" s="26" customFormat="1" x14ac:dyDescent="0.25">
      <c r="A60" s="65">
        <v>221475</v>
      </c>
      <c r="B60" s="30" t="s">
        <v>1394</v>
      </c>
      <c r="C60" s="20" t="s">
        <v>628</v>
      </c>
      <c r="D60" s="20" t="s">
        <v>681</v>
      </c>
      <c r="E60" s="20" t="s">
        <v>1656</v>
      </c>
      <c r="F60" s="20" t="s">
        <v>1657</v>
      </c>
      <c r="G60" s="21">
        <v>18.8</v>
      </c>
      <c r="H60" s="16">
        <v>22</v>
      </c>
      <c r="I60" s="16"/>
      <c r="J60" s="17">
        <v>413.6</v>
      </c>
      <c r="K60" s="22"/>
      <c r="L60" s="23"/>
      <c r="M60" s="23">
        <v>0</v>
      </c>
      <c r="N60" s="19">
        <v>37.6</v>
      </c>
      <c r="O60" s="19">
        <v>-94</v>
      </c>
      <c r="P60" s="48">
        <v>94</v>
      </c>
      <c r="Q60" s="17">
        <v>0</v>
      </c>
      <c r="R60" s="24">
        <v>413.6</v>
      </c>
      <c r="S60" s="18" t="s">
        <v>28</v>
      </c>
      <c r="T60" s="25">
        <v>1</v>
      </c>
    </row>
    <row r="61" spans="1:20" s="26" customFormat="1" x14ac:dyDescent="0.25">
      <c r="A61" s="16">
        <v>221585</v>
      </c>
      <c r="B61" s="30" t="s">
        <v>66</v>
      </c>
      <c r="C61" s="20" t="s">
        <v>628</v>
      </c>
      <c r="D61" s="20" t="s">
        <v>681</v>
      </c>
      <c r="E61" s="20" t="s">
        <v>1658</v>
      </c>
      <c r="F61" s="20" t="s">
        <v>1659</v>
      </c>
      <c r="G61" s="21">
        <v>18.8</v>
      </c>
      <c r="H61" s="16">
        <v>22</v>
      </c>
      <c r="I61" s="16">
        <v>1</v>
      </c>
      <c r="J61" s="17">
        <v>394.8</v>
      </c>
      <c r="K61" s="22"/>
      <c r="L61" s="23"/>
      <c r="M61" s="23">
        <v>0</v>
      </c>
      <c r="N61" s="19">
        <v>37.6</v>
      </c>
      <c r="O61" s="19">
        <v>-94</v>
      </c>
      <c r="P61" s="48">
        <v>94</v>
      </c>
      <c r="Q61" s="17">
        <v>0</v>
      </c>
      <c r="R61" s="24">
        <v>394.8</v>
      </c>
      <c r="S61" s="18" t="s">
        <v>28</v>
      </c>
      <c r="T61" s="25">
        <v>1</v>
      </c>
    </row>
    <row r="62" spans="1:20" s="26" customFormat="1" x14ac:dyDescent="0.25">
      <c r="A62" s="16">
        <v>223493</v>
      </c>
      <c r="B62" s="30" t="s">
        <v>1134</v>
      </c>
      <c r="C62" s="20" t="s">
        <v>628</v>
      </c>
      <c r="D62" s="20" t="s">
        <v>681</v>
      </c>
      <c r="E62" s="20" t="s">
        <v>1660</v>
      </c>
      <c r="F62" s="20" t="s">
        <v>1661</v>
      </c>
      <c r="G62" s="21">
        <v>18.8</v>
      </c>
      <c r="H62" s="16">
        <v>22</v>
      </c>
      <c r="I62" s="16"/>
      <c r="J62" s="17">
        <v>413.6</v>
      </c>
      <c r="K62" s="22"/>
      <c r="L62" s="23"/>
      <c r="M62" s="23">
        <v>0</v>
      </c>
      <c r="N62" s="19">
        <v>37.6</v>
      </c>
      <c r="O62" s="19">
        <v>-94</v>
      </c>
      <c r="P62" s="48">
        <v>94</v>
      </c>
      <c r="Q62" s="17">
        <v>0</v>
      </c>
      <c r="R62" s="24">
        <v>413.6</v>
      </c>
      <c r="S62" s="18" t="s">
        <v>28</v>
      </c>
      <c r="T62" s="25">
        <v>1</v>
      </c>
    </row>
    <row r="63" spans="1:20" s="26" customFormat="1" x14ac:dyDescent="0.25">
      <c r="A63" s="16">
        <v>224758</v>
      </c>
      <c r="B63" s="30" t="s">
        <v>1027</v>
      </c>
      <c r="C63" s="20" t="s">
        <v>628</v>
      </c>
      <c r="D63" s="20" t="s">
        <v>681</v>
      </c>
      <c r="E63" s="20" t="s">
        <v>1662</v>
      </c>
      <c r="F63" s="20" t="s">
        <v>1663</v>
      </c>
      <c r="G63" s="21">
        <v>10</v>
      </c>
      <c r="H63" s="16">
        <v>22</v>
      </c>
      <c r="I63" s="16"/>
      <c r="J63" s="17">
        <v>220</v>
      </c>
      <c r="K63" s="22"/>
      <c r="L63" s="23"/>
      <c r="M63" s="23">
        <v>0</v>
      </c>
      <c r="N63" s="19">
        <v>20</v>
      </c>
      <c r="O63" s="19">
        <v>-50</v>
      </c>
      <c r="P63" s="48">
        <v>50</v>
      </c>
      <c r="Q63" s="17">
        <v>0</v>
      </c>
      <c r="R63" s="24">
        <v>220</v>
      </c>
      <c r="S63" s="18" t="s">
        <v>28</v>
      </c>
      <c r="T63" s="25">
        <v>1</v>
      </c>
    </row>
    <row r="64" spans="1:20" s="26" customFormat="1" x14ac:dyDescent="0.25">
      <c r="A64" s="16">
        <v>218860</v>
      </c>
      <c r="B64" s="30" t="s">
        <v>1028</v>
      </c>
      <c r="C64" s="20" t="s">
        <v>629</v>
      </c>
      <c r="D64" s="20" t="s">
        <v>1125</v>
      </c>
      <c r="E64" s="20" t="s">
        <v>1664</v>
      </c>
      <c r="F64" s="20" t="s">
        <v>1665</v>
      </c>
      <c r="G64" s="21">
        <v>18.8</v>
      </c>
      <c r="H64" s="16">
        <v>26</v>
      </c>
      <c r="I64" s="16">
        <v>1</v>
      </c>
      <c r="J64" s="17">
        <v>470</v>
      </c>
      <c r="K64" s="22"/>
      <c r="L64" s="23"/>
      <c r="M64" s="23">
        <v>0</v>
      </c>
      <c r="N64" s="19">
        <v>37.6</v>
      </c>
      <c r="O64" s="19">
        <v>-94</v>
      </c>
      <c r="P64" s="48">
        <v>94</v>
      </c>
      <c r="Q64" s="17">
        <v>0</v>
      </c>
      <c r="R64" s="24">
        <v>470</v>
      </c>
      <c r="S64" s="18" t="s">
        <v>28</v>
      </c>
      <c r="T64" s="25">
        <v>1</v>
      </c>
    </row>
    <row r="65" spans="1:20" s="26" customFormat="1" x14ac:dyDescent="0.25">
      <c r="A65" s="16">
        <v>219905</v>
      </c>
      <c r="B65" s="30" t="s">
        <v>68</v>
      </c>
      <c r="C65" s="20" t="s">
        <v>629</v>
      </c>
      <c r="D65" s="20" t="s">
        <v>925</v>
      </c>
      <c r="E65" s="20" t="s">
        <v>1666</v>
      </c>
      <c r="F65" s="20" t="s">
        <v>1667</v>
      </c>
      <c r="G65" s="21">
        <v>18.8</v>
      </c>
      <c r="H65" s="16">
        <v>22</v>
      </c>
      <c r="I65" s="16">
        <v>2</v>
      </c>
      <c r="J65" s="17">
        <v>376</v>
      </c>
      <c r="K65" s="22"/>
      <c r="L65" s="23"/>
      <c r="M65" s="23">
        <v>0</v>
      </c>
      <c r="N65" s="19">
        <v>37.6</v>
      </c>
      <c r="O65" s="19">
        <v>-94</v>
      </c>
      <c r="P65" s="48">
        <v>94</v>
      </c>
      <c r="Q65" s="17">
        <v>0</v>
      </c>
      <c r="R65" s="24">
        <v>376</v>
      </c>
      <c r="S65" s="18" t="s">
        <v>28</v>
      </c>
      <c r="T65" s="25">
        <v>1</v>
      </c>
    </row>
    <row r="66" spans="1:20" s="26" customFormat="1" x14ac:dyDescent="0.25">
      <c r="A66" s="16">
        <v>210024</v>
      </c>
      <c r="B66" s="30" t="s">
        <v>338</v>
      </c>
      <c r="C66" s="20" t="s">
        <v>630</v>
      </c>
      <c r="D66" s="20" t="s">
        <v>809</v>
      </c>
      <c r="E66" s="20" t="s">
        <v>1668</v>
      </c>
      <c r="F66" s="20" t="s">
        <v>1669</v>
      </c>
      <c r="G66" s="21">
        <v>10</v>
      </c>
      <c r="H66" s="16">
        <v>22</v>
      </c>
      <c r="I66" s="16"/>
      <c r="J66" s="17">
        <v>220</v>
      </c>
      <c r="K66" s="22"/>
      <c r="L66" s="23"/>
      <c r="M66" s="23">
        <v>0</v>
      </c>
      <c r="N66" s="19">
        <v>20</v>
      </c>
      <c r="O66" s="19">
        <v>-50</v>
      </c>
      <c r="P66" s="48">
        <v>50</v>
      </c>
      <c r="Q66" s="17">
        <v>0</v>
      </c>
      <c r="R66" s="24">
        <v>220</v>
      </c>
      <c r="S66" s="18" t="s">
        <v>28</v>
      </c>
      <c r="T66" s="25">
        <v>1</v>
      </c>
    </row>
    <row r="67" spans="1:20" s="26" customFormat="1" x14ac:dyDescent="0.25">
      <c r="A67" s="16">
        <v>211412</v>
      </c>
      <c r="B67" s="30" t="s">
        <v>1135</v>
      </c>
      <c r="C67" s="20" t="s">
        <v>630</v>
      </c>
      <c r="D67" s="20" t="s">
        <v>1261</v>
      </c>
      <c r="E67" s="20" t="s">
        <v>1670</v>
      </c>
      <c r="F67" s="20" t="s">
        <v>1671</v>
      </c>
      <c r="G67" s="21">
        <v>18.8</v>
      </c>
      <c r="H67" s="16">
        <v>22</v>
      </c>
      <c r="I67" s="16">
        <v>1</v>
      </c>
      <c r="J67" s="17">
        <v>394.8</v>
      </c>
      <c r="K67" s="22"/>
      <c r="L67" s="23"/>
      <c r="M67" s="23">
        <v>0</v>
      </c>
      <c r="N67" s="19">
        <v>37.6</v>
      </c>
      <c r="O67" s="19">
        <v>-94</v>
      </c>
      <c r="P67" s="48">
        <v>94</v>
      </c>
      <c r="Q67" s="17">
        <v>0</v>
      </c>
      <c r="R67" s="24">
        <v>394.8</v>
      </c>
      <c r="S67" s="18" t="s">
        <v>28</v>
      </c>
      <c r="T67" s="25">
        <v>1</v>
      </c>
    </row>
    <row r="68" spans="1:20" s="26" customFormat="1" x14ac:dyDescent="0.25">
      <c r="A68" s="16">
        <v>214315</v>
      </c>
      <c r="B68" s="30" t="s">
        <v>69</v>
      </c>
      <c r="C68" s="20" t="s">
        <v>630</v>
      </c>
      <c r="D68" s="20" t="s">
        <v>809</v>
      </c>
      <c r="E68" s="20" t="s">
        <v>1672</v>
      </c>
      <c r="F68" s="20" t="s">
        <v>1673</v>
      </c>
      <c r="G68" s="21">
        <v>18.8</v>
      </c>
      <c r="H68" s="16">
        <v>22</v>
      </c>
      <c r="I68" s="16"/>
      <c r="J68" s="17">
        <v>413.6</v>
      </c>
      <c r="K68" s="22"/>
      <c r="L68" s="23"/>
      <c r="M68" s="23">
        <v>0</v>
      </c>
      <c r="N68" s="19">
        <v>37.6</v>
      </c>
      <c r="O68" s="19">
        <v>-94</v>
      </c>
      <c r="P68" s="48">
        <v>94</v>
      </c>
      <c r="Q68" s="17">
        <v>0</v>
      </c>
      <c r="R68" s="24">
        <v>413.6</v>
      </c>
      <c r="S68" s="18" t="s">
        <v>28</v>
      </c>
      <c r="T68" s="25">
        <v>1</v>
      </c>
    </row>
    <row r="69" spans="1:20" s="26" customFormat="1" x14ac:dyDescent="0.25">
      <c r="A69" s="16">
        <v>218320</v>
      </c>
      <c r="B69" s="30" t="s">
        <v>70</v>
      </c>
      <c r="C69" s="20" t="s">
        <v>630</v>
      </c>
      <c r="D69" s="20" t="s">
        <v>683</v>
      </c>
      <c r="E69" s="20" t="s">
        <v>4188</v>
      </c>
      <c r="F69" s="20" t="s">
        <v>4183</v>
      </c>
      <c r="G69" s="21">
        <v>18.8</v>
      </c>
      <c r="H69" s="16">
        <v>0</v>
      </c>
      <c r="I69" s="16"/>
      <c r="J69" s="17">
        <v>0</v>
      </c>
      <c r="K69" s="22"/>
      <c r="L69" s="23"/>
      <c r="M69" s="23">
        <v>0</v>
      </c>
      <c r="N69" s="19">
        <v>37.6</v>
      </c>
      <c r="O69" s="19">
        <v>-94</v>
      </c>
      <c r="P69" s="48">
        <v>94</v>
      </c>
      <c r="Q69" s="17">
        <v>0</v>
      </c>
      <c r="R69" s="24">
        <v>0</v>
      </c>
      <c r="S69" s="18" t="s">
        <v>12</v>
      </c>
      <c r="T69" s="25">
        <v>1</v>
      </c>
    </row>
    <row r="70" spans="1:20" s="26" customFormat="1" x14ac:dyDescent="0.25">
      <c r="A70" s="16">
        <v>218391</v>
      </c>
      <c r="B70" s="30" t="s">
        <v>71</v>
      </c>
      <c r="C70" s="20" t="s">
        <v>630</v>
      </c>
      <c r="D70" s="20" t="s">
        <v>810</v>
      </c>
      <c r="E70" s="20" t="s">
        <v>1674</v>
      </c>
      <c r="F70" s="20" t="s">
        <v>1675</v>
      </c>
      <c r="G70" s="21">
        <v>18.8</v>
      </c>
      <c r="H70" s="16">
        <v>11</v>
      </c>
      <c r="I70" s="16"/>
      <c r="J70" s="17">
        <v>206.8</v>
      </c>
      <c r="K70" s="22"/>
      <c r="L70" s="23"/>
      <c r="M70" s="23">
        <v>0</v>
      </c>
      <c r="N70" s="19">
        <v>37.6</v>
      </c>
      <c r="O70" s="19">
        <v>-94</v>
      </c>
      <c r="P70" s="48">
        <v>94</v>
      </c>
      <c r="Q70" s="17">
        <v>0</v>
      </c>
      <c r="R70" s="24">
        <v>206.8</v>
      </c>
      <c r="S70" s="18" t="s">
        <v>28</v>
      </c>
      <c r="T70" s="25">
        <v>1</v>
      </c>
    </row>
    <row r="71" spans="1:20" s="26" customFormat="1" x14ac:dyDescent="0.25">
      <c r="A71" s="16">
        <v>222508</v>
      </c>
      <c r="B71" s="30" t="s">
        <v>72</v>
      </c>
      <c r="C71" s="20" t="s">
        <v>630</v>
      </c>
      <c r="D71" s="20" t="s">
        <v>810</v>
      </c>
      <c r="E71" s="20" t="s">
        <v>1676</v>
      </c>
      <c r="F71" s="20" t="s">
        <v>1677</v>
      </c>
      <c r="G71" s="21">
        <v>18.8</v>
      </c>
      <c r="H71" s="16">
        <v>22</v>
      </c>
      <c r="I71" s="16">
        <v>2</v>
      </c>
      <c r="J71" s="17">
        <v>376</v>
      </c>
      <c r="K71" s="22"/>
      <c r="L71" s="23"/>
      <c r="M71" s="23">
        <v>0</v>
      </c>
      <c r="N71" s="19">
        <v>37.6</v>
      </c>
      <c r="O71" s="19">
        <v>-94</v>
      </c>
      <c r="P71" s="48">
        <v>94</v>
      </c>
      <c r="Q71" s="17">
        <v>0</v>
      </c>
      <c r="R71" s="24">
        <v>376</v>
      </c>
      <c r="S71" s="18" t="s">
        <v>28</v>
      </c>
      <c r="T71" s="25">
        <v>1</v>
      </c>
    </row>
    <row r="72" spans="1:20" s="26" customFormat="1" x14ac:dyDescent="0.25">
      <c r="A72" s="16">
        <v>226793</v>
      </c>
      <c r="B72" s="30" t="s">
        <v>313</v>
      </c>
      <c r="C72" s="20" t="s">
        <v>630</v>
      </c>
      <c r="D72" s="20" t="s">
        <v>809</v>
      </c>
      <c r="E72" s="20" t="s">
        <v>1678</v>
      </c>
      <c r="F72" s="20" t="s">
        <v>1679</v>
      </c>
      <c r="G72" s="21">
        <v>18.8</v>
      </c>
      <c r="H72" s="16">
        <v>22</v>
      </c>
      <c r="I72" s="16"/>
      <c r="J72" s="17">
        <v>413.6</v>
      </c>
      <c r="K72" s="22"/>
      <c r="L72" s="23"/>
      <c r="M72" s="23">
        <v>0</v>
      </c>
      <c r="N72" s="19">
        <v>37.6</v>
      </c>
      <c r="O72" s="19">
        <v>-94</v>
      </c>
      <c r="P72" s="48">
        <v>94</v>
      </c>
      <c r="Q72" s="17">
        <v>0</v>
      </c>
      <c r="R72" s="24">
        <v>413.6</v>
      </c>
      <c r="S72" s="18" t="s">
        <v>28</v>
      </c>
      <c r="T72" s="25">
        <v>1</v>
      </c>
    </row>
    <row r="73" spans="1:20" s="26" customFormat="1" x14ac:dyDescent="0.25">
      <c r="A73" s="16">
        <v>229586</v>
      </c>
      <c r="B73" s="30" t="s">
        <v>456</v>
      </c>
      <c r="C73" s="20" t="s">
        <v>630</v>
      </c>
      <c r="D73" s="20" t="s">
        <v>736</v>
      </c>
      <c r="E73" s="20" t="s">
        <v>1680</v>
      </c>
      <c r="F73" s="20" t="s">
        <v>1681</v>
      </c>
      <c r="G73" s="21">
        <v>18.8</v>
      </c>
      <c r="H73" s="16">
        <v>22</v>
      </c>
      <c r="I73" s="16"/>
      <c r="J73" s="17">
        <v>413.6</v>
      </c>
      <c r="K73" s="22"/>
      <c r="L73" s="23"/>
      <c r="M73" s="23">
        <v>0</v>
      </c>
      <c r="N73" s="19">
        <v>37.6</v>
      </c>
      <c r="O73" s="19">
        <v>-94</v>
      </c>
      <c r="P73" s="48">
        <v>94</v>
      </c>
      <c r="Q73" s="17">
        <v>0</v>
      </c>
      <c r="R73" s="24">
        <v>413.6</v>
      </c>
      <c r="S73" s="18" t="s">
        <v>28</v>
      </c>
      <c r="T73" s="25">
        <v>1</v>
      </c>
    </row>
    <row r="74" spans="1:20" s="26" customFormat="1" x14ac:dyDescent="0.25">
      <c r="A74" s="16">
        <v>233309</v>
      </c>
      <c r="B74" s="30" t="s">
        <v>957</v>
      </c>
      <c r="C74" s="20" t="s">
        <v>630</v>
      </c>
      <c r="D74" s="20" t="s">
        <v>736</v>
      </c>
      <c r="E74" s="20" t="s">
        <v>1682</v>
      </c>
      <c r="F74" s="20" t="s">
        <v>1683</v>
      </c>
      <c r="G74" s="21">
        <v>18.8</v>
      </c>
      <c r="H74" s="16">
        <v>22</v>
      </c>
      <c r="I74" s="16"/>
      <c r="J74" s="17">
        <v>413.6</v>
      </c>
      <c r="K74" s="22"/>
      <c r="L74" s="23"/>
      <c r="M74" s="23">
        <v>0</v>
      </c>
      <c r="N74" s="19">
        <v>37.6</v>
      </c>
      <c r="O74" s="19">
        <v>-94</v>
      </c>
      <c r="P74" s="48">
        <v>94</v>
      </c>
      <c r="Q74" s="17">
        <v>0</v>
      </c>
      <c r="R74" s="24">
        <v>413.6</v>
      </c>
      <c r="S74" s="18" t="s">
        <v>28</v>
      </c>
      <c r="T74" s="25">
        <v>1</v>
      </c>
    </row>
    <row r="75" spans="1:20" s="26" customFormat="1" x14ac:dyDescent="0.25">
      <c r="A75" s="16">
        <v>200332</v>
      </c>
      <c r="B75" s="30" t="s">
        <v>73</v>
      </c>
      <c r="C75" s="20" t="s">
        <v>631</v>
      </c>
      <c r="D75" s="20" t="s">
        <v>684</v>
      </c>
      <c r="E75" s="20" t="s">
        <v>1684</v>
      </c>
      <c r="F75" s="20" t="s">
        <v>1685</v>
      </c>
      <c r="G75" s="21">
        <v>18.8</v>
      </c>
      <c r="H75" s="16">
        <v>26</v>
      </c>
      <c r="I75" s="16">
        <v>3</v>
      </c>
      <c r="J75" s="17">
        <v>432.40000000000003</v>
      </c>
      <c r="K75" s="22"/>
      <c r="L75" s="23"/>
      <c r="M75" s="23">
        <v>0</v>
      </c>
      <c r="N75" s="19">
        <v>37.6</v>
      </c>
      <c r="O75" s="19">
        <v>-94</v>
      </c>
      <c r="P75" s="48">
        <v>94</v>
      </c>
      <c r="Q75" s="17">
        <v>0</v>
      </c>
      <c r="R75" s="24">
        <v>432.40000000000003</v>
      </c>
      <c r="S75" s="18" t="s">
        <v>28</v>
      </c>
      <c r="T75" s="25">
        <v>1</v>
      </c>
    </row>
    <row r="76" spans="1:20" s="26" customFormat="1" x14ac:dyDescent="0.25">
      <c r="A76" s="16">
        <v>223002</v>
      </c>
      <c r="B76" s="30" t="s">
        <v>74</v>
      </c>
      <c r="C76" s="20" t="s">
        <v>631</v>
      </c>
      <c r="D76" s="20" t="s">
        <v>684</v>
      </c>
      <c r="E76" s="20" t="s">
        <v>1686</v>
      </c>
      <c r="F76" s="20" t="s">
        <v>1687</v>
      </c>
      <c r="G76" s="21">
        <v>18.8</v>
      </c>
      <c r="H76" s="16">
        <v>26</v>
      </c>
      <c r="I76" s="16">
        <v>1</v>
      </c>
      <c r="J76" s="17">
        <v>470</v>
      </c>
      <c r="K76" s="22"/>
      <c r="L76" s="23">
        <v>18.8</v>
      </c>
      <c r="M76" s="23">
        <v>18.8</v>
      </c>
      <c r="N76" s="19">
        <v>37.6</v>
      </c>
      <c r="O76" s="19">
        <v>-75.2</v>
      </c>
      <c r="P76" s="48">
        <v>94</v>
      </c>
      <c r="Q76" s="17">
        <v>0</v>
      </c>
      <c r="R76" s="24">
        <v>470</v>
      </c>
      <c r="S76" s="18" t="s">
        <v>28</v>
      </c>
      <c r="T76" s="25">
        <v>1</v>
      </c>
    </row>
    <row r="77" spans="1:20" s="26" customFormat="1" x14ac:dyDescent="0.25">
      <c r="A77" s="16">
        <v>223406</v>
      </c>
      <c r="B77" s="30" t="s">
        <v>1025</v>
      </c>
      <c r="C77" s="20" t="s">
        <v>631</v>
      </c>
      <c r="D77" s="20" t="s">
        <v>684</v>
      </c>
      <c r="E77" s="20" t="s">
        <v>1688</v>
      </c>
      <c r="F77" s="20" t="s">
        <v>1689</v>
      </c>
      <c r="G77" s="21">
        <v>18.8</v>
      </c>
      <c r="H77" s="16">
        <v>22</v>
      </c>
      <c r="I77" s="16"/>
      <c r="J77" s="17">
        <v>413.6</v>
      </c>
      <c r="K77" s="22"/>
      <c r="L77" s="23"/>
      <c r="M77" s="23">
        <v>0</v>
      </c>
      <c r="N77" s="19">
        <v>37.6</v>
      </c>
      <c r="O77" s="19">
        <v>-94</v>
      </c>
      <c r="P77" s="48">
        <v>94</v>
      </c>
      <c r="Q77" s="17">
        <v>0</v>
      </c>
      <c r="R77" s="24">
        <v>413.6</v>
      </c>
      <c r="S77" s="18" t="s">
        <v>28</v>
      </c>
      <c r="T77" s="25">
        <v>1</v>
      </c>
    </row>
    <row r="78" spans="1:20" s="26" customFormat="1" x14ac:dyDescent="0.25">
      <c r="A78" s="16">
        <v>223553</v>
      </c>
      <c r="B78" s="30" t="s">
        <v>75</v>
      </c>
      <c r="C78" s="20" t="s">
        <v>632</v>
      </c>
      <c r="D78" s="20" t="s">
        <v>685</v>
      </c>
      <c r="E78" s="20" t="s">
        <v>1690</v>
      </c>
      <c r="F78" s="20" t="s">
        <v>1691</v>
      </c>
      <c r="G78" s="21">
        <v>18.8</v>
      </c>
      <c r="H78" s="16">
        <v>26</v>
      </c>
      <c r="I78" s="16">
        <v>1</v>
      </c>
      <c r="J78" s="17">
        <v>470</v>
      </c>
      <c r="K78" s="22"/>
      <c r="L78" s="23"/>
      <c r="M78" s="23">
        <v>0</v>
      </c>
      <c r="N78" s="19">
        <v>37.6</v>
      </c>
      <c r="O78" s="19">
        <v>-94</v>
      </c>
      <c r="P78" s="48">
        <v>94</v>
      </c>
      <c r="Q78" s="17">
        <v>0</v>
      </c>
      <c r="R78" s="24">
        <v>470</v>
      </c>
      <c r="S78" s="18" t="s">
        <v>28</v>
      </c>
      <c r="T78" s="25">
        <v>1</v>
      </c>
    </row>
    <row r="79" spans="1:20" s="26" customFormat="1" x14ac:dyDescent="0.25">
      <c r="A79" s="16">
        <v>70088</v>
      </c>
      <c r="B79" s="30" t="s">
        <v>284</v>
      </c>
      <c r="C79" s="20" t="s">
        <v>633</v>
      </c>
      <c r="D79" s="20" t="s">
        <v>686</v>
      </c>
      <c r="E79" s="20" t="s">
        <v>1692</v>
      </c>
      <c r="F79" s="20" t="s">
        <v>1693</v>
      </c>
      <c r="G79" s="21">
        <v>18.8</v>
      </c>
      <c r="H79" s="16">
        <v>26</v>
      </c>
      <c r="I79" s="16"/>
      <c r="J79" s="17">
        <v>488.8</v>
      </c>
      <c r="K79" s="22"/>
      <c r="L79" s="23">
        <v>150.4</v>
      </c>
      <c r="M79" s="23">
        <v>150.4</v>
      </c>
      <c r="N79" s="19">
        <v>37.6</v>
      </c>
      <c r="O79" s="19">
        <v>56.400000000000006</v>
      </c>
      <c r="P79" s="48">
        <v>94</v>
      </c>
      <c r="Q79" s="17">
        <v>56.400000000000006</v>
      </c>
      <c r="R79" s="24">
        <v>432.4</v>
      </c>
      <c r="S79" s="18" t="s">
        <v>11</v>
      </c>
      <c r="T79" s="25">
        <v>1</v>
      </c>
    </row>
    <row r="80" spans="1:20" s="26" customFormat="1" x14ac:dyDescent="0.25">
      <c r="A80" s="16">
        <v>212467</v>
      </c>
      <c r="B80" s="30" t="s">
        <v>340</v>
      </c>
      <c r="C80" s="20" t="s">
        <v>633</v>
      </c>
      <c r="D80" s="20" t="s">
        <v>686</v>
      </c>
      <c r="E80" s="20" t="s">
        <v>1694</v>
      </c>
      <c r="F80" s="20" t="s">
        <v>1695</v>
      </c>
      <c r="G80" s="21">
        <v>18.8</v>
      </c>
      <c r="H80" s="16">
        <v>26</v>
      </c>
      <c r="I80" s="16"/>
      <c r="J80" s="17">
        <v>488.8</v>
      </c>
      <c r="K80" s="22"/>
      <c r="L80" s="23"/>
      <c r="M80" s="23">
        <v>0</v>
      </c>
      <c r="N80" s="19">
        <v>37.6</v>
      </c>
      <c r="O80" s="19">
        <v>-94</v>
      </c>
      <c r="P80" s="48">
        <v>94</v>
      </c>
      <c r="Q80" s="17">
        <v>0</v>
      </c>
      <c r="R80" s="24">
        <v>488.8</v>
      </c>
      <c r="S80" s="18" t="s">
        <v>28</v>
      </c>
      <c r="T80" s="25">
        <v>1</v>
      </c>
    </row>
    <row r="81" spans="1:20" s="26" customFormat="1" x14ac:dyDescent="0.25">
      <c r="A81" s="16">
        <v>211151</v>
      </c>
      <c r="B81" s="30" t="s">
        <v>76</v>
      </c>
      <c r="C81" s="20" t="s">
        <v>634</v>
      </c>
      <c r="D81" s="20" t="s">
        <v>688</v>
      </c>
      <c r="E81" s="20" t="s">
        <v>1696</v>
      </c>
      <c r="F81" s="20" t="s">
        <v>1697</v>
      </c>
      <c r="G81" s="21">
        <v>13.4</v>
      </c>
      <c r="H81" s="16">
        <v>22</v>
      </c>
      <c r="I81" s="16">
        <v>1</v>
      </c>
      <c r="J81" s="17">
        <v>281.40000000000003</v>
      </c>
      <c r="K81" s="22"/>
      <c r="L81" s="23"/>
      <c r="M81" s="23">
        <v>0</v>
      </c>
      <c r="N81" s="19">
        <v>26.8</v>
      </c>
      <c r="O81" s="19">
        <v>-67</v>
      </c>
      <c r="P81" s="48">
        <v>67</v>
      </c>
      <c r="Q81" s="17">
        <v>0</v>
      </c>
      <c r="R81" s="24">
        <v>281.40000000000003</v>
      </c>
      <c r="S81" s="18" t="s">
        <v>28</v>
      </c>
      <c r="T81" s="25">
        <v>1</v>
      </c>
    </row>
    <row r="82" spans="1:20" s="26" customFormat="1" x14ac:dyDescent="0.25">
      <c r="A82" s="16">
        <v>231397</v>
      </c>
      <c r="B82" s="30" t="s">
        <v>781</v>
      </c>
      <c r="C82" s="20" t="s">
        <v>634</v>
      </c>
      <c r="D82" s="20" t="s">
        <v>687</v>
      </c>
      <c r="E82" s="20" t="s">
        <v>1698</v>
      </c>
      <c r="F82" s="20" t="s">
        <v>1699</v>
      </c>
      <c r="G82" s="21">
        <v>13.4</v>
      </c>
      <c r="H82" s="16">
        <v>22</v>
      </c>
      <c r="I82" s="16">
        <v>1</v>
      </c>
      <c r="J82" s="17">
        <v>281.40000000000003</v>
      </c>
      <c r="K82" s="22"/>
      <c r="L82" s="23">
        <v>11.9</v>
      </c>
      <c r="M82" s="23">
        <v>11.9</v>
      </c>
      <c r="N82" s="19">
        <v>26.8</v>
      </c>
      <c r="O82" s="19">
        <v>-55.1</v>
      </c>
      <c r="P82" s="48">
        <v>67</v>
      </c>
      <c r="Q82" s="17">
        <v>0</v>
      </c>
      <c r="R82" s="24">
        <v>281.40000000000003</v>
      </c>
      <c r="S82" s="18" t="s">
        <v>28</v>
      </c>
      <c r="T82" s="25">
        <v>1</v>
      </c>
    </row>
    <row r="83" spans="1:20" s="26" customFormat="1" x14ac:dyDescent="0.25">
      <c r="A83" s="16">
        <v>214435</v>
      </c>
      <c r="B83" s="30" t="s">
        <v>78</v>
      </c>
      <c r="C83" s="20" t="s">
        <v>635</v>
      </c>
      <c r="D83" s="20" t="s">
        <v>689</v>
      </c>
      <c r="E83" s="20" t="s">
        <v>1700</v>
      </c>
      <c r="F83" s="20" t="s">
        <v>1701</v>
      </c>
      <c r="G83" s="21">
        <v>18.8</v>
      </c>
      <c r="H83" s="16">
        <v>22</v>
      </c>
      <c r="I83" s="16"/>
      <c r="J83" s="17">
        <v>413.6</v>
      </c>
      <c r="K83" s="22"/>
      <c r="L83" s="23"/>
      <c r="M83" s="23">
        <v>0</v>
      </c>
      <c r="N83" s="19">
        <v>37.6</v>
      </c>
      <c r="O83" s="19">
        <v>-94</v>
      </c>
      <c r="P83" s="48">
        <v>94</v>
      </c>
      <c r="Q83" s="17">
        <v>0</v>
      </c>
      <c r="R83" s="24">
        <v>413.6</v>
      </c>
      <c r="S83" s="18" t="s">
        <v>28</v>
      </c>
      <c r="T83" s="25">
        <v>1</v>
      </c>
    </row>
    <row r="84" spans="1:20" s="26" customFormat="1" x14ac:dyDescent="0.25">
      <c r="A84" s="16">
        <v>215803</v>
      </c>
      <c r="B84" s="30" t="s">
        <v>79</v>
      </c>
      <c r="C84" s="20" t="s">
        <v>635</v>
      </c>
      <c r="D84" s="20" t="s">
        <v>689</v>
      </c>
      <c r="E84" s="20" t="s">
        <v>1702</v>
      </c>
      <c r="F84" s="20" t="s">
        <v>1703</v>
      </c>
      <c r="G84" s="21">
        <v>18.8</v>
      </c>
      <c r="H84" s="16">
        <v>22</v>
      </c>
      <c r="I84" s="16"/>
      <c r="J84" s="17">
        <v>413.6</v>
      </c>
      <c r="K84" s="22"/>
      <c r="L84" s="23"/>
      <c r="M84" s="23">
        <v>0</v>
      </c>
      <c r="N84" s="19">
        <v>37.6</v>
      </c>
      <c r="O84" s="19">
        <v>-94</v>
      </c>
      <c r="P84" s="48">
        <v>94</v>
      </c>
      <c r="Q84" s="17">
        <v>0</v>
      </c>
      <c r="R84" s="24">
        <v>413.6</v>
      </c>
      <c r="S84" s="18" t="s">
        <v>28</v>
      </c>
      <c r="T84" s="25">
        <v>1</v>
      </c>
    </row>
    <row r="85" spans="1:20" s="26" customFormat="1" x14ac:dyDescent="0.25">
      <c r="A85" s="16">
        <v>217087</v>
      </c>
      <c r="B85" s="30" t="s">
        <v>60</v>
      </c>
      <c r="C85" s="20" t="s">
        <v>635</v>
      </c>
      <c r="D85" s="20" t="s">
        <v>689</v>
      </c>
      <c r="E85" s="20" t="s">
        <v>1704</v>
      </c>
      <c r="F85" s="20" t="s">
        <v>1705</v>
      </c>
      <c r="G85" s="21">
        <v>18.8</v>
      </c>
      <c r="H85" s="16">
        <v>22</v>
      </c>
      <c r="I85" s="16"/>
      <c r="J85" s="17">
        <v>413.6</v>
      </c>
      <c r="K85" s="22"/>
      <c r="L85" s="23"/>
      <c r="M85" s="23">
        <v>0</v>
      </c>
      <c r="N85" s="19">
        <v>37.6</v>
      </c>
      <c r="O85" s="19">
        <v>-94</v>
      </c>
      <c r="P85" s="48">
        <v>94</v>
      </c>
      <c r="Q85" s="17">
        <v>0</v>
      </c>
      <c r="R85" s="24">
        <v>413.6</v>
      </c>
      <c r="S85" s="18" t="s">
        <v>28</v>
      </c>
      <c r="T85" s="25">
        <v>1</v>
      </c>
    </row>
    <row r="86" spans="1:20" s="26" customFormat="1" x14ac:dyDescent="0.25">
      <c r="A86" s="16">
        <v>219411</v>
      </c>
      <c r="B86" s="30" t="s">
        <v>1029</v>
      </c>
      <c r="C86" s="20" t="s">
        <v>635</v>
      </c>
      <c r="D86" s="20" t="s">
        <v>689</v>
      </c>
      <c r="E86" s="20" t="s">
        <v>1706</v>
      </c>
      <c r="F86" s="20" t="s">
        <v>1707</v>
      </c>
      <c r="G86" s="21">
        <v>18.8</v>
      </c>
      <c r="H86" s="16">
        <v>22</v>
      </c>
      <c r="I86" s="16"/>
      <c r="J86" s="17">
        <v>413.6</v>
      </c>
      <c r="K86" s="22"/>
      <c r="L86" s="23"/>
      <c r="M86" s="23">
        <v>0</v>
      </c>
      <c r="N86" s="19">
        <v>37.6</v>
      </c>
      <c r="O86" s="19">
        <v>-94</v>
      </c>
      <c r="P86" s="48">
        <v>94</v>
      </c>
      <c r="Q86" s="17">
        <v>0</v>
      </c>
      <c r="R86" s="24">
        <v>413.6</v>
      </c>
      <c r="S86" s="18" t="s">
        <v>28</v>
      </c>
      <c r="T86" s="25">
        <v>1</v>
      </c>
    </row>
    <row r="87" spans="1:20" s="26" customFormat="1" x14ac:dyDescent="0.25">
      <c r="A87" s="16">
        <v>223052</v>
      </c>
      <c r="B87" s="30" t="s">
        <v>102</v>
      </c>
      <c r="C87" s="20" t="s">
        <v>635</v>
      </c>
      <c r="D87" s="20" t="s">
        <v>698</v>
      </c>
      <c r="E87" s="20" t="s">
        <v>1708</v>
      </c>
      <c r="F87" s="20" t="s">
        <v>1709</v>
      </c>
      <c r="G87" s="21">
        <v>10</v>
      </c>
      <c r="H87" s="16">
        <v>26</v>
      </c>
      <c r="I87" s="16"/>
      <c r="J87" s="17">
        <v>260</v>
      </c>
      <c r="K87" s="22"/>
      <c r="L87" s="23"/>
      <c r="M87" s="23">
        <v>0</v>
      </c>
      <c r="N87" s="19">
        <v>20</v>
      </c>
      <c r="O87" s="19">
        <v>-50</v>
      </c>
      <c r="P87" s="48">
        <v>50</v>
      </c>
      <c r="Q87" s="17">
        <v>0</v>
      </c>
      <c r="R87" s="24">
        <v>260</v>
      </c>
      <c r="S87" s="18" t="s">
        <v>28</v>
      </c>
      <c r="T87" s="25">
        <v>1</v>
      </c>
    </row>
    <row r="88" spans="1:20" s="26" customFormat="1" x14ac:dyDescent="0.25">
      <c r="A88" s="16">
        <v>223903</v>
      </c>
      <c r="B88" s="30" t="s">
        <v>549</v>
      </c>
      <c r="C88" s="20" t="s">
        <v>635</v>
      </c>
      <c r="D88" s="20" t="s">
        <v>689</v>
      </c>
      <c r="E88" s="20" t="s">
        <v>1710</v>
      </c>
      <c r="F88" s="20" t="s">
        <v>1711</v>
      </c>
      <c r="G88" s="21">
        <v>18.8</v>
      </c>
      <c r="H88" s="16">
        <v>22</v>
      </c>
      <c r="I88" s="16">
        <v>2</v>
      </c>
      <c r="J88" s="17">
        <v>376</v>
      </c>
      <c r="K88" s="22"/>
      <c r="L88" s="23"/>
      <c r="M88" s="23">
        <v>0</v>
      </c>
      <c r="N88" s="19">
        <v>37.6</v>
      </c>
      <c r="O88" s="19">
        <v>-94</v>
      </c>
      <c r="P88" s="48">
        <v>94</v>
      </c>
      <c r="Q88" s="17">
        <v>0</v>
      </c>
      <c r="R88" s="24">
        <v>376</v>
      </c>
      <c r="S88" s="18" t="s">
        <v>28</v>
      </c>
      <c r="T88" s="25">
        <v>1</v>
      </c>
    </row>
    <row r="89" spans="1:20" s="26" customFormat="1" x14ac:dyDescent="0.25">
      <c r="A89" s="16">
        <v>224432</v>
      </c>
      <c r="B89" s="30" t="s">
        <v>1136</v>
      </c>
      <c r="C89" s="20" t="s">
        <v>635</v>
      </c>
      <c r="D89" s="20" t="s">
        <v>689</v>
      </c>
      <c r="E89" s="20" t="s">
        <v>1712</v>
      </c>
      <c r="F89" s="20" t="s">
        <v>1713</v>
      </c>
      <c r="G89" s="21">
        <v>10</v>
      </c>
      <c r="H89" s="16">
        <v>22</v>
      </c>
      <c r="I89" s="16"/>
      <c r="J89" s="17">
        <v>220</v>
      </c>
      <c r="K89" s="22"/>
      <c r="L89" s="23"/>
      <c r="M89" s="23">
        <v>0</v>
      </c>
      <c r="N89" s="19">
        <v>20</v>
      </c>
      <c r="O89" s="19">
        <v>-50</v>
      </c>
      <c r="P89" s="48">
        <v>50</v>
      </c>
      <c r="Q89" s="17">
        <v>0</v>
      </c>
      <c r="R89" s="24">
        <v>220</v>
      </c>
      <c r="S89" s="18" t="s">
        <v>28</v>
      </c>
      <c r="T89" s="25">
        <v>1</v>
      </c>
    </row>
    <row r="90" spans="1:20" s="26" customFormat="1" x14ac:dyDescent="0.25">
      <c r="A90" s="16">
        <v>224706</v>
      </c>
      <c r="B90" s="30" t="s">
        <v>896</v>
      </c>
      <c r="C90" s="20" t="s">
        <v>635</v>
      </c>
      <c r="D90" s="20" t="s">
        <v>698</v>
      </c>
      <c r="E90" s="20" t="s">
        <v>1714</v>
      </c>
      <c r="F90" s="20" t="s">
        <v>1715</v>
      </c>
      <c r="G90" s="21">
        <v>18.8</v>
      </c>
      <c r="H90" s="16">
        <v>26</v>
      </c>
      <c r="I90" s="16">
        <v>2</v>
      </c>
      <c r="J90" s="17">
        <v>451.20000000000005</v>
      </c>
      <c r="K90" s="22"/>
      <c r="L90" s="23"/>
      <c r="M90" s="23">
        <v>0</v>
      </c>
      <c r="N90" s="19">
        <v>37.6</v>
      </c>
      <c r="O90" s="19">
        <v>-94</v>
      </c>
      <c r="P90" s="48">
        <v>94</v>
      </c>
      <c r="Q90" s="17">
        <v>0</v>
      </c>
      <c r="R90" s="24">
        <v>451.20000000000005</v>
      </c>
      <c r="S90" s="18" t="s">
        <v>28</v>
      </c>
      <c r="T90" s="25">
        <v>1</v>
      </c>
    </row>
    <row r="91" spans="1:20" s="26" customFormat="1" x14ac:dyDescent="0.25">
      <c r="A91" s="16">
        <v>224771</v>
      </c>
      <c r="B91" s="30" t="s">
        <v>1156</v>
      </c>
      <c r="C91" s="20" t="s">
        <v>635</v>
      </c>
      <c r="D91" s="20" t="s">
        <v>689</v>
      </c>
      <c r="E91" s="20" t="s">
        <v>1716</v>
      </c>
      <c r="F91" s="20" t="s">
        <v>1717</v>
      </c>
      <c r="G91" s="21">
        <v>18.8</v>
      </c>
      <c r="H91" s="16">
        <v>26</v>
      </c>
      <c r="I91" s="16"/>
      <c r="J91" s="17">
        <v>488.8</v>
      </c>
      <c r="K91" s="22"/>
      <c r="L91" s="23"/>
      <c r="M91" s="23">
        <v>0</v>
      </c>
      <c r="N91" s="19">
        <v>37.6</v>
      </c>
      <c r="O91" s="19">
        <v>-94</v>
      </c>
      <c r="P91" s="48">
        <v>94</v>
      </c>
      <c r="Q91" s="17">
        <v>0</v>
      </c>
      <c r="R91" s="24">
        <v>488.8</v>
      </c>
      <c r="S91" s="18" t="s">
        <v>28</v>
      </c>
      <c r="T91" s="25">
        <v>1</v>
      </c>
    </row>
    <row r="92" spans="1:20" s="26" customFormat="1" x14ac:dyDescent="0.25">
      <c r="A92" s="16">
        <v>225943</v>
      </c>
      <c r="B92" s="30" t="s">
        <v>1395</v>
      </c>
      <c r="C92" s="20" t="s">
        <v>635</v>
      </c>
      <c r="D92" s="20" t="s">
        <v>689</v>
      </c>
      <c r="E92" s="20" t="s">
        <v>1718</v>
      </c>
      <c r="F92" s="20" t="s">
        <v>1719</v>
      </c>
      <c r="G92" s="21">
        <v>19.7</v>
      </c>
      <c r="H92" s="16">
        <v>22</v>
      </c>
      <c r="I92" s="16"/>
      <c r="J92" s="17">
        <v>433.4</v>
      </c>
      <c r="K92" s="22"/>
      <c r="L92" s="23"/>
      <c r="M92" s="23">
        <v>0</v>
      </c>
      <c r="N92" s="19">
        <v>39.4</v>
      </c>
      <c r="O92" s="19">
        <v>-98.5</v>
      </c>
      <c r="P92" s="48">
        <v>98.5</v>
      </c>
      <c r="Q92" s="17">
        <v>0</v>
      </c>
      <c r="R92" s="24">
        <v>433.4</v>
      </c>
      <c r="S92" s="18" t="s">
        <v>28</v>
      </c>
      <c r="T92" s="25">
        <v>1</v>
      </c>
    </row>
    <row r="93" spans="1:20" s="26" customFormat="1" x14ac:dyDescent="0.25">
      <c r="A93" s="16">
        <v>228536</v>
      </c>
      <c r="B93" s="30" t="s">
        <v>124</v>
      </c>
      <c r="C93" s="20" t="s">
        <v>635</v>
      </c>
      <c r="D93" s="20" t="s">
        <v>698</v>
      </c>
      <c r="E93" s="20" t="s">
        <v>1720</v>
      </c>
      <c r="F93" s="20" t="s">
        <v>1721</v>
      </c>
      <c r="G93" s="21">
        <v>18.8</v>
      </c>
      <c r="H93" s="16">
        <v>26</v>
      </c>
      <c r="I93" s="16"/>
      <c r="J93" s="17">
        <v>488.8</v>
      </c>
      <c r="K93" s="22"/>
      <c r="L93" s="23"/>
      <c r="M93" s="23">
        <v>0</v>
      </c>
      <c r="N93" s="19">
        <v>37.6</v>
      </c>
      <c r="O93" s="19">
        <v>-94</v>
      </c>
      <c r="P93" s="48">
        <v>94</v>
      </c>
      <c r="Q93" s="17">
        <v>0</v>
      </c>
      <c r="R93" s="24">
        <v>488.8</v>
      </c>
      <c r="S93" s="18" t="s">
        <v>28</v>
      </c>
      <c r="T93" s="25">
        <v>1</v>
      </c>
    </row>
    <row r="94" spans="1:20" s="26" customFormat="1" x14ac:dyDescent="0.25">
      <c r="A94" s="16">
        <v>229194</v>
      </c>
      <c r="B94" s="30" t="s">
        <v>126</v>
      </c>
      <c r="C94" s="20" t="s">
        <v>635</v>
      </c>
      <c r="D94" s="20" t="s">
        <v>689</v>
      </c>
      <c r="E94" s="20" t="s">
        <v>1722</v>
      </c>
      <c r="F94" s="20" t="s">
        <v>1723</v>
      </c>
      <c r="G94" s="21">
        <v>18.8</v>
      </c>
      <c r="H94" s="16">
        <v>22</v>
      </c>
      <c r="I94" s="16"/>
      <c r="J94" s="17">
        <v>413.6</v>
      </c>
      <c r="K94" s="22"/>
      <c r="L94" s="23"/>
      <c r="M94" s="23">
        <v>0</v>
      </c>
      <c r="N94" s="19">
        <v>37.6</v>
      </c>
      <c r="O94" s="19">
        <v>-94</v>
      </c>
      <c r="P94" s="48">
        <v>94</v>
      </c>
      <c r="Q94" s="17">
        <v>0</v>
      </c>
      <c r="R94" s="24">
        <v>413.6</v>
      </c>
      <c r="S94" s="18" t="s">
        <v>28</v>
      </c>
      <c r="T94" s="25">
        <v>1</v>
      </c>
    </row>
    <row r="95" spans="1:20" s="26" customFormat="1" x14ac:dyDescent="0.25">
      <c r="A95" s="16">
        <v>231784</v>
      </c>
      <c r="B95" s="30" t="s">
        <v>1137</v>
      </c>
      <c r="C95" s="20" t="s">
        <v>636</v>
      </c>
      <c r="D95" s="20" t="s">
        <v>690</v>
      </c>
      <c r="E95" s="20" t="s">
        <v>1724</v>
      </c>
      <c r="F95" s="20" t="s">
        <v>1725</v>
      </c>
      <c r="G95" s="21">
        <v>18.8</v>
      </c>
      <c r="H95" s="16">
        <v>22</v>
      </c>
      <c r="I95" s="16">
        <v>3</v>
      </c>
      <c r="J95" s="17">
        <v>357.2</v>
      </c>
      <c r="K95" s="22"/>
      <c r="L95" s="23"/>
      <c r="M95" s="23">
        <v>0</v>
      </c>
      <c r="N95" s="19">
        <v>37.6</v>
      </c>
      <c r="O95" s="19">
        <v>-94</v>
      </c>
      <c r="P95" s="48">
        <v>94</v>
      </c>
      <c r="Q95" s="17">
        <v>0</v>
      </c>
      <c r="R95" s="24">
        <v>357.2</v>
      </c>
      <c r="S95" s="18" t="s">
        <v>28</v>
      </c>
      <c r="T95" s="25">
        <v>1</v>
      </c>
    </row>
    <row r="96" spans="1:20" s="26" customFormat="1" x14ac:dyDescent="0.25">
      <c r="A96" s="16">
        <v>233013</v>
      </c>
      <c r="B96" s="30" t="s">
        <v>958</v>
      </c>
      <c r="C96" s="20" t="s">
        <v>636</v>
      </c>
      <c r="D96" s="20" t="s">
        <v>690</v>
      </c>
      <c r="E96" s="20" t="s">
        <v>1726</v>
      </c>
      <c r="F96" s="20" t="s">
        <v>1727</v>
      </c>
      <c r="G96" s="21">
        <v>10</v>
      </c>
      <c r="H96" s="16">
        <v>22</v>
      </c>
      <c r="I96" s="16">
        <v>5</v>
      </c>
      <c r="J96" s="17">
        <v>170</v>
      </c>
      <c r="K96" s="22"/>
      <c r="L96" s="23"/>
      <c r="M96" s="23">
        <v>0</v>
      </c>
      <c r="N96" s="19">
        <v>20</v>
      </c>
      <c r="O96" s="19">
        <v>-50</v>
      </c>
      <c r="P96" s="48">
        <v>50</v>
      </c>
      <c r="Q96" s="17">
        <v>0</v>
      </c>
      <c r="R96" s="24">
        <v>170</v>
      </c>
      <c r="S96" s="18" t="s">
        <v>28</v>
      </c>
      <c r="T96" s="25">
        <v>1</v>
      </c>
    </row>
    <row r="97" spans="1:20" s="26" customFormat="1" x14ac:dyDescent="0.25">
      <c r="A97" s="16">
        <v>233211</v>
      </c>
      <c r="B97" s="30" t="s">
        <v>959</v>
      </c>
      <c r="C97" s="20" t="s">
        <v>636</v>
      </c>
      <c r="D97" s="20" t="s">
        <v>690</v>
      </c>
      <c r="E97" s="20" t="s">
        <v>1728</v>
      </c>
      <c r="F97" s="20" t="s">
        <v>1729</v>
      </c>
      <c r="G97" s="21">
        <v>18.8</v>
      </c>
      <c r="H97" s="16">
        <v>22</v>
      </c>
      <c r="I97" s="16">
        <v>1</v>
      </c>
      <c r="J97" s="17">
        <v>394.8</v>
      </c>
      <c r="K97" s="22"/>
      <c r="L97" s="23"/>
      <c r="M97" s="23">
        <v>0</v>
      </c>
      <c r="N97" s="19">
        <v>37.6</v>
      </c>
      <c r="O97" s="19">
        <v>-94</v>
      </c>
      <c r="P97" s="48">
        <v>94</v>
      </c>
      <c r="Q97" s="17">
        <v>0</v>
      </c>
      <c r="R97" s="24">
        <v>394.8</v>
      </c>
      <c r="S97" s="18" t="s">
        <v>28</v>
      </c>
      <c r="T97" s="25">
        <v>1</v>
      </c>
    </row>
    <row r="98" spans="1:20" s="26" customFormat="1" x14ac:dyDescent="0.25">
      <c r="A98" s="16">
        <v>233212</v>
      </c>
      <c r="B98" s="30" t="s">
        <v>1340</v>
      </c>
      <c r="C98" s="20" t="s">
        <v>636</v>
      </c>
      <c r="D98" s="20" t="s">
        <v>690</v>
      </c>
      <c r="E98" s="20" t="s">
        <v>1730</v>
      </c>
      <c r="F98" s="20" t="s">
        <v>1731</v>
      </c>
      <c r="G98" s="21">
        <v>13.4</v>
      </c>
      <c r="H98" s="16">
        <v>22</v>
      </c>
      <c r="I98" s="16">
        <v>1</v>
      </c>
      <c r="J98" s="17">
        <v>281.40000000000003</v>
      </c>
      <c r="K98" s="22"/>
      <c r="L98" s="23">
        <v>178.5</v>
      </c>
      <c r="M98" s="23">
        <v>178.5</v>
      </c>
      <c r="N98" s="19">
        <v>26.8</v>
      </c>
      <c r="O98" s="19">
        <v>111.5</v>
      </c>
      <c r="P98" s="48">
        <v>67</v>
      </c>
      <c r="Q98" s="17">
        <v>111.5</v>
      </c>
      <c r="R98" s="24">
        <v>169.90000000000003</v>
      </c>
      <c r="S98" s="18" t="s">
        <v>11</v>
      </c>
      <c r="T98" s="25">
        <v>1</v>
      </c>
    </row>
    <row r="99" spans="1:20" s="26" customFormat="1" x14ac:dyDescent="0.25">
      <c r="A99" s="16">
        <v>234388</v>
      </c>
      <c r="B99" s="30" t="s">
        <v>1270</v>
      </c>
      <c r="C99" s="20" t="s">
        <v>636</v>
      </c>
      <c r="D99" s="20" t="s">
        <v>690</v>
      </c>
      <c r="E99" s="20" t="s">
        <v>1732</v>
      </c>
      <c r="F99" s="20" t="s">
        <v>1733</v>
      </c>
      <c r="G99" s="21">
        <v>18.8</v>
      </c>
      <c r="H99" s="16">
        <v>22</v>
      </c>
      <c r="I99" s="16">
        <v>4</v>
      </c>
      <c r="J99" s="17">
        <v>338.40000000000003</v>
      </c>
      <c r="K99" s="22"/>
      <c r="L99" s="23"/>
      <c r="M99" s="23">
        <v>0</v>
      </c>
      <c r="N99" s="19">
        <v>37.6</v>
      </c>
      <c r="O99" s="19">
        <v>-94</v>
      </c>
      <c r="P99" s="48">
        <v>94</v>
      </c>
      <c r="Q99" s="17">
        <v>0</v>
      </c>
      <c r="R99" s="24">
        <v>338.40000000000003</v>
      </c>
      <c r="S99" s="18" t="s">
        <v>28</v>
      </c>
      <c r="T99" s="25">
        <v>1</v>
      </c>
    </row>
    <row r="100" spans="1:20" s="26" customFormat="1" x14ac:dyDescent="0.25">
      <c r="A100" s="65">
        <v>20162</v>
      </c>
      <c r="B100" s="30" t="s">
        <v>82</v>
      </c>
      <c r="C100" s="20" t="s">
        <v>637</v>
      </c>
      <c r="D100" s="20" t="s">
        <v>691</v>
      </c>
      <c r="E100" s="20" t="s">
        <v>1734</v>
      </c>
      <c r="F100" s="20" t="s">
        <v>1735</v>
      </c>
      <c r="G100" s="21">
        <v>18.8</v>
      </c>
      <c r="H100" s="16">
        <v>22</v>
      </c>
      <c r="I100" s="16"/>
      <c r="J100" s="17">
        <v>413.6</v>
      </c>
      <c r="K100" s="22"/>
      <c r="L100" s="23"/>
      <c r="M100" s="23">
        <v>0</v>
      </c>
      <c r="N100" s="19">
        <v>37.6</v>
      </c>
      <c r="O100" s="19">
        <v>-94</v>
      </c>
      <c r="P100" s="48">
        <v>94</v>
      </c>
      <c r="Q100" s="17">
        <v>0</v>
      </c>
      <c r="R100" s="24">
        <v>413.6</v>
      </c>
      <c r="S100" s="18" t="s">
        <v>28</v>
      </c>
      <c r="T100" s="25">
        <v>1</v>
      </c>
    </row>
    <row r="101" spans="1:20" s="26" customFormat="1" x14ac:dyDescent="0.25">
      <c r="A101" s="16">
        <v>200996</v>
      </c>
      <c r="B101" s="30" t="s">
        <v>83</v>
      </c>
      <c r="C101" s="20" t="s">
        <v>637</v>
      </c>
      <c r="D101" s="20" t="s">
        <v>694</v>
      </c>
      <c r="E101" s="20" t="s">
        <v>1736</v>
      </c>
      <c r="F101" s="20" t="s">
        <v>1737</v>
      </c>
      <c r="G101" s="21">
        <v>13.4</v>
      </c>
      <c r="H101" s="16">
        <v>22</v>
      </c>
      <c r="I101" s="16"/>
      <c r="J101" s="17">
        <v>294.8</v>
      </c>
      <c r="K101" s="22"/>
      <c r="L101" s="23"/>
      <c r="M101" s="23">
        <v>0</v>
      </c>
      <c r="N101" s="19">
        <v>26.8</v>
      </c>
      <c r="O101" s="19">
        <v>-67</v>
      </c>
      <c r="P101" s="48">
        <v>67</v>
      </c>
      <c r="Q101" s="17">
        <v>0</v>
      </c>
      <c r="R101" s="24">
        <v>294.8</v>
      </c>
      <c r="S101" s="18" t="s">
        <v>28</v>
      </c>
      <c r="T101" s="25">
        <v>1</v>
      </c>
    </row>
    <row r="102" spans="1:20" s="26" customFormat="1" x14ac:dyDescent="0.25">
      <c r="A102" s="16">
        <v>207912</v>
      </c>
      <c r="B102" s="30" t="s">
        <v>84</v>
      </c>
      <c r="C102" s="20" t="s">
        <v>637</v>
      </c>
      <c r="D102" s="20" t="s">
        <v>696</v>
      </c>
      <c r="E102" s="20" t="s">
        <v>1738</v>
      </c>
      <c r="F102" s="20" t="s">
        <v>1739</v>
      </c>
      <c r="G102" s="21">
        <v>18.8</v>
      </c>
      <c r="H102" s="16">
        <v>24</v>
      </c>
      <c r="I102" s="16"/>
      <c r="J102" s="17">
        <v>451.20000000000005</v>
      </c>
      <c r="K102" s="22"/>
      <c r="L102" s="23"/>
      <c r="M102" s="23">
        <v>0</v>
      </c>
      <c r="N102" s="19">
        <v>37.6</v>
      </c>
      <c r="O102" s="19">
        <v>-94</v>
      </c>
      <c r="P102" s="48">
        <v>94</v>
      </c>
      <c r="Q102" s="17">
        <v>0</v>
      </c>
      <c r="R102" s="24">
        <v>451.20000000000005</v>
      </c>
      <c r="S102" s="18" t="s">
        <v>28</v>
      </c>
      <c r="T102" s="25">
        <v>1</v>
      </c>
    </row>
    <row r="103" spans="1:20" s="26" customFormat="1" x14ac:dyDescent="0.25">
      <c r="A103" s="16">
        <v>213507</v>
      </c>
      <c r="B103" s="30" t="s">
        <v>85</v>
      </c>
      <c r="C103" s="20" t="s">
        <v>637</v>
      </c>
      <c r="D103" s="20" t="s">
        <v>696</v>
      </c>
      <c r="E103" s="20" t="s">
        <v>1740</v>
      </c>
      <c r="F103" s="20" t="s">
        <v>1741</v>
      </c>
      <c r="G103" s="21">
        <v>18.8</v>
      </c>
      <c r="H103" s="16">
        <v>22</v>
      </c>
      <c r="I103" s="16">
        <v>1</v>
      </c>
      <c r="J103" s="17">
        <v>394.8</v>
      </c>
      <c r="K103" s="22"/>
      <c r="L103" s="23"/>
      <c r="M103" s="23">
        <v>0</v>
      </c>
      <c r="N103" s="19">
        <v>37.6</v>
      </c>
      <c r="O103" s="19">
        <v>-94</v>
      </c>
      <c r="P103" s="48">
        <v>94</v>
      </c>
      <c r="Q103" s="17">
        <v>0</v>
      </c>
      <c r="R103" s="24">
        <v>394.8</v>
      </c>
      <c r="S103" s="18" t="s">
        <v>28</v>
      </c>
      <c r="T103" s="25">
        <v>1</v>
      </c>
    </row>
    <row r="104" spans="1:20" s="26" customFormat="1" x14ac:dyDescent="0.25">
      <c r="A104" s="16">
        <v>213519</v>
      </c>
      <c r="B104" s="30" t="s">
        <v>86</v>
      </c>
      <c r="C104" s="20" t="s">
        <v>637</v>
      </c>
      <c r="D104" s="20" t="s">
        <v>1262</v>
      </c>
      <c r="E104" s="20" t="s">
        <v>1742</v>
      </c>
      <c r="F104" s="20" t="s">
        <v>1743</v>
      </c>
      <c r="G104" s="21">
        <v>13.4</v>
      </c>
      <c r="H104" s="16">
        <v>24</v>
      </c>
      <c r="I104" s="16">
        <v>1</v>
      </c>
      <c r="J104" s="17">
        <v>308.2</v>
      </c>
      <c r="K104" s="22"/>
      <c r="L104" s="23"/>
      <c r="M104" s="23">
        <v>0</v>
      </c>
      <c r="N104" s="19">
        <v>26.8</v>
      </c>
      <c r="O104" s="19">
        <v>-67</v>
      </c>
      <c r="P104" s="48">
        <v>67</v>
      </c>
      <c r="Q104" s="17">
        <v>0</v>
      </c>
      <c r="R104" s="24">
        <v>308.2</v>
      </c>
      <c r="S104" s="18" t="s">
        <v>28</v>
      </c>
      <c r="T104" s="25">
        <v>1</v>
      </c>
    </row>
    <row r="105" spans="1:20" s="26" customFormat="1" x14ac:dyDescent="0.25">
      <c r="A105" s="16">
        <v>214687</v>
      </c>
      <c r="B105" s="30" t="s">
        <v>87</v>
      </c>
      <c r="C105" s="20" t="s">
        <v>637</v>
      </c>
      <c r="D105" s="20" t="s">
        <v>696</v>
      </c>
      <c r="E105" s="20" t="s">
        <v>1744</v>
      </c>
      <c r="F105" s="20" t="s">
        <v>1745</v>
      </c>
      <c r="G105" s="21">
        <v>18.8</v>
      </c>
      <c r="H105" s="16">
        <v>22</v>
      </c>
      <c r="I105" s="16">
        <v>4</v>
      </c>
      <c r="J105" s="17">
        <v>338.40000000000003</v>
      </c>
      <c r="K105" s="22"/>
      <c r="L105" s="23"/>
      <c r="M105" s="23">
        <v>0</v>
      </c>
      <c r="N105" s="19">
        <v>37.6</v>
      </c>
      <c r="O105" s="19">
        <v>-94</v>
      </c>
      <c r="P105" s="48">
        <v>94</v>
      </c>
      <c r="Q105" s="17">
        <v>0</v>
      </c>
      <c r="R105" s="24">
        <v>338.40000000000003</v>
      </c>
      <c r="S105" s="18" t="s">
        <v>28</v>
      </c>
      <c r="T105" s="25">
        <v>1</v>
      </c>
    </row>
    <row r="106" spans="1:20" s="26" customFormat="1" x14ac:dyDescent="0.25">
      <c r="A106" s="16">
        <v>215583</v>
      </c>
      <c r="B106" s="30" t="s">
        <v>1138</v>
      </c>
      <c r="C106" s="20" t="s">
        <v>637</v>
      </c>
      <c r="D106" s="20" t="s">
        <v>695</v>
      </c>
      <c r="E106" s="20" t="s">
        <v>1746</v>
      </c>
      <c r="F106" s="20" t="s">
        <v>1747</v>
      </c>
      <c r="G106" s="21">
        <v>18.8</v>
      </c>
      <c r="H106" s="16">
        <v>22</v>
      </c>
      <c r="I106" s="16"/>
      <c r="J106" s="17">
        <v>413.6</v>
      </c>
      <c r="K106" s="22"/>
      <c r="L106" s="23"/>
      <c r="M106" s="23">
        <v>0</v>
      </c>
      <c r="N106" s="19">
        <v>37.6</v>
      </c>
      <c r="O106" s="19">
        <v>-94</v>
      </c>
      <c r="P106" s="48">
        <v>94</v>
      </c>
      <c r="Q106" s="17">
        <v>0</v>
      </c>
      <c r="R106" s="24">
        <v>413.6</v>
      </c>
      <c r="S106" s="18" t="s">
        <v>28</v>
      </c>
      <c r="T106" s="25">
        <v>1</v>
      </c>
    </row>
    <row r="107" spans="1:20" s="26" customFormat="1" x14ac:dyDescent="0.25">
      <c r="A107" s="16">
        <v>215873</v>
      </c>
      <c r="B107" s="30" t="s">
        <v>88</v>
      </c>
      <c r="C107" s="20" t="s">
        <v>637</v>
      </c>
      <c r="D107" s="20" t="s">
        <v>691</v>
      </c>
      <c r="E107" s="20" t="s">
        <v>1748</v>
      </c>
      <c r="F107" s="20" t="s">
        <v>1749</v>
      </c>
      <c r="G107" s="21">
        <v>18.8</v>
      </c>
      <c r="H107" s="16">
        <v>24</v>
      </c>
      <c r="I107" s="16"/>
      <c r="J107" s="17">
        <v>451.20000000000005</v>
      </c>
      <c r="K107" s="22"/>
      <c r="L107" s="23"/>
      <c r="M107" s="23">
        <v>0</v>
      </c>
      <c r="N107" s="19">
        <v>37.6</v>
      </c>
      <c r="O107" s="19">
        <v>-94</v>
      </c>
      <c r="P107" s="48">
        <v>94</v>
      </c>
      <c r="Q107" s="17">
        <v>0</v>
      </c>
      <c r="R107" s="24">
        <v>451.20000000000005</v>
      </c>
      <c r="S107" s="18" t="s">
        <v>28</v>
      </c>
      <c r="T107" s="25">
        <v>1</v>
      </c>
    </row>
    <row r="108" spans="1:20" s="26" customFormat="1" x14ac:dyDescent="0.25">
      <c r="A108" s="16">
        <v>216314</v>
      </c>
      <c r="B108" s="30" t="s">
        <v>89</v>
      </c>
      <c r="C108" s="20" t="s">
        <v>637</v>
      </c>
      <c r="D108" s="20" t="s">
        <v>696</v>
      </c>
      <c r="E108" s="20" t="s">
        <v>1750</v>
      </c>
      <c r="F108" s="20" t="s">
        <v>1751</v>
      </c>
      <c r="G108" s="21">
        <v>18.8</v>
      </c>
      <c r="H108" s="16">
        <v>24</v>
      </c>
      <c r="I108" s="16"/>
      <c r="J108" s="17">
        <v>451.20000000000005</v>
      </c>
      <c r="K108" s="22"/>
      <c r="L108" s="23"/>
      <c r="M108" s="23">
        <v>0</v>
      </c>
      <c r="N108" s="19">
        <v>37.6</v>
      </c>
      <c r="O108" s="19">
        <v>-94</v>
      </c>
      <c r="P108" s="48">
        <v>94</v>
      </c>
      <c r="Q108" s="17">
        <v>0</v>
      </c>
      <c r="R108" s="24">
        <v>451.20000000000005</v>
      </c>
      <c r="S108" s="18" t="s">
        <v>28</v>
      </c>
      <c r="T108" s="25">
        <v>1</v>
      </c>
    </row>
    <row r="109" spans="1:20" s="26" customFormat="1" x14ac:dyDescent="0.25">
      <c r="A109" s="16">
        <v>218146</v>
      </c>
      <c r="B109" s="30" t="s">
        <v>1139</v>
      </c>
      <c r="C109" s="20" t="s">
        <v>637</v>
      </c>
      <c r="D109" s="20" t="s">
        <v>696</v>
      </c>
      <c r="E109" s="20" t="s">
        <v>1752</v>
      </c>
      <c r="F109" s="20" t="s">
        <v>1753</v>
      </c>
      <c r="G109" s="21">
        <v>18.8</v>
      </c>
      <c r="H109" s="16">
        <v>27</v>
      </c>
      <c r="I109" s="16">
        <v>5</v>
      </c>
      <c r="J109" s="17">
        <v>413.6</v>
      </c>
      <c r="K109" s="22"/>
      <c r="L109" s="23"/>
      <c r="M109" s="23">
        <v>0</v>
      </c>
      <c r="N109" s="19">
        <v>37.6</v>
      </c>
      <c r="O109" s="19">
        <v>-94</v>
      </c>
      <c r="P109" s="48">
        <v>94</v>
      </c>
      <c r="Q109" s="17">
        <v>0</v>
      </c>
      <c r="R109" s="24">
        <v>413.6</v>
      </c>
      <c r="S109" s="18" t="s">
        <v>28</v>
      </c>
      <c r="T109" s="25">
        <v>1</v>
      </c>
    </row>
    <row r="110" spans="1:20" s="26" customFormat="1" x14ac:dyDescent="0.25">
      <c r="A110" s="16">
        <v>219032</v>
      </c>
      <c r="B110" s="30" t="s">
        <v>90</v>
      </c>
      <c r="C110" s="20" t="s">
        <v>637</v>
      </c>
      <c r="D110" s="20" t="s">
        <v>695</v>
      </c>
      <c r="E110" s="20" t="s">
        <v>1754</v>
      </c>
      <c r="F110" s="20" t="s">
        <v>1755</v>
      </c>
      <c r="G110" s="21">
        <v>18.8</v>
      </c>
      <c r="H110" s="16">
        <v>3</v>
      </c>
      <c r="I110" s="16"/>
      <c r="J110" s="17">
        <v>56.400000000000006</v>
      </c>
      <c r="K110" s="22"/>
      <c r="L110" s="23"/>
      <c r="M110" s="23">
        <v>0</v>
      </c>
      <c r="N110" s="19">
        <v>37.6</v>
      </c>
      <c r="O110" s="19">
        <v>-94</v>
      </c>
      <c r="P110" s="48">
        <v>94</v>
      </c>
      <c r="Q110" s="17">
        <v>0</v>
      </c>
      <c r="R110" s="24">
        <v>56.400000000000006</v>
      </c>
      <c r="S110" s="18" t="s">
        <v>28</v>
      </c>
      <c r="T110" s="25">
        <v>1</v>
      </c>
    </row>
    <row r="111" spans="1:20" s="26" customFormat="1" x14ac:dyDescent="0.25">
      <c r="A111" s="16">
        <v>219381</v>
      </c>
      <c r="B111" s="30" t="s">
        <v>1140</v>
      </c>
      <c r="C111" s="20" t="s">
        <v>637</v>
      </c>
      <c r="D111" s="20" t="s">
        <v>696</v>
      </c>
      <c r="E111" s="20" t="s">
        <v>1756</v>
      </c>
      <c r="F111" s="20" t="s">
        <v>1757</v>
      </c>
      <c r="G111" s="21">
        <v>18.8</v>
      </c>
      <c r="H111" s="16">
        <v>22</v>
      </c>
      <c r="I111" s="16"/>
      <c r="J111" s="17">
        <v>413.6</v>
      </c>
      <c r="K111" s="22"/>
      <c r="L111" s="23"/>
      <c r="M111" s="23">
        <v>0</v>
      </c>
      <c r="N111" s="19">
        <v>37.6</v>
      </c>
      <c r="O111" s="19">
        <v>-94</v>
      </c>
      <c r="P111" s="48">
        <v>94</v>
      </c>
      <c r="Q111" s="17">
        <v>0</v>
      </c>
      <c r="R111" s="24">
        <v>413.6</v>
      </c>
      <c r="S111" s="18" t="s">
        <v>28</v>
      </c>
      <c r="T111" s="25">
        <v>1</v>
      </c>
    </row>
    <row r="112" spans="1:20" s="26" customFormat="1" x14ac:dyDescent="0.25">
      <c r="A112" s="16">
        <v>219567</v>
      </c>
      <c r="B112" s="30" t="s">
        <v>91</v>
      </c>
      <c r="C112" s="20" t="s">
        <v>637</v>
      </c>
      <c r="D112" s="20" t="s">
        <v>692</v>
      </c>
      <c r="E112" s="20" t="s">
        <v>1758</v>
      </c>
      <c r="F112" s="20" t="s">
        <v>1759</v>
      </c>
      <c r="G112" s="21">
        <v>18.8</v>
      </c>
      <c r="H112" s="16">
        <v>24</v>
      </c>
      <c r="I112" s="16"/>
      <c r="J112" s="17">
        <v>451.20000000000005</v>
      </c>
      <c r="K112" s="22"/>
      <c r="L112" s="23"/>
      <c r="M112" s="23">
        <v>0</v>
      </c>
      <c r="N112" s="19">
        <v>37.6</v>
      </c>
      <c r="O112" s="19">
        <v>-94</v>
      </c>
      <c r="P112" s="48">
        <v>94</v>
      </c>
      <c r="Q112" s="17">
        <v>0</v>
      </c>
      <c r="R112" s="24">
        <v>451.20000000000005</v>
      </c>
      <c r="S112" s="18" t="s">
        <v>28</v>
      </c>
      <c r="T112" s="25">
        <v>1</v>
      </c>
    </row>
    <row r="113" spans="1:20" s="26" customFormat="1" x14ac:dyDescent="0.25">
      <c r="A113" s="16">
        <v>219592</v>
      </c>
      <c r="B113" s="30" t="s">
        <v>92</v>
      </c>
      <c r="C113" s="20" t="s">
        <v>637</v>
      </c>
      <c r="D113" s="20" t="s">
        <v>691</v>
      </c>
      <c r="E113" s="20" t="s">
        <v>1760</v>
      </c>
      <c r="F113" s="20" t="s">
        <v>1761</v>
      </c>
      <c r="G113" s="21">
        <v>18.8</v>
      </c>
      <c r="H113" s="16">
        <v>24</v>
      </c>
      <c r="I113" s="16"/>
      <c r="J113" s="17">
        <v>451.20000000000005</v>
      </c>
      <c r="K113" s="22"/>
      <c r="L113" s="23">
        <v>56.4</v>
      </c>
      <c r="M113" s="23">
        <v>56.4</v>
      </c>
      <c r="N113" s="19">
        <v>37.6</v>
      </c>
      <c r="O113" s="19">
        <v>-37.6</v>
      </c>
      <c r="P113" s="48">
        <v>94</v>
      </c>
      <c r="Q113" s="17">
        <v>0</v>
      </c>
      <c r="R113" s="24">
        <v>451.20000000000005</v>
      </c>
      <c r="S113" s="18" t="s">
        <v>28</v>
      </c>
      <c r="T113" s="25">
        <v>1</v>
      </c>
    </row>
    <row r="114" spans="1:20" s="26" customFormat="1" x14ac:dyDescent="0.25">
      <c r="A114" s="16">
        <v>219606</v>
      </c>
      <c r="B114" s="30" t="s">
        <v>1030</v>
      </c>
      <c r="C114" s="20" t="s">
        <v>637</v>
      </c>
      <c r="D114" s="20" t="s">
        <v>692</v>
      </c>
      <c r="E114" s="20" t="s">
        <v>1762</v>
      </c>
      <c r="F114" s="20" t="s">
        <v>1763</v>
      </c>
      <c r="G114" s="21">
        <v>18.8</v>
      </c>
      <c r="H114" s="16">
        <v>27</v>
      </c>
      <c r="I114" s="16"/>
      <c r="J114" s="17">
        <v>507.6</v>
      </c>
      <c r="K114" s="22"/>
      <c r="L114" s="23"/>
      <c r="M114" s="23">
        <v>0</v>
      </c>
      <c r="N114" s="19">
        <v>37.6</v>
      </c>
      <c r="O114" s="19">
        <v>-94</v>
      </c>
      <c r="P114" s="48">
        <v>94</v>
      </c>
      <c r="Q114" s="17">
        <v>0</v>
      </c>
      <c r="R114" s="24">
        <v>507.6</v>
      </c>
      <c r="S114" s="18" t="s">
        <v>28</v>
      </c>
      <c r="T114" s="25">
        <v>1</v>
      </c>
    </row>
    <row r="115" spans="1:20" s="26" customFormat="1" x14ac:dyDescent="0.25">
      <c r="A115" s="16">
        <v>219750</v>
      </c>
      <c r="B115" s="30" t="s">
        <v>1396</v>
      </c>
      <c r="C115" s="20" t="s">
        <v>637</v>
      </c>
      <c r="D115" s="20" t="s">
        <v>692</v>
      </c>
      <c r="E115" s="20" t="s">
        <v>1764</v>
      </c>
      <c r="F115" s="20" t="s">
        <v>1765</v>
      </c>
      <c r="G115" s="21">
        <v>18.8</v>
      </c>
      <c r="H115" s="16">
        <v>24</v>
      </c>
      <c r="I115" s="16"/>
      <c r="J115" s="17">
        <v>451.20000000000005</v>
      </c>
      <c r="K115" s="22"/>
      <c r="L115" s="23"/>
      <c r="M115" s="23">
        <v>0</v>
      </c>
      <c r="N115" s="19">
        <v>37.6</v>
      </c>
      <c r="O115" s="19">
        <v>-94</v>
      </c>
      <c r="P115" s="48">
        <v>94</v>
      </c>
      <c r="Q115" s="17">
        <v>0</v>
      </c>
      <c r="R115" s="24">
        <v>451.20000000000005</v>
      </c>
      <c r="S115" s="18" t="s">
        <v>28</v>
      </c>
      <c r="T115" s="25">
        <v>1</v>
      </c>
    </row>
    <row r="116" spans="1:20" s="26" customFormat="1" x14ac:dyDescent="0.25">
      <c r="A116" s="16">
        <v>220268</v>
      </c>
      <c r="B116" s="30" t="s">
        <v>93</v>
      </c>
      <c r="C116" s="20" t="s">
        <v>637</v>
      </c>
      <c r="D116" s="20" t="s">
        <v>696</v>
      </c>
      <c r="E116" s="20" t="s">
        <v>1766</v>
      </c>
      <c r="F116" s="20" t="s">
        <v>1767</v>
      </c>
      <c r="G116" s="21">
        <v>18.8</v>
      </c>
      <c r="H116" s="16">
        <v>22</v>
      </c>
      <c r="I116" s="16">
        <v>2</v>
      </c>
      <c r="J116" s="17">
        <v>376</v>
      </c>
      <c r="K116" s="22"/>
      <c r="L116" s="23"/>
      <c r="M116" s="23">
        <v>0</v>
      </c>
      <c r="N116" s="19">
        <v>37.6</v>
      </c>
      <c r="O116" s="19">
        <v>-94</v>
      </c>
      <c r="P116" s="48">
        <v>94</v>
      </c>
      <c r="Q116" s="17">
        <v>0</v>
      </c>
      <c r="R116" s="24">
        <v>376</v>
      </c>
      <c r="S116" s="18" t="s">
        <v>28</v>
      </c>
      <c r="T116" s="25">
        <v>1</v>
      </c>
    </row>
    <row r="117" spans="1:20" s="26" customFormat="1" x14ac:dyDescent="0.25">
      <c r="A117" s="16">
        <v>220844</v>
      </c>
      <c r="B117" s="30" t="s">
        <v>94</v>
      </c>
      <c r="C117" s="20" t="s">
        <v>637</v>
      </c>
      <c r="D117" s="20" t="s">
        <v>696</v>
      </c>
      <c r="E117" s="20" t="s">
        <v>1768</v>
      </c>
      <c r="F117" s="20" t="s">
        <v>1769</v>
      </c>
      <c r="G117" s="21">
        <v>18.8</v>
      </c>
      <c r="H117" s="16">
        <v>27</v>
      </c>
      <c r="I117" s="16">
        <v>2</v>
      </c>
      <c r="J117" s="17">
        <v>470</v>
      </c>
      <c r="K117" s="22"/>
      <c r="L117" s="23"/>
      <c r="M117" s="23">
        <v>0</v>
      </c>
      <c r="N117" s="19">
        <v>37.6</v>
      </c>
      <c r="O117" s="19">
        <v>-94</v>
      </c>
      <c r="P117" s="48">
        <v>94</v>
      </c>
      <c r="Q117" s="17">
        <v>0</v>
      </c>
      <c r="R117" s="24">
        <v>470</v>
      </c>
      <c r="S117" s="18" t="s">
        <v>28</v>
      </c>
      <c r="T117" s="25">
        <v>1</v>
      </c>
    </row>
    <row r="118" spans="1:20" s="26" customFormat="1" x14ac:dyDescent="0.25">
      <c r="A118" s="16">
        <v>221472</v>
      </c>
      <c r="B118" s="30" t="s">
        <v>95</v>
      </c>
      <c r="C118" s="20" t="s">
        <v>637</v>
      </c>
      <c r="D118" s="20" t="s">
        <v>692</v>
      </c>
      <c r="E118" s="20" t="s">
        <v>1770</v>
      </c>
      <c r="F118" s="20" t="s">
        <v>1771</v>
      </c>
      <c r="G118" s="21">
        <v>18.8</v>
      </c>
      <c r="H118" s="16">
        <v>24</v>
      </c>
      <c r="I118" s="16"/>
      <c r="J118" s="17">
        <v>451.20000000000005</v>
      </c>
      <c r="K118" s="22"/>
      <c r="L118" s="23"/>
      <c r="M118" s="23">
        <v>0</v>
      </c>
      <c r="N118" s="19">
        <v>37.6</v>
      </c>
      <c r="O118" s="19">
        <v>-94</v>
      </c>
      <c r="P118" s="48">
        <v>94</v>
      </c>
      <c r="Q118" s="17">
        <v>0</v>
      </c>
      <c r="R118" s="24">
        <v>451.20000000000005</v>
      </c>
      <c r="S118" s="18" t="s">
        <v>28</v>
      </c>
      <c r="T118" s="25">
        <v>1</v>
      </c>
    </row>
    <row r="119" spans="1:20" s="26" customFormat="1" x14ac:dyDescent="0.25">
      <c r="A119" s="16">
        <v>222313</v>
      </c>
      <c r="B119" s="30" t="s">
        <v>96</v>
      </c>
      <c r="C119" s="20" t="s">
        <v>637</v>
      </c>
      <c r="D119" s="20" t="s">
        <v>696</v>
      </c>
      <c r="E119" s="20" t="s">
        <v>1772</v>
      </c>
      <c r="F119" s="20" t="s">
        <v>1773</v>
      </c>
      <c r="G119" s="21">
        <v>18.8</v>
      </c>
      <c r="H119" s="16">
        <v>27</v>
      </c>
      <c r="I119" s="16"/>
      <c r="J119" s="17">
        <v>507.6</v>
      </c>
      <c r="K119" s="22"/>
      <c r="L119" s="23"/>
      <c r="M119" s="23">
        <v>0</v>
      </c>
      <c r="N119" s="19">
        <v>37.6</v>
      </c>
      <c r="O119" s="19">
        <v>-94</v>
      </c>
      <c r="P119" s="48">
        <v>94</v>
      </c>
      <c r="Q119" s="17">
        <v>0</v>
      </c>
      <c r="R119" s="24">
        <v>507.6</v>
      </c>
      <c r="S119" s="18" t="s">
        <v>28</v>
      </c>
      <c r="T119" s="25">
        <v>1</v>
      </c>
    </row>
    <row r="120" spans="1:20" s="26" customFormat="1" x14ac:dyDescent="0.25">
      <c r="A120" s="16">
        <v>222443</v>
      </c>
      <c r="B120" s="30" t="s">
        <v>97</v>
      </c>
      <c r="C120" s="20" t="s">
        <v>637</v>
      </c>
      <c r="D120" s="20" t="s">
        <v>692</v>
      </c>
      <c r="E120" s="20" t="s">
        <v>1774</v>
      </c>
      <c r="F120" s="20" t="s">
        <v>1775</v>
      </c>
      <c r="G120" s="21">
        <v>18.8</v>
      </c>
      <c r="H120" s="16">
        <v>27</v>
      </c>
      <c r="I120" s="16">
        <v>5</v>
      </c>
      <c r="J120" s="17">
        <v>413.6</v>
      </c>
      <c r="K120" s="22"/>
      <c r="L120" s="23"/>
      <c r="M120" s="23">
        <v>0</v>
      </c>
      <c r="N120" s="19">
        <v>37.6</v>
      </c>
      <c r="O120" s="19">
        <v>-94</v>
      </c>
      <c r="P120" s="48">
        <v>94</v>
      </c>
      <c r="Q120" s="17">
        <v>0</v>
      </c>
      <c r="R120" s="24">
        <v>413.6</v>
      </c>
      <c r="S120" s="18" t="s">
        <v>28</v>
      </c>
      <c r="T120" s="25">
        <v>1</v>
      </c>
    </row>
    <row r="121" spans="1:20" s="26" customFormat="1" x14ac:dyDescent="0.25">
      <c r="A121" s="16">
        <v>222607</v>
      </c>
      <c r="B121" s="30" t="s">
        <v>98</v>
      </c>
      <c r="C121" s="20" t="s">
        <v>637</v>
      </c>
      <c r="D121" s="20" t="s">
        <v>696</v>
      </c>
      <c r="E121" s="20" t="s">
        <v>1776</v>
      </c>
      <c r="F121" s="20" t="s">
        <v>1777</v>
      </c>
      <c r="G121" s="21">
        <v>18.8</v>
      </c>
      <c r="H121" s="16">
        <v>22</v>
      </c>
      <c r="I121" s="16"/>
      <c r="J121" s="17">
        <v>413.6</v>
      </c>
      <c r="K121" s="22"/>
      <c r="L121" s="23"/>
      <c r="M121" s="23">
        <v>0</v>
      </c>
      <c r="N121" s="19">
        <v>37.6</v>
      </c>
      <c r="O121" s="19">
        <v>-94</v>
      </c>
      <c r="P121" s="48">
        <v>94</v>
      </c>
      <c r="Q121" s="17">
        <v>0</v>
      </c>
      <c r="R121" s="24">
        <v>413.6</v>
      </c>
      <c r="S121" s="18" t="s">
        <v>28</v>
      </c>
      <c r="T121" s="25">
        <v>1</v>
      </c>
    </row>
    <row r="122" spans="1:20" s="26" customFormat="1" x14ac:dyDescent="0.25">
      <c r="A122" s="16">
        <v>222631</v>
      </c>
      <c r="B122" s="30" t="s">
        <v>99</v>
      </c>
      <c r="C122" s="20" t="s">
        <v>637</v>
      </c>
      <c r="D122" s="20" t="s">
        <v>692</v>
      </c>
      <c r="E122" s="20" t="s">
        <v>1778</v>
      </c>
      <c r="F122" s="20" t="s">
        <v>1779</v>
      </c>
      <c r="G122" s="21">
        <v>18.8</v>
      </c>
      <c r="H122" s="16">
        <v>24</v>
      </c>
      <c r="I122" s="16"/>
      <c r="J122" s="17">
        <v>451.20000000000005</v>
      </c>
      <c r="K122" s="22"/>
      <c r="L122" s="23"/>
      <c r="M122" s="23">
        <v>0</v>
      </c>
      <c r="N122" s="19">
        <v>37.6</v>
      </c>
      <c r="O122" s="19">
        <v>-94</v>
      </c>
      <c r="P122" s="48">
        <v>94</v>
      </c>
      <c r="Q122" s="17">
        <v>0</v>
      </c>
      <c r="R122" s="24">
        <v>451.20000000000005</v>
      </c>
      <c r="S122" s="18" t="s">
        <v>28</v>
      </c>
      <c r="T122" s="25">
        <v>1</v>
      </c>
    </row>
    <row r="123" spans="1:20" s="26" customFormat="1" x14ac:dyDescent="0.25">
      <c r="A123" s="16">
        <v>222634</v>
      </c>
      <c r="B123" s="30" t="s">
        <v>100</v>
      </c>
      <c r="C123" s="20" t="s">
        <v>637</v>
      </c>
      <c r="D123" s="20" t="s">
        <v>692</v>
      </c>
      <c r="E123" s="20" t="s">
        <v>1780</v>
      </c>
      <c r="F123" s="20" t="s">
        <v>1781</v>
      </c>
      <c r="G123" s="21">
        <v>18.8</v>
      </c>
      <c r="H123" s="16">
        <v>24</v>
      </c>
      <c r="I123" s="16">
        <v>1</v>
      </c>
      <c r="J123" s="17">
        <v>432.40000000000003</v>
      </c>
      <c r="K123" s="22"/>
      <c r="L123" s="23">
        <v>37.6</v>
      </c>
      <c r="M123" s="23">
        <v>37.6</v>
      </c>
      <c r="N123" s="19">
        <v>37.6</v>
      </c>
      <c r="O123" s="19">
        <v>-56.4</v>
      </c>
      <c r="P123" s="48">
        <v>94</v>
      </c>
      <c r="Q123" s="17">
        <v>0</v>
      </c>
      <c r="R123" s="24">
        <v>432.40000000000003</v>
      </c>
      <c r="S123" s="18" t="s">
        <v>28</v>
      </c>
      <c r="T123" s="25">
        <v>1</v>
      </c>
    </row>
    <row r="124" spans="1:20" s="26" customFormat="1" x14ac:dyDescent="0.25">
      <c r="A124" s="16">
        <v>222861</v>
      </c>
      <c r="B124" s="30" t="s">
        <v>101</v>
      </c>
      <c r="C124" s="20" t="s">
        <v>637</v>
      </c>
      <c r="D124" s="20" t="s">
        <v>692</v>
      </c>
      <c r="E124" s="20" t="s">
        <v>1782</v>
      </c>
      <c r="F124" s="20" t="s">
        <v>1783</v>
      </c>
      <c r="G124" s="21">
        <v>18.8</v>
      </c>
      <c r="H124" s="16">
        <v>24</v>
      </c>
      <c r="I124" s="16">
        <v>1</v>
      </c>
      <c r="J124" s="17">
        <v>432.40000000000003</v>
      </c>
      <c r="K124" s="22"/>
      <c r="L124" s="23">
        <v>367.45</v>
      </c>
      <c r="M124" s="23">
        <v>367.45</v>
      </c>
      <c r="N124" s="19">
        <v>37.6</v>
      </c>
      <c r="O124" s="19">
        <v>273.45</v>
      </c>
      <c r="P124" s="48">
        <v>94</v>
      </c>
      <c r="Q124" s="17">
        <v>273.45</v>
      </c>
      <c r="R124" s="24">
        <v>158.95000000000005</v>
      </c>
      <c r="S124" s="18" t="s">
        <v>11</v>
      </c>
      <c r="T124" s="25">
        <v>1</v>
      </c>
    </row>
    <row r="125" spans="1:20" s="26" customFormat="1" x14ac:dyDescent="0.25">
      <c r="A125" s="16">
        <v>222903</v>
      </c>
      <c r="B125" s="30" t="s">
        <v>1141</v>
      </c>
      <c r="C125" s="20" t="s">
        <v>637</v>
      </c>
      <c r="D125" s="20" t="s">
        <v>692</v>
      </c>
      <c r="E125" s="20" t="s">
        <v>1784</v>
      </c>
      <c r="F125" s="20" t="s">
        <v>1785</v>
      </c>
      <c r="G125" s="21">
        <v>18.8</v>
      </c>
      <c r="H125" s="16">
        <v>24</v>
      </c>
      <c r="I125" s="16"/>
      <c r="J125" s="17">
        <v>451.20000000000005</v>
      </c>
      <c r="K125" s="22"/>
      <c r="L125" s="23">
        <v>18.8</v>
      </c>
      <c r="M125" s="23">
        <v>18.8</v>
      </c>
      <c r="N125" s="19">
        <v>37.6</v>
      </c>
      <c r="O125" s="19">
        <v>-75.2</v>
      </c>
      <c r="P125" s="48">
        <v>94</v>
      </c>
      <c r="Q125" s="17">
        <v>0</v>
      </c>
      <c r="R125" s="24">
        <v>451.20000000000005</v>
      </c>
      <c r="S125" s="18" t="s">
        <v>28</v>
      </c>
      <c r="T125" s="25">
        <v>1</v>
      </c>
    </row>
    <row r="126" spans="1:20" s="26" customFormat="1" x14ac:dyDescent="0.25">
      <c r="A126" s="16">
        <v>222991</v>
      </c>
      <c r="B126" s="30" t="s">
        <v>1031</v>
      </c>
      <c r="C126" s="20" t="s">
        <v>637</v>
      </c>
      <c r="D126" s="20" t="s">
        <v>692</v>
      </c>
      <c r="E126" s="20" t="s">
        <v>1786</v>
      </c>
      <c r="F126" s="20" t="s">
        <v>1787</v>
      </c>
      <c r="G126" s="21">
        <v>18.8</v>
      </c>
      <c r="H126" s="16">
        <v>27</v>
      </c>
      <c r="I126" s="16">
        <v>1</v>
      </c>
      <c r="J126" s="17">
        <v>488.8</v>
      </c>
      <c r="K126" s="22"/>
      <c r="L126" s="23">
        <v>18.8</v>
      </c>
      <c r="M126" s="23">
        <v>18.8</v>
      </c>
      <c r="N126" s="19">
        <v>37.6</v>
      </c>
      <c r="O126" s="19">
        <v>-75.2</v>
      </c>
      <c r="P126" s="48">
        <v>94</v>
      </c>
      <c r="Q126" s="17">
        <v>0</v>
      </c>
      <c r="R126" s="24">
        <v>488.8</v>
      </c>
      <c r="S126" s="18" t="s">
        <v>28</v>
      </c>
      <c r="T126" s="25">
        <v>1</v>
      </c>
    </row>
    <row r="127" spans="1:20" s="26" customFormat="1" x14ac:dyDescent="0.25">
      <c r="A127" s="16">
        <v>223171</v>
      </c>
      <c r="B127" s="30" t="s">
        <v>103</v>
      </c>
      <c r="C127" s="20" t="s">
        <v>637</v>
      </c>
      <c r="D127" s="20" t="s">
        <v>694</v>
      </c>
      <c r="E127" s="20" t="s">
        <v>1788</v>
      </c>
      <c r="F127" s="20" t="s">
        <v>1789</v>
      </c>
      <c r="G127" s="21">
        <v>18.8</v>
      </c>
      <c r="H127" s="16">
        <v>24</v>
      </c>
      <c r="I127" s="16"/>
      <c r="J127" s="17">
        <v>451.20000000000005</v>
      </c>
      <c r="K127" s="22"/>
      <c r="L127" s="23"/>
      <c r="M127" s="23">
        <v>0</v>
      </c>
      <c r="N127" s="19">
        <v>37.6</v>
      </c>
      <c r="O127" s="19">
        <v>-94</v>
      </c>
      <c r="P127" s="48">
        <v>94</v>
      </c>
      <c r="Q127" s="17">
        <v>0</v>
      </c>
      <c r="R127" s="24">
        <v>451.20000000000005</v>
      </c>
      <c r="S127" s="18" t="s">
        <v>28</v>
      </c>
      <c r="T127" s="25">
        <v>1</v>
      </c>
    </row>
    <row r="128" spans="1:20" s="26" customFormat="1" x14ac:dyDescent="0.25">
      <c r="A128" s="16">
        <v>223245</v>
      </c>
      <c r="B128" s="30" t="s">
        <v>104</v>
      </c>
      <c r="C128" s="20" t="s">
        <v>637</v>
      </c>
      <c r="D128" s="20" t="s">
        <v>692</v>
      </c>
      <c r="E128" s="20" t="s">
        <v>1790</v>
      </c>
      <c r="F128" s="20" t="s">
        <v>1791</v>
      </c>
      <c r="G128" s="21">
        <v>18.8</v>
      </c>
      <c r="H128" s="16">
        <v>27</v>
      </c>
      <c r="I128" s="16">
        <v>5</v>
      </c>
      <c r="J128" s="17">
        <v>413.6</v>
      </c>
      <c r="K128" s="22"/>
      <c r="L128" s="23"/>
      <c r="M128" s="23">
        <v>0</v>
      </c>
      <c r="N128" s="19">
        <v>37.6</v>
      </c>
      <c r="O128" s="19">
        <v>-94</v>
      </c>
      <c r="P128" s="48">
        <v>94</v>
      </c>
      <c r="Q128" s="17">
        <v>0</v>
      </c>
      <c r="R128" s="24">
        <v>413.6</v>
      </c>
      <c r="S128" s="18" t="s">
        <v>28</v>
      </c>
      <c r="T128" s="25">
        <v>1</v>
      </c>
    </row>
    <row r="129" spans="1:20" s="26" customFormat="1" x14ac:dyDescent="0.25">
      <c r="A129" s="16">
        <v>223247</v>
      </c>
      <c r="B129" s="30" t="s">
        <v>105</v>
      </c>
      <c r="C129" s="20" t="s">
        <v>637</v>
      </c>
      <c r="D129" s="20" t="s">
        <v>692</v>
      </c>
      <c r="E129" s="20" t="s">
        <v>1792</v>
      </c>
      <c r="F129" s="20" t="s">
        <v>1793</v>
      </c>
      <c r="G129" s="21">
        <v>13.4</v>
      </c>
      <c r="H129" s="16">
        <v>24</v>
      </c>
      <c r="I129" s="16"/>
      <c r="J129" s="17">
        <v>321.60000000000002</v>
      </c>
      <c r="K129" s="22"/>
      <c r="L129" s="23"/>
      <c r="M129" s="23">
        <v>0</v>
      </c>
      <c r="N129" s="19">
        <v>26.8</v>
      </c>
      <c r="O129" s="19">
        <v>-67</v>
      </c>
      <c r="P129" s="48">
        <v>67</v>
      </c>
      <c r="Q129" s="17">
        <v>0</v>
      </c>
      <c r="R129" s="24">
        <v>321.60000000000002</v>
      </c>
      <c r="S129" s="18" t="s">
        <v>28</v>
      </c>
      <c r="T129" s="25">
        <v>1</v>
      </c>
    </row>
    <row r="130" spans="1:20" s="26" customFormat="1" x14ac:dyDescent="0.25">
      <c r="A130" s="16">
        <v>223401</v>
      </c>
      <c r="B130" s="30" t="s">
        <v>106</v>
      </c>
      <c r="C130" s="20" t="s">
        <v>637</v>
      </c>
      <c r="D130" s="20" t="s">
        <v>692</v>
      </c>
      <c r="E130" s="20" t="s">
        <v>1794</v>
      </c>
      <c r="F130" s="20" t="s">
        <v>1795</v>
      </c>
      <c r="G130" s="21">
        <v>18.8</v>
      </c>
      <c r="H130" s="16">
        <v>24</v>
      </c>
      <c r="I130" s="16"/>
      <c r="J130" s="17">
        <v>451.20000000000005</v>
      </c>
      <c r="K130" s="22"/>
      <c r="L130" s="23"/>
      <c r="M130" s="23">
        <v>0</v>
      </c>
      <c r="N130" s="19">
        <v>37.6</v>
      </c>
      <c r="O130" s="19">
        <v>-94</v>
      </c>
      <c r="P130" s="48">
        <v>94</v>
      </c>
      <c r="Q130" s="17">
        <v>0</v>
      </c>
      <c r="R130" s="24">
        <v>451.20000000000005</v>
      </c>
      <c r="S130" s="18" t="s">
        <v>28</v>
      </c>
      <c r="T130" s="25">
        <v>1</v>
      </c>
    </row>
    <row r="131" spans="1:20" s="26" customFormat="1" x14ac:dyDescent="0.25">
      <c r="A131" s="16">
        <v>223598</v>
      </c>
      <c r="B131" s="30" t="s">
        <v>107</v>
      </c>
      <c r="C131" s="20" t="s">
        <v>637</v>
      </c>
      <c r="D131" s="20" t="s">
        <v>692</v>
      </c>
      <c r="E131" s="20" t="s">
        <v>1796</v>
      </c>
      <c r="F131" s="20" t="s">
        <v>1797</v>
      </c>
      <c r="G131" s="21">
        <v>18.8</v>
      </c>
      <c r="H131" s="16">
        <v>27</v>
      </c>
      <c r="I131" s="16">
        <v>4</v>
      </c>
      <c r="J131" s="17">
        <v>432.40000000000003</v>
      </c>
      <c r="K131" s="22"/>
      <c r="L131" s="23"/>
      <c r="M131" s="23">
        <v>0</v>
      </c>
      <c r="N131" s="19">
        <v>37.6</v>
      </c>
      <c r="O131" s="19">
        <v>-94</v>
      </c>
      <c r="P131" s="48">
        <v>94</v>
      </c>
      <c r="Q131" s="17">
        <v>0</v>
      </c>
      <c r="R131" s="24">
        <v>432.40000000000003</v>
      </c>
      <c r="S131" s="18" t="s">
        <v>28</v>
      </c>
      <c r="T131" s="25">
        <v>1</v>
      </c>
    </row>
    <row r="132" spans="1:20" s="26" customFormat="1" x14ac:dyDescent="0.25">
      <c r="A132" s="16">
        <v>224175</v>
      </c>
      <c r="B132" s="30" t="s">
        <v>54</v>
      </c>
      <c r="C132" s="20" t="s">
        <v>637</v>
      </c>
      <c r="D132" s="20" t="s">
        <v>807</v>
      </c>
      <c r="E132" s="20" t="s">
        <v>1798</v>
      </c>
      <c r="F132" s="20" t="s">
        <v>1799</v>
      </c>
      <c r="G132" s="21">
        <v>18.8</v>
      </c>
      <c r="H132" s="16">
        <v>24</v>
      </c>
      <c r="I132" s="16">
        <v>1</v>
      </c>
      <c r="J132" s="17">
        <v>432.40000000000003</v>
      </c>
      <c r="K132" s="22"/>
      <c r="L132" s="23"/>
      <c r="M132" s="23">
        <v>0</v>
      </c>
      <c r="N132" s="19">
        <v>37.6</v>
      </c>
      <c r="O132" s="19">
        <v>-94</v>
      </c>
      <c r="P132" s="48">
        <v>94</v>
      </c>
      <c r="Q132" s="17">
        <v>0</v>
      </c>
      <c r="R132" s="24">
        <v>432.40000000000003</v>
      </c>
      <c r="S132" s="18" t="s">
        <v>28</v>
      </c>
      <c r="T132" s="25">
        <v>1</v>
      </c>
    </row>
    <row r="133" spans="1:20" s="26" customFormat="1" x14ac:dyDescent="0.25">
      <c r="A133" s="16">
        <v>224576</v>
      </c>
      <c r="B133" s="30" t="s">
        <v>1142</v>
      </c>
      <c r="C133" s="20" t="s">
        <v>637</v>
      </c>
      <c r="D133" s="20" t="s">
        <v>696</v>
      </c>
      <c r="E133" s="20" t="s">
        <v>1800</v>
      </c>
      <c r="F133" s="20" t="s">
        <v>1801</v>
      </c>
      <c r="G133" s="21">
        <v>18.8</v>
      </c>
      <c r="H133" s="16">
        <v>22</v>
      </c>
      <c r="I133" s="16">
        <v>3</v>
      </c>
      <c r="J133" s="17">
        <v>357.2</v>
      </c>
      <c r="K133" s="22"/>
      <c r="L133" s="23"/>
      <c r="M133" s="23">
        <v>0</v>
      </c>
      <c r="N133" s="19">
        <v>37.6</v>
      </c>
      <c r="O133" s="19">
        <v>-94</v>
      </c>
      <c r="P133" s="48">
        <v>94</v>
      </c>
      <c r="Q133" s="17">
        <v>0</v>
      </c>
      <c r="R133" s="24">
        <v>357.2</v>
      </c>
      <c r="S133" s="18" t="s">
        <v>28</v>
      </c>
      <c r="T133" s="25">
        <v>1</v>
      </c>
    </row>
    <row r="134" spans="1:20" s="26" customFormat="1" x14ac:dyDescent="0.25">
      <c r="A134" s="16">
        <v>225030</v>
      </c>
      <c r="B134" s="30" t="s">
        <v>108</v>
      </c>
      <c r="C134" s="20" t="s">
        <v>637</v>
      </c>
      <c r="D134" s="20" t="s">
        <v>807</v>
      </c>
      <c r="E134" s="20" t="s">
        <v>1802</v>
      </c>
      <c r="F134" s="20" t="s">
        <v>1803</v>
      </c>
      <c r="G134" s="21">
        <v>18.8</v>
      </c>
      <c r="H134" s="16">
        <v>24</v>
      </c>
      <c r="I134" s="16">
        <v>1</v>
      </c>
      <c r="J134" s="17">
        <v>432.40000000000003</v>
      </c>
      <c r="K134" s="22"/>
      <c r="L134" s="23"/>
      <c r="M134" s="23">
        <v>0</v>
      </c>
      <c r="N134" s="19">
        <v>37.6</v>
      </c>
      <c r="O134" s="19">
        <v>-94</v>
      </c>
      <c r="P134" s="48">
        <v>94</v>
      </c>
      <c r="Q134" s="17">
        <v>0</v>
      </c>
      <c r="R134" s="24">
        <v>432.40000000000003</v>
      </c>
      <c r="S134" s="18" t="s">
        <v>28</v>
      </c>
      <c r="T134" s="25">
        <v>1</v>
      </c>
    </row>
    <row r="135" spans="1:20" s="26" customFormat="1" x14ac:dyDescent="0.25">
      <c r="A135" s="16">
        <v>225353</v>
      </c>
      <c r="B135" s="30" t="s">
        <v>109</v>
      </c>
      <c r="C135" s="20" t="s">
        <v>637</v>
      </c>
      <c r="D135" s="20" t="s">
        <v>696</v>
      </c>
      <c r="E135" s="20" t="s">
        <v>1804</v>
      </c>
      <c r="F135" s="20" t="s">
        <v>1805</v>
      </c>
      <c r="G135" s="21">
        <v>18.8</v>
      </c>
      <c r="H135" s="16">
        <v>27</v>
      </c>
      <c r="I135" s="16">
        <v>3</v>
      </c>
      <c r="J135" s="17">
        <v>451.20000000000005</v>
      </c>
      <c r="K135" s="22"/>
      <c r="L135" s="23"/>
      <c r="M135" s="23">
        <v>0</v>
      </c>
      <c r="N135" s="19">
        <v>37.6</v>
      </c>
      <c r="O135" s="19">
        <v>-94</v>
      </c>
      <c r="P135" s="48">
        <v>94</v>
      </c>
      <c r="Q135" s="17">
        <v>0</v>
      </c>
      <c r="R135" s="24">
        <v>451.20000000000005</v>
      </c>
      <c r="S135" s="18" t="s">
        <v>28</v>
      </c>
      <c r="T135" s="25">
        <v>1</v>
      </c>
    </row>
    <row r="136" spans="1:20" s="26" customFormat="1" x14ac:dyDescent="0.25">
      <c r="A136" s="16">
        <v>225667</v>
      </c>
      <c r="B136" s="30" t="s">
        <v>110</v>
      </c>
      <c r="C136" s="20" t="s">
        <v>637</v>
      </c>
      <c r="D136" s="20" t="s">
        <v>692</v>
      </c>
      <c r="E136" s="20" t="s">
        <v>1806</v>
      </c>
      <c r="F136" s="20" t="s">
        <v>1807</v>
      </c>
      <c r="G136" s="21">
        <v>18.8</v>
      </c>
      <c r="H136" s="16">
        <v>27</v>
      </c>
      <c r="I136" s="16">
        <v>5</v>
      </c>
      <c r="J136" s="17">
        <v>413.6</v>
      </c>
      <c r="K136" s="22"/>
      <c r="L136" s="23"/>
      <c r="M136" s="23">
        <v>0</v>
      </c>
      <c r="N136" s="19">
        <v>37.6</v>
      </c>
      <c r="O136" s="19">
        <v>-94</v>
      </c>
      <c r="P136" s="48">
        <v>94</v>
      </c>
      <c r="Q136" s="17">
        <v>0</v>
      </c>
      <c r="R136" s="24">
        <v>413.6</v>
      </c>
      <c r="S136" s="18" t="s">
        <v>28</v>
      </c>
      <c r="T136" s="25">
        <v>1</v>
      </c>
    </row>
    <row r="137" spans="1:20" s="26" customFormat="1" x14ac:dyDescent="0.25">
      <c r="A137" s="16">
        <v>225738</v>
      </c>
      <c r="B137" s="30" t="s">
        <v>111</v>
      </c>
      <c r="C137" s="20" t="s">
        <v>637</v>
      </c>
      <c r="D137" s="20" t="s">
        <v>692</v>
      </c>
      <c r="E137" s="20" t="s">
        <v>1808</v>
      </c>
      <c r="F137" s="20" t="s">
        <v>1809</v>
      </c>
      <c r="G137" s="21">
        <v>18.8</v>
      </c>
      <c r="H137" s="16">
        <v>24</v>
      </c>
      <c r="I137" s="16"/>
      <c r="J137" s="17">
        <v>451.20000000000005</v>
      </c>
      <c r="K137" s="22"/>
      <c r="L137" s="23"/>
      <c r="M137" s="23">
        <v>0</v>
      </c>
      <c r="N137" s="19">
        <v>37.6</v>
      </c>
      <c r="O137" s="19">
        <v>-94</v>
      </c>
      <c r="P137" s="48">
        <v>94</v>
      </c>
      <c r="Q137" s="17">
        <v>0</v>
      </c>
      <c r="R137" s="24">
        <v>451.20000000000005</v>
      </c>
      <c r="S137" s="18" t="s">
        <v>28</v>
      </c>
      <c r="T137" s="25">
        <v>1</v>
      </c>
    </row>
    <row r="138" spans="1:20" s="26" customFormat="1" x14ac:dyDescent="0.25">
      <c r="A138" s="16">
        <v>225783</v>
      </c>
      <c r="B138" s="30" t="s">
        <v>112</v>
      </c>
      <c r="C138" s="20" t="s">
        <v>637</v>
      </c>
      <c r="D138" s="20" t="s">
        <v>693</v>
      </c>
      <c r="E138" s="20" t="s">
        <v>1810</v>
      </c>
      <c r="F138" s="20" t="s">
        <v>1811</v>
      </c>
      <c r="G138" s="21">
        <v>18.8</v>
      </c>
      <c r="H138" s="16">
        <v>24</v>
      </c>
      <c r="I138" s="16">
        <v>2</v>
      </c>
      <c r="J138" s="17">
        <v>413.6</v>
      </c>
      <c r="K138" s="22"/>
      <c r="L138" s="23"/>
      <c r="M138" s="23">
        <v>0</v>
      </c>
      <c r="N138" s="19">
        <v>37.6</v>
      </c>
      <c r="O138" s="19">
        <v>-94</v>
      </c>
      <c r="P138" s="48">
        <v>94</v>
      </c>
      <c r="Q138" s="17">
        <v>0</v>
      </c>
      <c r="R138" s="24">
        <v>413.6</v>
      </c>
      <c r="S138" s="18" t="s">
        <v>28</v>
      </c>
      <c r="T138" s="25">
        <v>1</v>
      </c>
    </row>
    <row r="139" spans="1:20" s="26" customFormat="1" x14ac:dyDescent="0.25">
      <c r="A139" s="16">
        <v>225827</v>
      </c>
      <c r="B139" s="30" t="s">
        <v>113</v>
      </c>
      <c r="C139" s="20" t="s">
        <v>637</v>
      </c>
      <c r="D139" s="20" t="s">
        <v>696</v>
      </c>
      <c r="E139" s="20" t="s">
        <v>1812</v>
      </c>
      <c r="F139" s="20" t="s">
        <v>1813</v>
      </c>
      <c r="G139" s="21">
        <v>18.8</v>
      </c>
      <c r="H139" s="16">
        <v>15</v>
      </c>
      <c r="I139" s="16">
        <v>1</v>
      </c>
      <c r="J139" s="17">
        <v>263.2</v>
      </c>
      <c r="K139" s="22"/>
      <c r="L139" s="23"/>
      <c r="M139" s="23">
        <v>0</v>
      </c>
      <c r="N139" s="19">
        <v>37.6</v>
      </c>
      <c r="O139" s="19">
        <v>-94</v>
      </c>
      <c r="P139" s="48">
        <v>94</v>
      </c>
      <c r="Q139" s="17">
        <v>0</v>
      </c>
      <c r="R139" s="24">
        <v>263.2</v>
      </c>
      <c r="S139" s="18" t="s">
        <v>28</v>
      </c>
      <c r="T139" s="25">
        <v>1</v>
      </c>
    </row>
    <row r="140" spans="1:20" s="26" customFormat="1" x14ac:dyDescent="0.25">
      <c r="A140" s="16">
        <v>225911</v>
      </c>
      <c r="B140" s="30" t="s">
        <v>1397</v>
      </c>
      <c r="C140" s="20" t="s">
        <v>637</v>
      </c>
      <c r="D140" s="20" t="s">
        <v>696</v>
      </c>
      <c r="E140" s="20" t="s">
        <v>1814</v>
      </c>
      <c r="F140" s="20" t="s">
        <v>1815</v>
      </c>
      <c r="G140" s="21">
        <v>18.8</v>
      </c>
      <c r="H140" s="16">
        <v>24</v>
      </c>
      <c r="I140" s="16">
        <v>1</v>
      </c>
      <c r="J140" s="17">
        <v>432.40000000000003</v>
      </c>
      <c r="K140" s="22"/>
      <c r="L140" s="23"/>
      <c r="M140" s="23">
        <v>0</v>
      </c>
      <c r="N140" s="19">
        <v>37.6</v>
      </c>
      <c r="O140" s="19">
        <v>-94</v>
      </c>
      <c r="P140" s="48">
        <v>94</v>
      </c>
      <c r="Q140" s="17">
        <v>0</v>
      </c>
      <c r="R140" s="24">
        <v>432.40000000000003</v>
      </c>
      <c r="S140" s="18" t="s">
        <v>28</v>
      </c>
      <c r="T140" s="25">
        <v>1</v>
      </c>
    </row>
    <row r="141" spans="1:20" s="26" customFormat="1" x14ac:dyDescent="0.25">
      <c r="A141" s="16">
        <v>226078</v>
      </c>
      <c r="B141" s="30" t="s">
        <v>114</v>
      </c>
      <c r="C141" s="20" t="s">
        <v>637</v>
      </c>
      <c r="D141" s="20" t="s">
        <v>692</v>
      </c>
      <c r="E141" s="20" t="s">
        <v>1816</v>
      </c>
      <c r="F141" s="20" t="s">
        <v>1817</v>
      </c>
      <c r="G141" s="21">
        <v>18.8</v>
      </c>
      <c r="H141" s="16">
        <v>24</v>
      </c>
      <c r="I141" s="16">
        <v>1</v>
      </c>
      <c r="J141" s="17">
        <v>432.40000000000003</v>
      </c>
      <c r="K141" s="22"/>
      <c r="L141" s="23"/>
      <c r="M141" s="23">
        <v>0</v>
      </c>
      <c r="N141" s="19">
        <v>37.6</v>
      </c>
      <c r="O141" s="19">
        <v>-94</v>
      </c>
      <c r="P141" s="48">
        <v>94</v>
      </c>
      <c r="Q141" s="17">
        <v>0</v>
      </c>
      <c r="R141" s="24">
        <v>432.40000000000003</v>
      </c>
      <c r="S141" s="18" t="s">
        <v>28</v>
      </c>
      <c r="T141" s="25">
        <v>1</v>
      </c>
    </row>
    <row r="142" spans="1:20" s="26" customFormat="1" x14ac:dyDescent="0.25">
      <c r="A142" s="16">
        <v>226243</v>
      </c>
      <c r="B142" s="30" t="s">
        <v>115</v>
      </c>
      <c r="C142" s="20" t="s">
        <v>637</v>
      </c>
      <c r="D142" s="20" t="s">
        <v>692</v>
      </c>
      <c r="E142" s="20" t="s">
        <v>1818</v>
      </c>
      <c r="F142" s="20" t="s">
        <v>1819</v>
      </c>
      <c r="G142" s="21">
        <v>18.8</v>
      </c>
      <c r="H142" s="16">
        <v>5</v>
      </c>
      <c r="I142" s="16">
        <v>8</v>
      </c>
      <c r="J142" s="17">
        <v>0</v>
      </c>
      <c r="K142" s="22"/>
      <c r="L142" s="23"/>
      <c r="M142" s="23">
        <v>0</v>
      </c>
      <c r="N142" s="19">
        <v>37.6</v>
      </c>
      <c r="O142" s="19">
        <v>-94</v>
      </c>
      <c r="P142" s="48">
        <v>94</v>
      </c>
      <c r="Q142" s="17">
        <v>0</v>
      </c>
      <c r="R142" s="24">
        <v>0</v>
      </c>
      <c r="S142" s="18" t="s">
        <v>12</v>
      </c>
      <c r="T142" s="25">
        <v>1</v>
      </c>
    </row>
    <row r="143" spans="1:20" s="26" customFormat="1" x14ac:dyDescent="0.25">
      <c r="A143" s="16">
        <v>226556</v>
      </c>
      <c r="B143" s="30" t="s">
        <v>1143</v>
      </c>
      <c r="C143" s="20" t="s">
        <v>637</v>
      </c>
      <c r="D143" s="20" t="s">
        <v>696</v>
      </c>
      <c r="E143" s="20" t="s">
        <v>1820</v>
      </c>
      <c r="F143" s="20" t="s">
        <v>1821</v>
      </c>
      <c r="G143" s="21">
        <v>18.8</v>
      </c>
      <c r="H143" s="16">
        <v>27</v>
      </c>
      <c r="I143" s="16">
        <v>13</v>
      </c>
      <c r="J143" s="17">
        <v>263.2</v>
      </c>
      <c r="K143" s="22"/>
      <c r="L143" s="23"/>
      <c r="M143" s="23">
        <v>0</v>
      </c>
      <c r="N143" s="19">
        <v>37.6</v>
      </c>
      <c r="O143" s="19">
        <v>-94</v>
      </c>
      <c r="P143" s="48">
        <v>94</v>
      </c>
      <c r="Q143" s="17">
        <v>0</v>
      </c>
      <c r="R143" s="24">
        <v>263.2</v>
      </c>
      <c r="S143" s="18" t="s">
        <v>28</v>
      </c>
      <c r="T143" s="25">
        <v>1</v>
      </c>
    </row>
    <row r="144" spans="1:20" s="26" customFormat="1" x14ac:dyDescent="0.25">
      <c r="A144" s="16">
        <v>226795</v>
      </c>
      <c r="B144" s="30" t="s">
        <v>116</v>
      </c>
      <c r="C144" s="20" t="s">
        <v>637</v>
      </c>
      <c r="D144" s="20" t="s">
        <v>692</v>
      </c>
      <c r="E144" s="20" t="s">
        <v>1822</v>
      </c>
      <c r="F144" s="20" t="s">
        <v>1823</v>
      </c>
      <c r="G144" s="21">
        <v>18.8</v>
      </c>
      <c r="H144" s="16">
        <v>24</v>
      </c>
      <c r="I144" s="16">
        <v>8</v>
      </c>
      <c r="J144" s="17">
        <v>300.8</v>
      </c>
      <c r="K144" s="22"/>
      <c r="L144" s="23"/>
      <c r="M144" s="23">
        <v>0</v>
      </c>
      <c r="N144" s="19">
        <v>37.6</v>
      </c>
      <c r="O144" s="19">
        <v>-94</v>
      </c>
      <c r="P144" s="48">
        <v>94</v>
      </c>
      <c r="Q144" s="17">
        <v>0</v>
      </c>
      <c r="R144" s="24">
        <v>300.8</v>
      </c>
      <c r="S144" s="18" t="s">
        <v>28</v>
      </c>
      <c r="T144" s="25">
        <v>1</v>
      </c>
    </row>
    <row r="145" spans="1:20" s="26" customFormat="1" x14ac:dyDescent="0.25">
      <c r="A145" s="16">
        <v>226947</v>
      </c>
      <c r="B145" s="30" t="s">
        <v>117</v>
      </c>
      <c r="C145" s="20" t="s">
        <v>637</v>
      </c>
      <c r="D145" s="20" t="s">
        <v>694</v>
      </c>
      <c r="E145" s="20" t="s">
        <v>1824</v>
      </c>
      <c r="F145" s="20" t="s">
        <v>1825</v>
      </c>
      <c r="G145" s="21">
        <v>10</v>
      </c>
      <c r="H145" s="16">
        <v>24</v>
      </c>
      <c r="I145" s="16">
        <v>4</v>
      </c>
      <c r="J145" s="17">
        <v>200</v>
      </c>
      <c r="K145" s="22"/>
      <c r="L145" s="23"/>
      <c r="M145" s="23">
        <v>0</v>
      </c>
      <c r="N145" s="19">
        <v>20</v>
      </c>
      <c r="O145" s="19">
        <v>-50</v>
      </c>
      <c r="P145" s="48">
        <v>50</v>
      </c>
      <c r="Q145" s="17">
        <v>0</v>
      </c>
      <c r="R145" s="24">
        <v>200</v>
      </c>
      <c r="S145" s="18" t="s">
        <v>28</v>
      </c>
      <c r="T145" s="25">
        <v>1</v>
      </c>
    </row>
    <row r="146" spans="1:20" s="26" customFormat="1" x14ac:dyDescent="0.25">
      <c r="A146" s="16">
        <v>227031</v>
      </c>
      <c r="B146" s="30" t="s">
        <v>118</v>
      </c>
      <c r="C146" s="20" t="s">
        <v>637</v>
      </c>
      <c r="D146" s="20" t="s">
        <v>807</v>
      </c>
      <c r="E146" s="20" t="s">
        <v>1826</v>
      </c>
      <c r="F146" s="20" t="s">
        <v>1827</v>
      </c>
      <c r="G146" s="21">
        <v>13.4</v>
      </c>
      <c r="H146" s="16">
        <v>24</v>
      </c>
      <c r="I146" s="16"/>
      <c r="J146" s="17">
        <v>321.60000000000002</v>
      </c>
      <c r="K146" s="22"/>
      <c r="L146" s="23"/>
      <c r="M146" s="23">
        <v>0</v>
      </c>
      <c r="N146" s="19">
        <v>26.8</v>
      </c>
      <c r="O146" s="19">
        <v>-67</v>
      </c>
      <c r="P146" s="48">
        <v>67</v>
      </c>
      <c r="Q146" s="17">
        <v>0</v>
      </c>
      <c r="R146" s="24">
        <v>321.60000000000002</v>
      </c>
      <c r="S146" s="18" t="s">
        <v>28</v>
      </c>
      <c r="T146" s="25">
        <v>1</v>
      </c>
    </row>
    <row r="147" spans="1:20" s="26" customFormat="1" x14ac:dyDescent="0.25">
      <c r="A147" s="16">
        <v>227032</v>
      </c>
      <c r="B147" s="30" t="s">
        <v>119</v>
      </c>
      <c r="C147" s="20" t="s">
        <v>637</v>
      </c>
      <c r="D147" s="20" t="s">
        <v>692</v>
      </c>
      <c r="E147" s="20" t="s">
        <v>1828</v>
      </c>
      <c r="F147" s="20" t="s">
        <v>1829</v>
      </c>
      <c r="G147" s="21">
        <v>18.8</v>
      </c>
      <c r="H147" s="16">
        <v>27</v>
      </c>
      <c r="I147" s="16">
        <v>5</v>
      </c>
      <c r="J147" s="17">
        <v>413.6</v>
      </c>
      <c r="K147" s="22"/>
      <c r="L147" s="23"/>
      <c r="M147" s="23">
        <v>0</v>
      </c>
      <c r="N147" s="19">
        <v>37.6</v>
      </c>
      <c r="O147" s="19">
        <v>-94</v>
      </c>
      <c r="P147" s="48">
        <v>94</v>
      </c>
      <c r="Q147" s="17">
        <v>0</v>
      </c>
      <c r="R147" s="24">
        <v>413.6</v>
      </c>
      <c r="S147" s="18" t="s">
        <v>28</v>
      </c>
      <c r="T147" s="25">
        <v>1</v>
      </c>
    </row>
    <row r="148" spans="1:20" s="26" customFormat="1" x14ac:dyDescent="0.25">
      <c r="A148" s="16">
        <v>227033</v>
      </c>
      <c r="B148" s="30" t="s">
        <v>1144</v>
      </c>
      <c r="C148" s="20" t="s">
        <v>637</v>
      </c>
      <c r="D148" s="20" t="s">
        <v>1262</v>
      </c>
      <c r="E148" s="20" t="s">
        <v>1830</v>
      </c>
      <c r="F148" s="20" t="s">
        <v>1831</v>
      </c>
      <c r="G148" s="21">
        <v>18.8</v>
      </c>
      <c r="H148" s="16">
        <v>24</v>
      </c>
      <c r="I148" s="16"/>
      <c r="J148" s="17">
        <v>451.20000000000005</v>
      </c>
      <c r="K148" s="22"/>
      <c r="L148" s="23">
        <v>37.6</v>
      </c>
      <c r="M148" s="23">
        <v>37.6</v>
      </c>
      <c r="N148" s="19">
        <v>37.6</v>
      </c>
      <c r="O148" s="19">
        <v>-56.4</v>
      </c>
      <c r="P148" s="48">
        <v>94</v>
      </c>
      <c r="Q148" s="17">
        <v>0</v>
      </c>
      <c r="R148" s="24">
        <v>451.20000000000005</v>
      </c>
      <c r="S148" s="18" t="s">
        <v>28</v>
      </c>
      <c r="T148" s="25">
        <v>1</v>
      </c>
    </row>
    <row r="149" spans="1:20" s="26" customFormat="1" x14ac:dyDescent="0.25">
      <c r="A149" s="16">
        <v>227055</v>
      </c>
      <c r="B149" s="30" t="s">
        <v>120</v>
      </c>
      <c r="C149" s="20" t="s">
        <v>637</v>
      </c>
      <c r="D149" s="20" t="s">
        <v>696</v>
      </c>
      <c r="E149" s="20" t="s">
        <v>1832</v>
      </c>
      <c r="F149" s="20" t="s">
        <v>1833</v>
      </c>
      <c r="G149" s="21">
        <v>18.8</v>
      </c>
      <c r="H149" s="16">
        <v>24</v>
      </c>
      <c r="I149" s="16"/>
      <c r="J149" s="17">
        <v>451.20000000000005</v>
      </c>
      <c r="K149" s="22"/>
      <c r="L149" s="23"/>
      <c r="M149" s="23">
        <v>0</v>
      </c>
      <c r="N149" s="19">
        <v>37.6</v>
      </c>
      <c r="O149" s="19">
        <v>-94</v>
      </c>
      <c r="P149" s="48">
        <v>94</v>
      </c>
      <c r="Q149" s="17">
        <v>0</v>
      </c>
      <c r="R149" s="24">
        <v>451.20000000000005</v>
      </c>
      <c r="S149" s="18" t="s">
        <v>28</v>
      </c>
      <c r="T149" s="25">
        <v>1</v>
      </c>
    </row>
    <row r="150" spans="1:20" s="26" customFormat="1" x14ac:dyDescent="0.25">
      <c r="A150" s="16">
        <v>228423</v>
      </c>
      <c r="B150" s="30" t="s">
        <v>121</v>
      </c>
      <c r="C150" s="20" t="s">
        <v>637</v>
      </c>
      <c r="D150" s="20" t="s">
        <v>692</v>
      </c>
      <c r="E150" s="20" t="s">
        <v>1834</v>
      </c>
      <c r="F150" s="20" t="s">
        <v>1835</v>
      </c>
      <c r="G150" s="21">
        <v>18.8</v>
      </c>
      <c r="H150" s="16">
        <v>27</v>
      </c>
      <c r="I150" s="16"/>
      <c r="J150" s="17">
        <v>507.6</v>
      </c>
      <c r="K150" s="22"/>
      <c r="L150" s="23">
        <v>371.9</v>
      </c>
      <c r="M150" s="23">
        <v>371.9</v>
      </c>
      <c r="N150" s="19">
        <v>37.6</v>
      </c>
      <c r="O150" s="19">
        <v>277.89999999999998</v>
      </c>
      <c r="P150" s="48">
        <v>94</v>
      </c>
      <c r="Q150" s="17">
        <v>277.89999999999998</v>
      </c>
      <c r="R150" s="24">
        <v>229.70000000000005</v>
      </c>
      <c r="S150" s="18" t="s">
        <v>11</v>
      </c>
      <c r="T150" s="25">
        <v>1</v>
      </c>
    </row>
    <row r="151" spans="1:20" s="26" customFormat="1" x14ac:dyDescent="0.25">
      <c r="A151" s="16">
        <v>228504</v>
      </c>
      <c r="B151" s="30" t="s">
        <v>123</v>
      </c>
      <c r="C151" s="20" t="s">
        <v>637</v>
      </c>
      <c r="D151" s="20" t="s">
        <v>697</v>
      </c>
      <c r="E151" s="20" t="s">
        <v>1836</v>
      </c>
      <c r="F151" s="20" t="s">
        <v>1837</v>
      </c>
      <c r="G151" s="21">
        <v>18.8</v>
      </c>
      <c r="H151" s="16">
        <v>24</v>
      </c>
      <c r="I151" s="16"/>
      <c r="J151" s="17">
        <v>451.20000000000005</v>
      </c>
      <c r="K151" s="22"/>
      <c r="L151" s="23">
        <v>173.85</v>
      </c>
      <c r="M151" s="23">
        <v>173.85</v>
      </c>
      <c r="N151" s="19">
        <v>37.6</v>
      </c>
      <c r="O151" s="19">
        <v>79.849999999999994</v>
      </c>
      <c r="P151" s="48">
        <v>94</v>
      </c>
      <c r="Q151" s="17">
        <v>79.849999999999994</v>
      </c>
      <c r="R151" s="24">
        <v>371.35</v>
      </c>
      <c r="S151" s="18" t="s">
        <v>11</v>
      </c>
      <c r="T151" s="25">
        <v>1</v>
      </c>
    </row>
    <row r="152" spans="1:20" s="26" customFormat="1" x14ac:dyDescent="0.25">
      <c r="A152" s="16">
        <v>228534</v>
      </c>
      <c r="B152" s="30" t="s">
        <v>1145</v>
      </c>
      <c r="C152" s="20" t="s">
        <v>637</v>
      </c>
      <c r="D152" s="20" t="s">
        <v>692</v>
      </c>
      <c r="E152" s="20" t="s">
        <v>1838</v>
      </c>
      <c r="F152" s="20" t="s">
        <v>1839</v>
      </c>
      <c r="G152" s="21">
        <v>18.8</v>
      </c>
      <c r="H152" s="16">
        <v>24</v>
      </c>
      <c r="I152" s="16"/>
      <c r="J152" s="17">
        <v>451.20000000000005</v>
      </c>
      <c r="K152" s="22"/>
      <c r="L152" s="23"/>
      <c r="M152" s="23">
        <v>0</v>
      </c>
      <c r="N152" s="19">
        <v>37.6</v>
      </c>
      <c r="O152" s="19">
        <v>-94</v>
      </c>
      <c r="P152" s="48">
        <v>94</v>
      </c>
      <c r="Q152" s="17">
        <v>0</v>
      </c>
      <c r="R152" s="24">
        <v>451.20000000000005</v>
      </c>
      <c r="S152" s="18" t="s">
        <v>28</v>
      </c>
      <c r="T152" s="25">
        <v>1</v>
      </c>
    </row>
    <row r="153" spans="1:20" s="26" customFormat="1" x14ac:dyDescent="0.25">
      <c r="A153" s="16">
        <v>228813</v>
      </c>
      <c r="B153" s="30" t="s">
        <v>125</v>
      </c>
      <c r="C153" s="20" t="s">
        <v>637</v>
      </c>
      <c r="D153" s="20" t="s">
        <v>696</v>
      </c>
      <c r="E153" s="20" t="s">
        <v>1840</v>
      </c>
      <c r="F153" s="20" t="s">
        <v>1841</v>
      </c>
      <c r="G153" s="21">
        <v>13.4</v>
      </c>
      <c r="H153" s="16">
        <v>27</v>
      </c>
      <c r="I153" s="16">
        <v>16</v>
      </c>
      <c r="J153" s="17">
        <v>147.4</v>
      </c>
      <c r="K153" s="22"/>
      <c r="L153" s="23"/>
      <c r="M153" s="23">
        <v>0</v>
      </c>
      <c r="N153" s="19">
        <v>26.8</v>
      </c>
      <c r="O153" s="19">
        <v>-67</v>
      </c>
      <c r="P153" s="48">
        <v>67</v>
      </c>
      <c r="Q153" s="17">
        <v>0</v>
      </c>
      <c r="R153" s="24">
        <v>147.4</v>
      </c>
      <c r="S153" s="18" t="s">
        <v>28</v>
      </c>
      <c r="T153" s="25">
        <v>1</v>
      </c>
    </row>
    <row r="154" spans="1:20" s="26" customFormat="1" x14ac:dyDescent="0.25">
      <c r="A154" s="16">
        <v>228888</v>
      </c>
      <c r="B154" s="30" t="s">
        <v>1146</v>
      </c>
      <c r="C154" s="20" t="s">
        <v>637</v>
      </c>
      <c r="D154" s="20" t="s">
        <v>696</v>
      </c>
      <c r="E154" s="20" t="s">
        <v>1842</v>
      </c>
      <c r="F154" s="20" t="s">
        <v>1843</v>
      </c>
      <c r="G154" s="21">
        <v>18.8</v>
      </c>
      <c r="H154" s="16">
        <v>24</v>
      </c>
      <c r="I154" s="16"/>
      <c r="J154" s="17">
        <v>451.20000000000005</v>
      </c>
      <c r="K154" s="22"/>
      <c r="L154" s="23"/>
      <c r="M154" s="23">
        <v>0</v>
      </c>
      <c r="N154" s="19">
        <v>37.6</v>
      </c>
      <c r="O154" s="19">
        <v>-94</v>
      </c>
      <c r="P154" s="48">
        <v>94</v>
      </c>
      <c r="Q154" s="17">
        <v>0</v>
      </c>
      <c r="R154" s="24">
        <v>451.20000000000005</v>
      </c>
      <c r="S154" s="18" t="s">
        <v>28</v>
      </c>
      <c r="T154" s="25">
        <v>1</v>
      </c>
    </row>
    <row r="155" spans="1:20" s="26" customFormat="1" x14ac:dyDescent="0.25">
      <c r="A155" s="16">
        <v>229247</v>
      </c>
      <c r="B155" s="30" t="s">
        <v>127</v>
      </c>
      <c r="C155" s="20" t="s">
        <v>637</v>
      </c>
      <c r="D155" s="20" t="s">
        <v>692</v>
      </c>
      <c r="E155" s="20" t="s">
        <v>1844</v>
      </c>
      <c r="F155" s="20" t="s">
        <v>1845</v>
      </c>
      <c r="G155" s="21">
        <v>18.8</v>
      </c>
      <c r="H155" s="16">
        <v>24</v>
      </c>
      <c r="I155" s="16"/>
      <c r="J155" s="17">
        <v>451.20000000000005</v>
      </c>
      <c r="K155" s="22"/>
      <c r="L155" s="23"/>
      <c r="M155" s="23">
        <v>0</v>
      </c>
      <c r="N155" s="19">
        <v>37.6</v>
      </c>
      <c r="O155" s="19">
        <v>-94</v>
      </c>
      <c r="P155" s="48">
        <v>94</v>
      </c>
      <c r="Q155" s="17">
        <v>0</v>
      </c>
      <c r="R155" s="24">
        <v>451.20000000000005</v>
      </c>
      <c r="S155" s="18" t="s">
        <v>28</v>
      </c>
      <c r="T155" s="25">
        <v>1</v>
      </c>
    </row>
    <row r="156" spans="1:20" s="26" customFormat="1" x14ac:dyDescent="0.25">
      <c r="A156" s="16">
        <v>229454</v>
      </c>
      <c r="B156" s="30" t="s">
        <v>1398</v>
      </c>
      <c r="C156" s="20" t="s">
        <v>637</v>
      </c>
      <c r="D156" s="20" t="s">
        <v>696</v>
      </c>
      <c r="E156" s="20" t="s">
        <v>1846</v>
      </c>
      <c r="F156" s="20" t="s">
        <v>1847</v>
      </c>
      <c r="G156" s="21">
        <v>18.8</v>
      </c>
      <c r="H156" s="16">
        <v>24</v>
      </c>
      <c r="I156" s="16"/>
      <c r="J156" s="17">
        <v>451.20000000000005</v>
      </c>
      <c r="K156" s="22"/>
      <c r="L156" s="23"/>
      <c r="M156" s="23">
        <v>0</v>
      </c>
      <c r="N156" s="19">
        <v>37.6</v>
      </c>
      <c r="O156" s="19">
        <v>-94</v>
      </c>
      <c r="P156" s="48">
        <v>94</v>
      </c>
      <c r="Q156" s="17">
        <v>0</v>
      </c>
      <c r="R156" s="24">
        <v>451.20000000000005</v>
      </c>
      <c r="S156" s="18" t="s">
        <v>28</v>
      </c>
      <c r="T156" s="25">
        <v>1</v>
      </c>
    </row>
    <row r="157" spans="1:20" s="26" customFormat="1" x14ac:dyDescent="0.25">
      <c r="A157" s="16">
        <v>229456</v>
      </c>
      <c r="B157" s="30" t="s">
        <v>1147</v>
      </c>
      <c r="C157" s="20" t="s">
        <v>637</v>
      </c>
      <c r="D157" s="20" t="s">
        <v>696</v>
      </c>
      <c r="E157" s="20" t="s">
        <v>1848</v>
      </c>
      <c r="F157" s="20" t="s">
        <v>1849</v>
      </c>
      <c r="G157" s="21">
        <v>18.8</v>
      </c>
      <c r="H157" s="16">
        <v>27</v>
      </c>
      <c r="I157" s="16"/>
      <c r="J157" s="17">
        <v>507.6</v>
      </c>
      <c r="K157" s="22"/>
      <c r="L157" s="23"/>
      <c r="M157" s="23">
        <v>0</v>
      </c>
      <c r="N157" s="19">
        <v>37.6</v>
      </c>
      <c r="O157" s="19">
        <v>-94</v>
      </c>
      <c r="P157" s="48">
        <v>94</v>
      </c>
      <c r="Q157" s="17">
        <v>0</v>
      </c>
      <c r="R157" s="24">
        <v>507.6</v>
      </c>
      <c r="S157" s="18" t="s">
        <v>28</v>
      </c>
      <c r="T157" s="25">
        <v>1</v>
      </c>
    </row>
    <row r="158" spans="1:20" s="26" customFormat="1" x14ac:dyDescent="0.25">
      <c r="A158" s="16">
        <v>229542</v>
      </c>
      <c r="B158" s="30" t="s">
        <v>1032</v>
      </c>
      <c r="C158" s="20" t="s">
        <v>637</v>
      </c>
      <c r="D158" s="20" t="s">
        <v>696</v>
      </c>
      <c r="E158" s="20" t="s">
        <v>1850</v>
      </c>
      <c r="F158" s="20" t="s">
        <v>1851</v>
      </c>
      <c r="G158" s="21">
        <v>18.8</v>
      </c>
      <c r="H158" s="16">
        <v>22</v>
      </c>
      <c r="I158" s="16">
        <v>1</v>
      </c>
      <c r="J158" s="17">
        <v>394.8</v>
      </c>
      <c r="K158" s="22"/>
      <c r="L158" s="23"/>
      <c r="M158" s="23">
        <v>0</v>
      </c>
      <c r="N158" s="19">
        <v>37.6</v>
      </c>
      <c r="O158" s="19">
        <v>-94</v>
      </c>
      <c r="P158" s="48">
        <v>94</v>
      </c>
      <c r="Q158" s="17">
        <v>0</v>
      </c>
      <c r="R158" s="24">
        <v>394.8</v>
      </c>
      <c r="S158" s="18" t="s">
        <v>28</v>
      </c>
      <c r="T158" s="25">
        <v>1</v>
      </c>
    </row>
    <row r="159" spans="1:20" s="26" customFormat="1" x14ac:dyDescent="0.25">
      <c r="A159" s="16">
        <v>229616</v>
      </c>
      <c r="B159" s="30" t="s">
        <v>130</v>
      </c>
      <c r="C159" s="20" t="s">
        <v>637</v>
      </c>
      <c r="D159" s="20" t="s">
        <v>696</v>
      </c>
      <c r="E159" s="20" t="s">
        <v>1852</v>
      </c>
      <c r="F159" s="20" t="s">
        <v>1853</v>
      </c>
      <c r="G159" s="21">
        <v>18.8</v>
      </c>
      <c r="H159" s="16">
        <v>27</v>
      </c>
      <c r="I159" s="16">
        <v>5</v>
      </c>
      <c r="J159" s="17">
        <v>413.6</v>
      </c>
      <c r="K159" s="22"/>
      <c r="L159" s="23"/>
      <c r="M159" s="23">
        <v>0</v>
      </c>
      <c r="N159" s="19">
        <v>37.6</v>
      </c>
      <c r="O159" s="19">
        <v>-94</v>
      </c>
      <c r="P159" s="48">
        <v>94</v>
      </c>
      <c r="Q159" s="17">
        <v>0</v>
      </c>
      <c r="R159" s="24">
        <v>413.6</v>
      </c>
      <c r="S159" s="18" t="s">
        <v>28</v>
      </c>
      <c r="T159" s="25">
        <v>1</v>
      </c>
    </row>
    <row r="160" spans="1:20" s="26" customFormat="1" x14ac:dyDescent="0.25">
      <c r="A160" s="16">
        <v>229644</v>
      </c>
      <c r="B160" s="30" t="s">
        <v>131</v>
      </c>
      <c r="C160" s="20" t="s">
        <v>637</v>
      </c>
      <c r="D160" s="20" t="s">
        <v>694</v>
      </c>
      <c r="E160" s="20" t="s">
        <v>1854</v>
      </c>
      <c r="F160" s="20" t="s">
        <v>1855</v>
      </c>
      <c r="G160" s="21">
        <v>13.7</v>
      </c>
      <c r="H160" s="16">
        <v>24</v>
      </c>
      <c r="I160" s="16">
        <v>3</v>
      </c>
      <c r="J160" s="17">
        <v>287.7</v>
      </c>
      <c r="K160" s="22"/>
      <c r="L160" s="23"/>
      <c r="M160" s="23">
        <v>0</v>
      </c>
      <c r="N160" s="19">
        <v>27.4</v>
      </c>
      <c r="O160" s="19">
        <v>-68.5</v>
      </c>
      <c r="P160" s="48">
        <v>68.5</v>
      </c>
      <c r="Q160" s="17">
        <v>0</v>
      </c>
      <c r="R160" s="24">
        <v>287.7</v>
      </c>
      <c r="S160" s="18" t="s">
        <v>28</v>
      </c>
      <c r="T160" s="25">
        <v>1</v>
      </c>
    </row>
    <row r="161" spans="1:20" s="26" customFormat="1" x14ac:dyDescent="0.25">
      <c r="A161" s="16">
        <v>229795</v>
      </c>
      <c r="B161" s="30" t="s">
        <v>132</v>
      </c>
      <c r="C161" s="20" t="s">
        <v>637</v>
      </c>
      <c r="D161" s="20" t="s">
        <v>696</v>
      </c>
      <c r="E161" s="20" t="s">
        <v>1856</v>
      </c>
      <c r="F161" s="20" t="s">
        <v>1857</v>
      </c>
      <c r="G161" s="21">
        <v>18.8</v>
      </c>
      <c r="H161" s="16">
        <v>27</v>
      </c>
      <c r="I161" s="16">
        <v>6</v>
      </c>
      <c r="J161" s="17">
        <v>394.8</v>
      </c>
      <c r="K161" s="22"/>
      <c r="L161" s="23"/>
      <c r="M161" s="23">
        <v>0</v>
      </c>
      <c r="N161" s="19">
        <v>37.6</v>
      </c>
      <c r="O161" s="19">
        <v>-94</v>
      </c>
      <c r="P161" s="48">
        <v>94</v>
      </c>
      <c r="Q161" s="17">
        <v>0</v>
      </c>
      <c r="R161" s="24">
        <v>394.8</v>
      </c>
      <c r="S161" s="18" t="s">
        <v>28</v>
      </c>
      <c r="T161" s="25">
        <v>1</v>
      </c>
    </row>
    <row r="162" spans="1:20" s="26" customFormat="1" x14ac:dyDescent="0.25">
      <c r="A162" s="16">
        <v>229926</v>
      </c>
      <c r="B162" s="30" t="s">
        <v>1399</v>
      </c>
      <c r="C162" s="20" t="s">
        <v>637</v>
      </c>
      <c r="D162" s="20" t="s">
        <v>807</v>
      </c>
      <c r="E162" s="20" t="s">
        <v>1858</v>
      </c>
      <c r="F162" s="20" t="s">
        <v>1859</v>
      </c>
      <c r="G162" s="21">
        <v>18.8</v>
      </c>
      <c r="H162" s="16">
        <v>26</v>
      </c>
      <c r="I162" s="16">
        <v>7</v>
      </c>
      <c r="J162" s="17">
        <v>357.2</v>
      </c>
      <c r="K162" s="22"/>
      <c r="L162" s="23"/>
      <c r="M162" s="23">
        <v>0</v>
      </c>
      <c r="N162" s="19">
        <v>37.6</v>
      </c>
      <c r="O162" s="19">
        <v>-94</v>
      </c>
      <c r="P162" s="48">
        <v>94</v>
      </c>
      <c r="Q162" s="17">
        <v>0</v>
      </c>
      <c r="R162" s="24">
        <v>357.2</v>
      </c>
      <c r="S162" s="18" t="s">
        <v>28</v>
      </c>
      <c r="T162" s="25">
        <v>1</v>
      </c>
    </row>
    <row r="163" spans="1:20" s="26" customFormat="1" x14ac:dyDescent="0.25">
      <c r="A163" s="16">
        <v>229996</v>
      </c>
      <c r="B163" s="30" t="s">
        <v>133</v>
      </c>
      <c r="C163" s="20" t="s">
        <v>637</v>
      </c>
      <c r="D163" s="20" t="s">
        <v>696</v>
      </c>
      <c r="E163" s="20" t="s">
        <v>1860</v>
      </c>
      <c r="F163" s="20" t="s">
        <v>1861</v>
      </c>
      <c r="G163" s="21">
        <v>18.8</v>
      </c>
      <c r="H163" s="16">
        <v>27</v>
      </c>
      <c r="I163" s="16">
        <v>6</v>
      </c>
      <c r="J163" s="17">
        <v>394.8</v>
      </c>
      <c r="K163" s="22"/>
      <c r="L163" s="23"/>
      <c r="M163" s="23">
        <v>0</v>
      </c>
      <c r="N163" s="19">
        <v>37.6</v>
      </c>
      <c r="O163" s="19">
        <v>-94</v>
      </c>
      <c r="P163" s="48">
        <v>94</v>
      </c>
      <c r="Q163" s="17">
        <v>0</v>
      </c>
      <c r="R163" s="24">
        <v>394.8</v>
      </c>
      <c r="S163" s="18" t="s">
        <v>28</v>
      </c>
      <c r="T163" s="25">
        <v>1</v>
      </c>
    </row>
    <row r="164" spans="1:20" s="26" customFormat="1" x14ac:dyDescent="0.25">
      <c r="A164" s="16">
        <v>229998</v>
      </c>
      <c r="B164" s="30" t="s">
        <v>134</v>
      </c>
      <c r="C164" s="20" t="s">
        <v>637</v>
      </c>
      <c r="D164" s="20" t="s">
        <v>696</v>
      </c>
      <c r="E164" s="20" t="s">
        <v>1862</v>
      </c>
      <c r="F164" s="20" t="s">
        <v>1863</v>
      </c>
      <c r="G164" s="21">
        <v>13.7</v>
      </c>
      <c r="H164" s="16">
        <v>27</v>
      </c>
      <c r="I164" s="16">
        <v>4</v>
      </c>
      <c r="J164" s="17">
        <v>315.09999999999997</v>
      </c>
      <c r="K164" s="22"/>
      <c r="L164" s="23"/>
      <c r="M164" s="23">
        <v>0</v>
      </c>
      <c r="N164" s="19">
        <v>27.4</v>
      </c>
      <c r="O164" s="19">
        <v>-68.5</v>
      </c>
      <c r="P164" s="48">
        <v>68.5</v>
      </c>
      <c r="Q164" s="17">
        <v>0</v>
      </c>
      <c r="R164" s="24">
        <v>315.09999999999997</v>
      </c>
      <c r="S164" s="18" t="s">
        <v>28</v>
      </c>
      <c r="T164" s="25">
        <v>1</v>
      </c>
    </row>
    <row r="165" spans="1:20" s="26" customFormat="1" x14ac:dyDescent="0.25">
      <c r="A165" s="16">
        <v>230032</v>
      </c>
      <c r="B165" s="30" t="s">
        <v>135</v>
      </c>
      <c r="C165" s="20" t="s">
        <v>637</v>
      </c>
      <c r="D165" s="20" t="s">
        <v>807</v>
      </c>
      <c r="E165" s="20" t="s">
        <v>1864</v>
      </c>
      <c r="F165" s="20" t="s">
        <v>1865</v>
      </c>
      <c r="G165" s="21">
        <v>18.8</v>
      </c>
      <c r="H165" s="16">
        <v>27</v>
      </c>
      <c r="I165" s="16">
        <v>4</v>
      </c>
      <c r="J165" s="17">
        <v>432.40000000000003</v>
      </c>
      <c r="K165" s="22"/>
      <c r="L165" s="23"/>
      <c r="M165" s="23">
        <v>0</v>
      </c>
      <c r="N165" s="19">
        <v>37.6</v>
      </c>
      <c r="O165" s="19">
        <v>-94</v>
      </c>
      <c r="P165" s="48">
        <v>94</v>
      </c>
      <c r="Q165" s="17">
        <v>0</v>
      </c>
      <c r="R165" s="24">
        <v>432.40000000000003</v>
      </c>
      <c r="S165" s="18" t="s">
        <v>28</v>
      </c>
      <c r="T165" s="25">
        <v>1</v>
      </c>
    </row>
    <row r="166" spans="1:20" s="26" customFormat="1" x14ac:dyDescent="0.25">
      <c r="A166" s="16">
        <v>230034</v>
      </c>
      <c r="B166" s="30" t="s">
        <v>1148</v>
      </c>
      <c r="C166" s="20" t="s">
        <v>637</v>
      </c>
      <c r="D166" s="20" t="s">
        <v>696</v>
      </c>
      <c r="E166" s="20" t="s">
        <v>1866</v>
      </c>
      <c r="F166" s="20" t="s">
        <v>1867</v>
      </c>
      <c r="G166" s="21">
        <v>13.4</v>
      </c>
      <c r="H166" s="16">
        <v>27</v>
      </c>
      <c r="I166" s="16">
        <v>9</v>
      </c>
      <c r="J166" s="17">
        <v>241.20000000000002</v>
      </c>
      <c r="K166" s="22"/>
      <c r="L166" s="23"/>
      <c r="M166" s="23">
        <v>0</v>
      </c>
      <c r="N166" s="19">
        <v>26.8</v>
      </c>
      <c r="O166" s="19">
        <v>-67</v>
      </c>
      <c r="P166" s="48">
        <v>67</v>
      </c>
      <c r="Q166" s="17">
        <v>0</v>
      </c>
      <c r="R166" s="24">
        <v>241.20000000000002</v>
      </c>
      <c r="S166" s="18" t="s">
        <v>28</v>
      </c>
      <c r="T166" s="25">
        <v>1</v>
      </c>
    </row>
    <row r="167" spans="1:20" s="26" customFormat="1" x14ac:dyDescent="0.25">
      <c r="A167" s="16">
        <v>230181</v>
      </c>
      <c r="B167" s="30" t="s">
        <v>137</v>
      </c>
      <c r="C167" s="20" t="s">
        <v>637</v>
      </c>
      <c r="D167" s="20" t="s">
        <v>694</v>
      </c>
      <c r="E167" s="20" t="s">
        <v>1868</v>
      </c>
      <c r="F167" s="20" t="s">
        <v>1869</v>
      </c>
      <c r="G167" s="21">
        <v>13.7</v>
      </c>
      <c r="H167" s="16">
        <v>24</v>
      </c>
      <c r="I167" s="16">
        <v>2</v>
      </c>
      <c r="J167" s="17">
        <v>301.39999999999998</v>
      </c>
      <c r="K167" s="22"/>
      <c r="L167" s="23">
        <v>13.7</v>
      </c>
      <c r="M167" s="23">
        <v>13.7</v>
      </c>
      <c r="N167" s="19">
        <v>27.4</v>
      </c>
      <c r="O167" s="19">
        <v>-54.8</v>
      </c>
      <c r="P167" s="48">
        <v>68.5</v>
      </c>
      <c r="Q167" s="17">
        <v>0</v>
      </c>
      <c r="R167" s="24">
        <v>301.39999999999998</v>
      </c>
      <c r="S167" s="18" t="s">
        <v>28</v>
      </c>
      <c r="T167" s="25">
        <v>1</v>
      </c>
    </row>
    <row r="168" spans="1:20" s="26" customFormat="1" x14ac:dyDescent="0.25">
      <c r="A168" s="16">
        <v>230182</v>
      </c>
      <c r="B168" s="30" t="s">
        <v>1400</v>
      </c>
      <c r="C168" s="20" t="s">
        <v>637</v>
      </c>
      <c r="D168" s="20" t="s">
        <v>807</v>
      </c>
      <c r="E168" s="20" t="s">
        <v>1870</v>
      </c>
      <c r="F168" s="20" t="s">
        <v>1871</v>
      </c>
      <c r="G168" s="21">
        <v>18.8</v>
      </c>
      <c r="H168" s="16">
        <v>24</v>
      </c>
      <c r="I168" s="16"/>
      <c r="J168" s="17">
        <v>451.20000000000005</v>
      </c>
      <c r="K168" s="22"/>
      <c r="L168" s="23">
        <v>37.6</v>
      </c>
      <c r="M168" s="23">
        <v>37.6</v>
      </c>
      <c r="N168" s="19">
        <v>37.6</v>
      </c>
      <c r="O168" s="19">
        <v>-56.4</v>
      </c>
      <c r="P168" s="48">
        <v>94</v>
      </c>
      <c r="Q168" s="17">
        <v>0</v>
      </c>
      <c r="R168" s="24">
        <v>451.20000000000005</v>
      </c>
      <c r="S168" s="18" t="s">
        <v>28</v>
      </c>
      <c r="T168" s="25">
        <v>1</v>
      </c>
    </row>
    <row r="169" spans="1:20" s="26" customFormat="1" x14ac:dyDescent="0.25">
      <c r="A169" s="16">
        <v>230184</v>
      </c>
      <c r="B169" s="30" t="s">
        <v>138</v>
      </c>
      <c r="C169" s="20" t="s">
        <v>637</v>
      </c>
      <c r="D169" s="20" t="s">
        <v>694</v>
      </c>
      <c r="E169" s="20" t="s">
        <v>1872</v>
      </c>
      <c r="F169" s="20" t="s">
        <v>1873</v>
      </c>
      <c r="G169" s="21">
        <v>18.8</v>
      </c>
      <c r="H169" s="16">
        <v>24</v>
      </c>
      <c r="I169" s="16"/>
      <c r="J169" s="17">
        <v>451.20000000000005</v>
      </c>
      <c r="K169" s="22"/>
      <c r="L169" s="23"/>
      <c r="M169" s="23">
        <v>0</v>
      </c>
      <c r="N169" s="19">
        <v>37.6</v>
      </c>
      <c r="O169" s="19">
        <v>-94</v>
      </c>
      <c r="P169" s="48">
        <v>94</v>
      </c>
      <c r="Q169" s="17">
        <v>0</v>
      </c>
      <c r="R169" s="24">
        <v>451.20000000000005</v>
      </c>
      <c r="S169" s="18" t="s">
        <v>28</v>
      </c>
      <c r="T169" s="25">
        <v>1</v>
      </c>
    </row>
    <row r="170" spans="1:20" s="26" customFormat="1" x14ac:dyDescent="0.25">
      <c r="A170" s="16">
        <v>230276</v>
      </c>
      <c r="B170" s="30" t="s">
        <v>1401</v>
      </c>
      <c r="C170" s="20" t="s">
        <v>637</v>
      </c>
      <c r="D170" s="20" t="s">
        <v>694</v>
      </c>
      <c r="E170" s="20" t="s">
        <v>1874</v>
      </c>
      <c r="F170" s="20" t="s">
        <v>1875</v>
      </c>
      <c r="G170" s="21">
        <v>18.8</v>
      </c>
      <c r="H170" s="16">
        <v>24</v>
      </c>
      <c r="I170" s="16">
        <v>1</v>
      </c>
      <c r="J170" s="17">
        <v>432.40000000000003</v>
      </c>
      <c r="K170" s="22"/>
      <c r="L170" s="23"/>
      <c r="M170" s="23">
        <v>0</v>
      </c>
      <c r="N170" s="19">
        <v>37.6</v>
      </c>
      <c r="O170" s="19">
        <v>-94</v>
      </c>
      <c r="P170" s="48">
        <v>94</v>
      </c>
      <c r="Q170" s="17">
        <v>0</v>
      </c>
      <c r="R170" s="24">
        <v>432.40000000000003</v>
      </c>
      <c r="S170" s="18" t="s">
        <v>28</v>
      </c>
      <c r="T170" s="25">
        <v>1</v>
      </c>
    </row>
    <row r="171" spans="1:20" s="26" customFormat="1" x14ac:dyDescent="0.25">
      <c r="A171" s="16">
        <v>230333</v>
      </c>
      <c r="B171" s="30" t="s">
        <v>140</v>
      </c>
      <c r="C171" s="20" t="s">
        <v>637</v>
      </c>
      <c r="D171" s="20" t="s">
        <v>696</v>
      </c>
      <c r="E171" s="20" t="s">
        <v>1876</v>
      </c>
      <c r="F171" s="20" t="s">
        <v>1877</v>
      </c>
      <c r="G171" s="21">
        <v>18.8</v>
      </c>
      <c r="H171" s="16">
        <v>24</v>
      </c>
      <c r="I171" s="16"/>
      <c r="J171" s="17">
        <v>451.20000000000005</v>
      </c>
      <c r="K171" s="22"/>
      <c r="L171" s="23"/>
      <c r="M171" s="23">
        <v>0</v>
      </c>
      <c r="N171" s="19">
        <v>37.6</v>
      </c>
      <c r="O171" s="19">
        <v>-94</v>
      </c>
      <c r="P171" s="48">
        <v>94</v>
      </c>
      <c r="Q171" s="17">
        <v>0</v>
      </c>
      <c r="R171" s="24">
        <v>451.20000000000005</v>
      </c>
      <c r="S171" s="18" t="s">
        <v>28</v>
      </c>
      <c r="T171" s="25">
        <v>1</v>
      </c>
    </row>
    <row r="172" spans="1:20" s="26" customFormat="1" x14ac:dyDescent="0.25">
      <c r="A172" s="16">
        <v>230589</v>
      </c>
      <c r="B172" s="30" t="s">
        <v>141</v>
      </c>
      <c r="C172" s="20" t="s">
        <v>637</v>
      </c>
      <c r="D172" s="20" t="s">
        <v>694</v>
      </c>
      <c r="E172" s="20" t="s">
        <v>1878</v>
      </c>
      <c r="F172" s="20" t="s">
        <v>1879</v>
      </c>
      <c r="G172" s="21">
        <v>18.8</v>
      </c>
      <c r="H172" s="16">
        <v>24</v>
      </c>
      <c r="I172" s="16">
        <v>1</v>
      </c>
      <c r="J172" s="17">
        <v>432.40000000000003</v>
      </c>
      <c r="K172" s="22"/>
      <c r="L172" s="23"/>
      <c r="M172" s="23">
        <v>0</v>
      </c>
      <c r="N172" s="19">
        <v>37.6</v>
      </c>
      <c r="O172" s="19">
        <v>-94</v>
      </c>
      <c r="P172" s="48">
        <v>94</v>
      </c>
      <c r="Q172" s="17">
        <v>0</v>
      </c>
      <c r="R172" s="24">
        <v>432.40000000000003</v>
      </c>
      <c r="S172" s="18" t="s">
        <v>28</v>
      </c>
      <c r="T172" s="25">
        <v>1</v>
      </c>
    </row>
    <row r="173" spans="1:20" s="26" customFormat="1" x14ac:dyDescent="0.25">
      <c r="A173" s="16">
        <v>230961</v>
      </c>
      <c r="B173" s="30" t="s">
        <v>143</v>
      </c>
      <c r="C173" s="20" t="s">
        <v>637</v>
      </c>
      <c r="D173" s="20" t="s">
        <v>694</v>
      </c>
      <c r="E173" s="20" t="s">
        <v>1880</v>
      </c>
      <c r="F173" s="20" t="s">
        <v>1881</v>
      </c>
      <c r="G173" s="21">
        <v>18.8</v>
      </c>
      <c r="H173" s="16">
        <v>24</v>
      </c>
      <c r="I173" s="16">
        <v>9</v>
      </c>
      <c r="J173" s="17">
        <v>282</v>
      </c>
      <c r="K173" s="22"/>
      <c r="L173" s="23"/>
      <c r="M173" s="23">
        <v>0</v>
      </c>
      <c r="N173" s="19">
        <v>37.6</v>
      </c>
      <c r="O173" s="19">
        <v>-94</v>
      </c>
      <c r="P173" s="48">
        <v>94</v>
      </c>
      <c r="Q173" s="17">
        <v>0</v>
      </c>
      <c r="R173" s="24">
        <v>282</v>
      </c>
      <c r="S173" s="18" t="s">
        <v>28</v>
      </c>
      <c r="T173" s="25">
        <v>1</v>
      </c>
    </row>
    <row r="174" spans="1:20" s="26" customFormat="1" x14ac:dyDescent="0.25">
      <c r="A174" s="16">
        <v>230962</v>
      </c>
      <c r="B174" s="30" t="s">
        <v>1402</v>
      </c>
      <c r="C174" s="20" t="s">
        <v>637</v>
      </c>
      <c r="D174" s="20" t="s">
        <v>693</v>
      </c>
      <c r="E174" s="20" t="s">
        <v>1882</v>
      </c>
      <c r="F174" s="20" t="s">
        <v>1883</v>
      </c>
      <c r="G174" s="21">
        <v>18.8</v>
      </c>
      <c r="H174" s="16">
        <v>24</v>
      </c>
      <c r="I174" s="16"/>
      <c r="J174" s="17">
        <v>451.20000000000005</v>
      </c>
      <c r="K174" s="22"/>
      <c r="L174" s="23"/>
      <c r="M174" s="23">
        <v>0</v>
      </c>
      <c r="N174" s="19">
        <v>37.6</v>
      </c>
      <c r="O174" s="19">
        <v>-94</v>
      </c>
      <c r="P174" s="48">
        <v>94</v>
      </c>
      <c r="Q174" s="17">
        <v>0</v>
      </c>
      <c r="R174" s="24">
        <v>451.20000000000005</v>
      </c>
      <c r="S174" s="18" t="s">
        <v>28</v>
      </c>
      <c r="T174" s="25">
        <v>1</v>
      </c>
    </row>
    <row r="175" spans="1:20" s="26" customFormat="1" x14ac:dyDescent="0.25">
      <c r="A175" s="16">
        <v>230963</v>
      </c>
      <c r="B175" s="30" t="s">
        <v>1403</v>
      </c>
      <c r="C175" s="20" t="s">
        <v>637</v>
      </c>
      <c r="D175" s="20" t="s">
        <v>696</v>
      </c>
      <c r="E175" s="20" t="s">
        <v>1884</v>
      </c>
      <c r="F175" s="20" t="s">
        <v>1885</v>
      </c>
      <c r="G175" s="21">
        <v>18.8</v>
      </c>
      <c r="H175" s="16">
        <v>27</v>
      </c>
      <c r="I175" s="16">
        <v>2</v>
      </c>
      <c r="J175" s="17">
        <v>470</v>
      </c>
      <c r="K175" s="22"/>
      <c r="L175" s="23"/>
      <c r="M175" s="23">
        <v>0</v>
      </c>
      <c r="N175" s="19">
        <v>37.6</v>
      </c>
      <c r="O175" s="19">
        <v>-94</v>
      </c>
      <c r="P175" s="48">
        <v>94</v>
      </c>
      <c r="Q175" s="17">
        <v>0</v>
      </c>
      <c r="R175" s="24">
        <v>470</v>
      </c>
      <c r="S175" s="18" t="s">
        <v>28</v>
      </c>
      <c r="T175" s="25">
        <v>1</v>
      </c>
    </row>
    <row r="176" spans="1:20" s="26" customFormat="1" x14ac:dyDescent="0.25">
      <c r="A176" s="16">
        <v>231184</v>
      </c>
      <c r="B176" s="30" t="s">
        <v>763</v>
      </c>
      <c r="C176" s="20" t="s">
        <v>637</v>
      </c>
      <c r="D176" s="20" t="s">
        <v>696</v>
      </c>
      <c r="E176" s="20" t="s">
        <v>1886</v>
      </c>
      <c r="F176" s="20" t="s">
        <v>1887</v>
      </c>
      <c r="G176" s="21">
        <v>18.8</v>
      </c>
      <c r="H176" s="16">
        <v>24</v>
      </c>
      <c r="I176" s="16"/>
      <c r="J176" s="17">
        <v>451.20000000000005</v>
      </c>
      <c r="K176" s="22"/>
      <c r="L176" s="23"/>
      <c r="M176" s="23">
        <v>0</v>
      </c>
      <c r="N176" s="19">
        <v>37.6</v>
      </c>
      <c r="O176" s="19">
        <v>-94</v>
      </c>
      <c r="P176" s="48">
        <v>94</v>
      </c>
      <c r="Q176" s="17">
        <v>0</v>
      </c>
      <c r="R176" s="24">
        <v>451.20000000000005</v>
      </c>
      <c r="S176" s="18" t="s">
        <v>28</v>
      </c>
      <c r="T176" s="25">
        <v>1</v>
      </c>
    </row>
    <row r="177" spans="1:20" s="26" customFormat="1" x14ac:dyDescent="0.25">
      <c r="A177" s="16">
        <v>231431</v>
      </c>
      <c r="B177" s="30" t="s">
        <v>784</v>
      </c>
      <c r="C177" s="20" t="s">
        <v>637</v>
      </c>
      <c r="D177" s="20" t="s">
        <v>696</v>
      </c>
      <c r="E177" s="20" t="s">
        <v>1888</v>
      </c>
      <c r="F177" s="20" t="s">
        <v>1889</v>
      </c>
      <c r="G177" s="21">
        <v>18.8</v>
      </c>
      <c r="H177" s="16">
        <v>24</v>
      </c>
      <c r="I177" s="16"/>
      <c r="J177" s="17">
        <v>451.20000000000005</v>
      </c>
      <c r="K177" s="22"/>
      <c r="L177" s="23"/>
      <c r="M177" s="23">
        <v>0</v>
      </c>
      <c r="N177" s="19">
        <v>37.6</v>
      </c>
      <c r="O177" s="19">
        <v>-94</v>
      </c>
      <c r="P177" s="48">
        <v>94</v>
      </c>
      <c r="Q177" s="17">
        <v>0</v>
      </c>
      <c r="R177" s="24">
        <v>451.20000000000005</v>
      </c>
      <c r="S177" s="18" t="s">
        <v>28</v>
      </c>
      <c r="T177" s="25">
        <v>1</v>
      </c>
    </row>
    <row r="178" spans="1:20" s="26" customFormat="1" x14ac:dyDescent="0.25">
      <c r="A178" s="16">
        <v>231523</v>
      </c>
      <c r="B178" s="30" t="s">
        <v>811</v>
      </c>
      <c r="C178" s="20" t="s">
        <v>637</v>
      </c>
      <c r="D178" s="20" t="s">
        <v>696</v>
      </c>
      <c r="E178" s="20" t="s">
        <v>1890</v>
      </c>
      <c r="F178" s="20" t="s">
        <v>1891</v>
      </c>
      <c r="G178" s="21">
        <v>18.8</v>
      </c>
      <c r="H178" s="16">
        <v>27</v>
      </c>
      <c r="I178" s="16">
        <v>5</v>
      </c>
      <c r="J178" s="17">
        <v>413.6</v>
      </c>
      <c r="K178" s="22"/>
      <c r="L178" s="23"/>
      <c r="M178" s="23">
        <v>0</v>
      </c>
      <c r="N178" s="19">
        <v>37.6</v>
      </c>
      <c r="O178" s="19">
        <v>-94</v>
      </c>
      <c r="P178" s="48">
        <v>94</v>
      </c>
      <c r="Q178" s="17">
        <v>0</v>
      </c>
      <c r="R178" s="24">
        <v>413.6</v>
      </c>
      <c r="S178" s="18" t="s">
        <v>28</v>
      </c>
      <c r="T178" s="25">
        <v>1</v>
      </c>
    </row>
    <row r="179" spans="1:20" s="26" customFormat="1" x14ac:dyDescent="0.25">
      <c r="A179" s="16">
        <v>231558</v>
      </c>
      <c r="B179" s="30" t="s">
        <v>812</v>
      </c>
      <c r="C179" s="20" t="s">
        <v>637</v>
      </c>
      <c r="D179" s="20" t="s">
        <v>696</v>
      </c>
      <c r="E179" s="20" t="s">
        <v>1892</v>
      </c>
      <c r="F179" s="20" t="s">
        <v>1893</v>
      </c>
      <c r="G179" s="21">
        <v>13.7</v>
      </c>
      <c r="H179" s="16">
        <v>27</v>
      </c>
      <c r="I179" s="16">
        <v>6</v>
      </c>
      <c r="J179" s="17">
        <v>287.7</v>
      </c>
      <c r="K179" s="22"/>
      <c r="L179" s="23"/>
      <c r="M179" s="23">
        <v>0</v>
      </c>
      <c r="N179" s="19">
        <v>27.4</v>
      </c>
      <c r="O179" s="19">
        <v>-68.5</v>
      </c>
      <c r="P179" s="48">
        <v>68.5</v>
      </c>
      <c r="Q179" s="17">
        <v>0</v>
      </c>
      <c r="R179" s="24">
        <v>287.7</v>
      </c>
      <c r="S179" s="18" t="s">
        <v>28</v>
      </c>
      <c r="T179" s="25">
        <v>1</v>
      </c>
    </row>
    <row r="180" spans="1:20" s="26" customFormat="1" x14ac:dyDescent="0.25">
      <c r="A180" s="16">
        <v>231584</v>
      </c>
      <c r="B180" s="30" t="s">
        <v>1149</v>
      </c>
      <c r="C180" s="20" t="s">
        <v>637</v>
      </c>
      <c r="D180" s="20" t="s">
        <v>696</v>
      </c>
      <c r="E180" s="20" t="s">
        <v>1894</v>
      </c>
      <c r="F180" s="20" t="s">
        <v>1895</v>
      </c>
      <c r="G180" s="21">
        <v>18.8</v>
      </c>
      <c r="H180" s="16">
        <v>24</v>
      </c>
      <c r="I180" s="16"/>
      <c r="J180" s="17">
        <v>451.20000000000005</v>
      </c>
      <c r="K180" s="22"/>
      <c r="L180" s="23">
        <v>428.45</v>
      </c>
      <c r="M180" s="23">
        <v>428.45</v>
      </c>
      <c r="N180" s="19">
        <v>37.6</v>
      </c>
      <c r="O180" s="19">
        <v>334.45</v>
      </c>
      <c r="P180" s="48">
        <v>94</v>
      </c>
      <c r="Q180" s="17">
        <v>334.45</v>
      </c>
      <c r="R180" s="24">
        <v>116.75000000000006</v>
      </c>
      <c r="S180" s="18" t="s">
        <v>11</v>
      </c>
      <c r="T180" s="25">
        <v>1</v>
      </c>
    </row>
    <row r="181" spans="1:20" s="26" customFormat="1" x14ac:dyDescent="0.25">
      <c r="A181" s="16">
        <v>231719</v>
      </c>
      <c r="B181" s="30" t="s">
        <v>813</v>
      </c>
      <c r="C181" s="20" t="s">
        <v>637</v>
      </c>
      <c r="D181" s="20" t="s">
        <v>696</v>
      </c>
      <c r="E181" s="20" t="s">
        <v>1896</v>
      </c>
      <c r="F181" s="20" t="s">
        <v>1897</v>
      </c>
      <c r="G181" s="21">
        <v>18.8</v>
      </c>
      <c r="H181" s="16">
        <v>24</v>
      </c>
      <c r="I181" s="16"/>
      <c r="J181" s="17">
        <v>451.20000000000005</v>
      </c>
      <c r="K181" s="22"/>
      <c r="L181" s="23"/>
      <c r="M181" s="23">
        <v>0</v>
      </c>
      <c r="N181" s="19">
        <v>37.6</v>
      </c>
      <c r="O181" s="19">
        <v>-94</v>
      </c>
      <c r="P181" s="48">
        <v>94</v>
      </c>
      <c r="Q181" s="17">
        <v>0</v>
      </c>
      <c r="R181" s="24">
        <v>451.20000000000005</v>
      </c>
      <c r="S181" s="18" t="s">
        <v>28</v>
      </c>
      <c r="T181" s="25">
        <v>1</v>
      </c>
    </row>
    <row r="182" spans="1:20" s="26" customFormat="1" x14ac:dyDescent="0.25">
      <c r="A182" s="16">
        <v>231835</v>
      </c>
      <c r="B182" s="30" t="s">
        <v>814</v>
      </c>
      <c r="C182" s="20" t="s">
        <v>637</v>
      </c>
      <c r="D182" s="20" t="s">
        <v>696</v>
      </c>
      <c r="E182" s="20" t="s">
        <v>1898</v>
      </c>
      <c r="F182" s="20" t="s">
        <v>1899</v>
      </c>
      <c r="G182" s="21">
        <v>18.8</v>
      </c>
      <c r="H182" s="16">
        <v>24</v>
      </c>
      <c r="I182" s="16"/>
      <c r="J182" s="17">
        <v>451.20000000000005</v>
      </c>
      <c r="K182" s="22"/>
      <c r="L182" s="23"/>
      <c r="M182" s="23">
        <v>0</v>
      </c>
      <c r="N182" s="19">
        <v>37.6</v>
      </c>
      <c r="O182" s="19">
        <v>-94</v>
      </c>
      <c r="P182" s="48">
        <v>94</v>
      </c>
      <c r="Q182" s="17">
        <v>0</v>
      </c>
      <c r="R182" s="24">
        <v>451.20000000000005</v>
      </c>
      <c r="S182" s="18" t="s">
        <v>28</v>
      </c>
      <c r="T182" s="25">
        <v>1</v>
      </c>
    </row>
    <row r="183" spans="1:20" s="26" customFormat="1" x14ac:dyDescent="0.25">
      <c r="A183" s="16">
        <v>231930</v>
      </c>
      <c r="B183" s="30" t="s">
        <v>1271</v>
      </c>
      <c r="C183" s="20" t="s">
        <v>637</v>
      </c>
      <c r="D183" s="20" t="s">
        <v>696</v>
      </c>
      <c r="E183" s="20" t="s">
        <v>1900</v>
      </c>
      <c r="F183" s="20" t="s">
        <v>1901</v>
      </c>
      <c r="G183" s="21">
        <v>18.8</v>
      </c>
      <c r="H183" s="16">
        <v>24</v>
      </c>
      <c r="I183" s="16"/>
      <c r="J183" s="17">
        <v>451.20000000000005</v>
      </c>
      <c r="K183" s="22"/>
      <c r="L183" s="23">
        <v>357.2</v>
      </c>
      <c r="M183" s="23">
        <v>357.2</v>
      </c>
      <c r="N183" s="19">
        <v>37.6</v>
      </c>
      <c r="O183" s="19">
        <v>263.2</v>
      </c>
      <c r="P183" s="48">
        <v>94</v>
      </c>
      <c r="Q183" s="17">
        <v>263.2</v>
      </c>
      <c r="R183" s="24">
        <v>188.00000000000006</v>
      </c>
      <c r="S183" s="18" t="s">
        <v>11</v>
      </c>
      <c r="T183" s="25">
        <v>1</v>
      </c>
    </row>
    <row r="184" spans="1:20" s="26" customFormat="1" x14ac:dyDescent="0.25">
      <c r="A184" s="16">
        <v>232038</v>
      </c>
      <c r="B184" s="30" t="s">
        <v>816</v>
      </c>
      <c r="C184" s="20" t="s">
        <v>637</v>
      </c>
      <c r="D184" s="20" t="s">
        <v>807</v>
      </c>
      <c r="E184" s="20" t="s">
        <v>1902</v>
      </c>
      <c r="F184" s="20" t="s">
        <v>1903</v>
      </c>
      <c r="G184" s="21">
        <v>18.8</v>
      </c>
      <c r="H184" s="16">
        <v>24</v>
      </c>
      <c r="I184" s="16"/>
      <c r="J184" s="17">
        <v>451.20000000000005</v>
      </c>
      <c r="K184" s="22"/>
      <c r="L184" s="23"/>
      <c r="M184" s="23">
        <v>0</v>
      </c>
      <c r="N184" s="19">
        <v>37.6</v>
      </c>
      <c r="O184" s="19">
        <v>-94</v>
      </c>
      <c r="P184" s="48">
        <v>94</v>
      </c>
      <c r="Q184" s="17">
        <v>0</v>
      </c>
      <c r="R184" s="24">
        <v>451.20000000000005</v>
      </c>
      <c r="S184" s="18" t="s">
        <v>28</v>
      </c>
      <c r="T184" s="25">
        <v>1</v>
      </c>
    </row>
    <row r="185" spans="1:20" s="26" customFormat="1" x14ac:dyDescent="0.25">
      <c r="A185" s="16">
        <v>232338</v>
      </c>
      <c r="B185" s="30" t="s">
        <v>893</v>
      </c>
      <c r="C185" s="20" t="s">
        <v>637</v>
      </c>
      <c r="D185" s="20" t="s">
        <v>696</v>
      </c>
      <c r="E185" s="20" t="s">
        <v>1904</v>
      </c>
      <c r="F185" s="20" t="s">
        <v>1905</v>
      </c>
      <c r="G185" s="21">
        <v>18.8</v>
      </c>
      <c r="H185" s="16">
        <v>24</v>
      </c>
      <c r="I185" s="16"/>
      <c r="J185" s="17">
        <v>451.20000000000005</v>
      </c>
      <c r="K185" s="22"/>
      <c r="L185" s="23"/>
      <c r="M185" s="23">
        <v>0</v>
      </c>
      <c r="N185" s="19">
        <v>37.6</v>
      </c>
      <c r="O185" s="19">
        <v>-94</v>
      </c>
      <c r="P185" s="48">
        <v>94</v>
      </c>
      <c r="Q185" s="17">
        <v>0</v>
      </c>
      <c r="R185" s="24">
        <v>451.20000000000005</v>
      </c>
      <c r="S185" s="18" t="s">
        <v>28</v>
      </c>
      <c r="T185" s="25">
        <v>1</v>
      </c>
    </row>
    <row r="186" spans="1:20" s="26" customFormat="1" x14ac:dyDescent="0.25">
      <c r="A186" s="16">
        <v>232339</v>
      </c>
      <c r="B186" s="30" t="s">
        <v>894</v>
      </c>
      <c r="C186" s="20" t="s">
        <v>637</v>
      </c>
      <c r="D186" s="20" t="s">
        <v>696</v>
      </c>
      <c r="E186" s="20" t="s">
        <v>1906</v>
      </c>
      <c r="F186" s="20" t="s">
        <v>1907</v>
      </c>
      <c r="G186" s="21">
        <v>18.8</v>
      </c>
      <c r="H186" s="16">
        <v>24</v>
      </c>
      <c r="I186" s="16"/>
      <c r="J186" s="17">
        <v>451.20000000000005</v>
      </c>
      <c r="K186" s="22"/>
      <c r="L186" s="23"/>
      <c r="M186" s="23">
        <v>0</v>
      </c>
      <c r="N186" s="19">
        <v>37.6</v>
      </c>
      <c r="O186" s="19">
        <v>-94</v>
      </c>
      <c r="P186" s="48">
        <v>94</v>
      </c>
      <c r="Q186" s="17">
        <v>0</v>
      </c>
      <c r="R186" s="24">
        <v>451.20000000000005</v>
      </c>
      <c r="S186" s="18" t="s">
        <v>28</v>
      </c>
      <c r="T186" s="25">
        <v>1</v>
      </c>
    </row>
    <row r="187" spans="1:20" s="26" customFormat="1" x14ac:dyDescent="0.25">
      <c r="A187" s="16">
        <v>232422</v>
      </c>
      <c r="B187" s="30" t="s">
        <v>895</v>
      </c>
      <c r="C187" s="20" t="s">
        <v>637</v>
      </c>
      <c r="D187" s="20" t="s">
        <v>696</v>
      </c>
      <c r="E187" s="20" t="s">
        <v>1908</v>
      </c>
      <c r="F187" s="20" t="s">
        <v>1909</v>
      </c>
      <c r="G187" s="21">
        <v>18.8</v>
      </c>
      <c r="H187" s="16">
        <v>24</v>
      </c>
      <c r="I187" s="16">
        <v>4</v>
      </c>
      <c r="J187" s="17">
        <v>376</v>
      </c>
      <c r="K187" s="22"/>
      <c r="L187" s="23"/>
      <c r="M187" s="23">
        <v>0</v>
      </c>
      <c r="N187" s="19">
        <v>37.6</v>
      </c>
      <c r="O187" s="19">
        <v>-94</v>
      </c>
      <c r="P187" s="48">
        <v>94</v>
      </c>
      <c r="Q187" s="17">
        <v>0</v>
      </c>
      <c r="R187" s="24">
        <v>376</v>
      </c>
      <c r="S187" s="18" t="s">
        <v>28</v>
      </c>
      <c r="T187" s="25">
        <v>1</v>
      </c>
    </row>
    <row r="188" spans="1:20" s="26" customFormat="1" x14ac:dyDescent="0.25">
      <c r="A188" s="16">
        <v>232587</v>
      </c>
      <c r="B188" s="30" t="s">
        <v>926</v>
      </c>
      <c r="C188" s="20" t="s">
        <v>637</v>
      </c>
      <c r="D188" s="20" t="s">
        <v>696</v>
      </c>
      <c r="E188" s="20" t="s">
        <v>1910</v>
      </c>
      <c r="F188" s="20" t="s">
        <v>1911</v>
      </c>
      <c r="G188" s="21">
        <v>18.8</v>
      </c>
      <c r="H188" s="16">
        <v>24</v>
      </c>
      <c r="I188" s="16">
        <v>3</v>
      </c>
      <c r="J188" s="17">
        <v>394.8</v>
      </c>
      <c r="K188" s="22"/>
      <c r="L188" s="23"/>
      <c r="M188" s="23">
        <v>0</v>
      </c>
      <c r="N188" s="19">
        <v>37.6</v>
      </c>
      <c r="O188" s="19">
        <v>-94</v>
      </c>
      <c r="P188" s="48">
        <v>94</v>
      </c>
      <c r="Q188" s="17">
        <v>0</v>
      </c>
      <c r="R188" s="24">
        <v>394.8</v>
      </c>
      <c r="S188" s="18" t="s">
        <v>28</v>
      </c>
      <c r="T188" s="25">
        <v>1</v>
      </c>
    </row>
    <row r="189" spans="1:20" s="26" customFormat="1" x14ac:dyDescent="0.25">
      <c r="A189" s="16">
        <v>232620</v>
      </c>
      <c r="B189" s="30" t="s">
        <v>927</v>
      </c>
      <c r="C189" s="20" t="s">
        <v>637</v>
      </c>
      <c r="D189" s="20" t="s">
        <v>696</v>
      </c>
      <c r="E189" s="20" t="s">
        <v>1912</v>
      </c>
      <c r="F189" s="20" t="s">
        <v>1913</v>
      </c>
      <c r="G189" s="21">
        <v>18.8</v>
      </c>
      <c r="H189" s="16">
        <v>24</v>
      </c>
      <c r="I189" s="16">
        <v>2</v>
      </c>
      <c r="J189" s="17">
        <v>413.6</v>
      </c>
      <c r="K189" s="22"/>
      <c r="L189" s="23"/>
      <c r="M189" s="23">
        <v>0</v>
      </c>
      <c r="N189" s="19">
        <v>37.6</v>
      </c>
      <c r="O189" s="19">
        <v>-94</v>
      </c>
      <c r="P189" s="48">
        <v>94</v>
      </c>
      <c r="Q189" s="17">
        <v>0</v>
      </c>
      <c r="R189" s="24">
        <v>413.6</v>
      </c>
      <c r="S189" s="18" t="s">
        <v>28</v>
      </c>
      <c r="T189" s="25">
        <v>1</v>
      </c>
    </row>
    <row r="190" spans="1:20" s="26" customFormat="1" x14ac:dyDescent="0.25">
      <c r="A190" s="16">
        <v>232705</v>
      </c>
      <c r="B190" s="30" t="s">
        <v>928</v>
      </c>
      <c r="C190" s="20" t="s">
        <v>637</v>
      </c>
      <c r="D190" s="20" t="s">
        <v>696</v>
      </c>
      <c r="E190" s="20" t="s">
        <v>1914</v>
      </c>
      <c r="F190" s="20" t="s">
        <v>1915</v>
      </c>
      <c r="G190" s="21">
        <v>18.8</v>
      </c>
      <c r="H190" s="16">
        <v>24</v>
      </c>
      <c r="I190" s="16"/>
      <c r="J190" s="17">
        <v>451.20000000000005</v>
      </c>
      <c r="K190" s="22"/>
      <c r="L190" s="23"/>
      <c r="M190" s="23">
        <v>0</v>
      </c>
      <c r="N190" s="19">
        <v>37.6</v>
      </c>
      <c r="O190" s="19">
        <v>-94</v>
      </c>
      <c r="P190" s="48">
        <v>94</v>
      </c>
      <c r="Q190" s="17">
        <v>0</v>
      </c>
      <c r="R190" s="24">
        <v>451.20000000000005</v>
      </c>
      <c r="S190" s="18" t="s">
        <v>28</v>
      </c>
      <c r="T190" s="25">
        <v>1</v>
      </c>
    </row>
    <row r="191" spans="1:20" s="26" customFormat="1" x14ac:dyDescent="0.25">
      <c r="A191" s="16">
        <v>232706</v>
      </c>
      <c r="B191" s="30" t="s">
        <v>929</v>
      </c>
      <c r="C191" s="20" t="s">
        <v>637</v>
      </c>
      <c r="D191" s="20" t="s">
        <v>696</v>
      </c>
      <c r="E191" s="20" t="s">
        <v>1916</v>
      </c>
      <c r="F191" s="20" t="s">
        <v>1917</v>
      </c>
      <c r="G191" s="21">
        <v>18.8</v>
      </c>
      <c r="H191" s="16">
        <v>24</v>
      </c>
      <c r="I191" s="16">
        <v>6</v>
      </c>
      <c r="J191" s="17">
        <v>338.40000000000003</v>
      </c>
      <c r="K191" s="22"/>
      <c r="L191" s="23"/>
      <c r="M191" s="23">
        <v>0</v>
      </c>
      <c r="N191" s="19">
        <v>37.6</v>
      </c>
      <c r="O191" s="19">
        <v>-94</v>
      </c>
      <c r="P191" s="48">
        <v>94</v>
      </c>
      <c r="Q191" s="17">
        <v>0</v>
      </c>
      <c r="R191" s="24">
        <v>338.40000000000003</v>
      </c>
      <c r="S191" s="18" t="s">
        <v>28</v>
      </c>
      <c r="T191" s="25">
        <v>1</v>
      </c>
    </row>
    <row r="192" spans="1:20" s="26" customFormat="1" x14ac:dyDescent="0.25">
      <c r="A192" s="16">
        <v>232707</v>
      </c>
      <c r="B192" s="30" t="s">
        <v>930</v>
      </c>
      <c r="C192" s="20" t="s">
        <v>637</v>
      </c>
      <c r="D192" s="20" t="s">
        <v>696</v>
      </c>
      <c r="E192" s="20" t="s">
        <v>1918</v>
      </c>
      <c r="F192" s="20" t="s">
        <v>1919</v>
      </c>
      <c r="G192" s="21">
        <v>18.8</v>
      </c>
      <c r="H192" s="16">
        <v>24</v>
      </c>
      <c r="I192" s="16">
        <v>1</v>
      </c>
      <c r="J192" s="17">
        <v>432.40000000000003</v>
      </c>
      <c r="K192" s="22"/>
      <c r="L192" s="23">
        <v>18.8</v>
      </c>
      <c r="M192" s="23">
        <v>18.8</v>
      </c>
      <c r="N192" s="19">
        <v>37.6</v>
      </c>
      <c r="O192" s="19">
        <v>-75.2</v>
      </c>
      <c r="P192" s="48">
        <v>94</v>
      </c>
      <c r="Q192" s="17">
        <v>0</v>
      </c>
      <c r="R192" s="24">
        <v>432.40000000000003</v>
      </c>
      <c r="S192" s="18" t="s">
        <v>28</v>
      </c>
      <c r="T192" s="25">
        <v>1</v>
      </c>
    </row>
    <row r="193" spans="1:20" s="26" customFormat="1" x14ac:dyDescent="0.25">
      <c r="A193" s="16">
        <v>232708</v>
      </c>
      <c r="B193" s="30" t="s">
        <v>1404</v>
      </c>
      <c r="C193" s="20" t="s">
        <v>637</v>
      </c>
      <c r="D193" s="20" t="s">
        <v>696</v>
      </c>
      <c r="E193" s="20" t="s">
        <v>1920</v>
      </c>
      <c r="F193" s="20" t="s">
        <v>1921</v>
      </c>
      <c r="G193" s="21">
        <v>18.8</v>
      </c>
      <c r="H193" s="16">
        <v>27</v>
      </c>
      <c r="I193" s="16">
        <v>5</v>
      </c>
      <c r="J193" s="17">
        <v>413.6</v>
      </c>
      <c r="K193" s="22"/>
      <c r="L193" s="23"/>
      <c r="M193" s="23">
        <v>0</v>
      </c>
      <c r="N193" s="19">
        <v>37.6</v>
      </c>
      <c r="O193" s="19">
        <v>-94</v>
      </c>
      <c r="P193" s="48">
        <v>94</v>
      </c>
      <c r="Q193" s="17">
        <v>0</v>
      </c>
      <c r="R193" s="24">
        <v>413.6</v>
      </c>
      <c r="S193" s="18" t="s">
        <v>28</v>
      </c>
      <c r="T193" s="25">
        <v>1</v>
      </c>
    </row>
    <row r="194" spans="1:20" s="26" customFormat="1" x14ac:dyDescent="0.25">
      <c r="A194" s="16">
        <v>232948</v>
      </c>
      <c r="B194" s="30" t="s">
        <v>960</v>
      </c>
      <c r="C194" s="20" t="s">
        <v>637</v>
      </c>
      <c r="D194" s="20" t="s">
        <v>696</v>
      </c>
      <c r="E194" s="20" t="s">
        <v>1922</v>
      </c>
      <c r="F194" s="20" t="s">
        <v>1923</v>
      </c>
      <c r="G194" s="21">
        <v>18.8</v>
      </c>
      <c r="H194" s="16">
        <v>24</v>
      </c>
      <c r="I194" s="16">
        <v>1</v>
      </c>
      <c r="J194" s="17">
        <v>432.40000000000003</v>
      </c>
      <c r="K194" s="22"/>
      <c r="L194" s="23"/>
      <c r="M194" s="23">
        <v>0</v>
      </c>
      <c r="N194" s="19">
        <v>37.6</v>
      </c>
      <c r="O194" s="19">
        <v>-94</v>
      </c>
      <c r="P194" s="48">
        <v>94</v>
      </c>
      <c r="Q194" s="17">
        <v>0</v>
      </c>
      <c r="R194" s="24">
        <v>432.40000000000003</v>
      </c>
      <c r="S194" s="18" t="s">
        <v>28</v>
      </c>
      <c r="T194" s="25">
        <v>1</v>
      </c>
    </row>
    <row r="195" spans="1:20" s="26" customFormat="1" x14ac:dyDescent="0.25">
      <c r="A195" s="16">
        <v>232972</v>
      </c>
      <c r="B195" s="30" t="s">
        <v>961</v>
      </c>
      <c r="C195" s="20" t="s">
        <v>637</v>
      </c>
      <c r="D195" s="20" t="s">
        <v>696</v>
      </c>
      <c r="E195" s="20" t="s">
        <v>1924</v>
      </c>
      <c r="F195" s="20" t="s">
        <v>1925</v>
      </c>
      <c r="G195" s="21">
        <v>18.8</v>
      </c>
      <c r="H195" s="16">
        <v>24</v>
      </c>
      <c r="I195" s="16">
        <v>1</v>
      </c>
      <c r="J195" s="17">
        <v>432.40000000000003</v>
      </c>
      <c r="K195" s="22"/>
      <c r="L195" s="23"/>
      <c r="M195" s="23">
        <v>0</v>
      </c>
      <c r="N195" s="19">
        <v>37.6</v>
      </c>
      <c r="O195" s="19">
        <v>-94</v>
      </c>
      <c r="P195" s="48">
        <v>94</v>
      </c>
      <c r="Q195" s="17">
        <v>0</v>
      </c>
      <c r="R195" s="24">
        <v>432.40000000000003</v>
      </c>
      <c r="S195" s="18" t="s">
        <v>28</v>
      </c>
      <c r="T195" s="25">
        <v>1</v>
      </c>
    </row>
    <row r="196" spans="1:20" s="26" customFormat="1" x14ac:dyDescent="0.25">
      <c r="A196" s="16">
        <v>233310</v>
      </c>
      <c r="B196" s="30" t="s">
        <v>1033</v>
      </c>
      <c r="C196" s="20" t="s">
        <v>637</v>
      </c>
      <c r="D196" s="20" t="s">
        <v>696</v>
      </c>
      <c r="E196" s="20" t="s">
        <v>1926</v>
      </c>
      <c r="F196" s="20" t="s">
        <v>1927</v>
      </c>
      <c r="G196" s="21">
        <v>18.8</v>
      </c>
      <c r="H196" s="16">
        <v>27</v>
      </c>
      <c r="I196" s="16">
        <v>14</v>
      </c>
      <c r="J196" s="17">
        <v>244.4</v>
      </c>
      <c r="K196" s="22"/>
      <c r="L196" s="23"/>
      <c r="M196" s="23">
        <v>0</v>
      </c>
      <c r="N196" s="19">
        <v>37.6</v>
      </c>
      <c r="O196" s="19">
        <v>-94</v>
      </c>
      <c r="P196" s="48">
        <v>94</v>
      </c>
      <c r="Q196" s="17">
        <v>0</v>
      </c>
      <c r="R196" s="24">
        <v>244.4</v>
      </c>
      <c r="S196" s="18" t="s">
        <v>28</v>
      </c>
      <c r="T196" s="25">
        <v>1</v>
      </c>
    </row>
    <row r="197" spans="1:20" s="26" customFormat="1" x14ac:dyDescent="0.25">
      <c r="A197" s="16">
        <v>233311</v>
      </c>
      <c r="B197" s="30" t="s">
        <v>1034</v>
      </c>
      <c r="C197" s="20" t="s">
        <v>637</v>
      </c>
      <c r="D197" s="20" t="s">
        <v>696</v>
      </c>
      <c r="E197" s="20" t="s">
        <v>1928</v>
      </c>
      <c r="F197" s="20" t="s">
        <v>1929</v>
      </c>
      <c r="G197" s="21">
        <v>18.8</v>
      </c>
      <c r="H197" s="16">
        <v>24</v>
      </c>
      <c r="I197" s="16">
        <v>14</v>
      </c>
      <c r="J197" s="17">
        <v>188</v>
      </c>
      <c r="K197" s="22"/>
      <c r="L197" s="23"/>
      <c r="M197" s="23">
        <v>0</v>
      </c>
      <c r="N197" s="19">
        <v>37.6</v>
      </c>
      <c r="O197" s="19">
        <v>-94</v>
      </c>
      <c r="P197" s="48">
        <v>94</v>
      </c>
      <c r="Q197" s="17">
        <v>0</v>
      </c>
      <c r="R197" s="24">
        <v>188</v>
      </c>
      <c r="S197" s="18" t="s">
        <v>28</v>
      </c>
      <c r="T197" s="25">
        <v>1</v>
      </c>
    </row>
    <row r="198" spans="1:20" s="26" customFormat="1" x14ac:dyDescent="0.25">
      <c r="A198" s="16">
        <v>233312</v>
      </c>
      <c r="B198" s="30" t="s">
        <v>1035</v>
      </c>
      <c r="C198" s="20" t="s">
        <v>637</v>
      </c>
      <c r="D198" s="20" t="s">
        <v>696</v>
      </c>
      <c r="E198" s="20" t="s">
        <v>1930</v>
      </c>
      <c r="F198" s="20" t="s">
        <v>1931</v>
      </c>
      <c r="G198" s="21">
        <v>13.4</v>
      </c>
      <c r="H198" s="16">
        <v>24</v>
      </c>
      <c r="I198" s="16">
        <v>1</v>
      </c>
      <c r="J198" s="17">
        <v>308.2</v>
      </c>
      <c r="K198" s="22"/>
      <c r="L198" s="23">
        <v>13.4</v>
      </c>
      <c r="M198" s="23">
        <v>13.4</v>
      </c>
      <c r="N198" s="19">
        <v>26.8</v>
      </c>
      <c r="O198" s="19">
        <v>-53.6</v>
      </c>
      <c r="P198" s="48">
        <v>67</v>
      </c>
      <c r="Q198" s="17">
        <v>0</v>
      </c>
      <c r="R198" s="24">
        <v>308.2</v>
      </c>
      <c r="S198" s="18" t="s">
        <v>28</v>
      </c>
      <c r="T198" s="25">
        <v>1</v>
      </c>
    </row>
    <row r="199" spans="1:20" s="26" customFormat="1" x14ac:dyDescent="0.25">
      <c r="A199" s="16">
        <v>233484</v>
      </c>
      <c r="B199" s="30" t="s">
        <v>1036</v>
      </c>
      <c r="C199" s="20" t="s">
        <v>637</v>
      </c>
      <c r="D199" s="20" t="s">
        <v>696</v>
      </c>
      <c r="E199" s="20" t="s">
        <v>1932</v>
      </c>
      <c r="F199" s="20" t="s">
        <v>1933</v>
      </c>
      <c r="G199" s="21">
        <v>18.8</v>
      </c>
      <c r="H199" s="16">
        <v>24</v>
      </c>
      <c r="I199" s="16">
        <v>4</v>
      </c>
      <c r="J199" s="17">
        <v>376</v>
      </c>
      <c r="K199" s="22"/>
      <c r="L199" s="23"/>
      <c r="M199" s="23">
        <v>0</v>
      </c>
      <c r="N199" s="19">
        <v>37.6</v>
      </c>
      <c r="O199" s="19">
        <v>-94</v>
      </c>
      <c r="P199" s="48">
        <v>94</v>
      </c>
      <c r="Q199" s="17">
        <v>0</v>
      </c>
      <c r="R199" s="24">
        <v>376</v>
      </c>
      <c r="S199" s="18" t="s">
        <v>28</v>
      </c>
      <c r="T199" s="25">
        <v>1</v>
      </c>
    </row>
    <row r="200" spans="1:20" s="26" customFormat="1" x14ac:dyDescent="0.25">
      <c r="A200" s="16">
        <v>233545</v>
      </c>
      <c r="B200" s="30" t="s">
        <v>1037</v>
      </c>
      <c r="C200" s="20" t="s">
        <v>637</v>
      </c>
      <c r="D200" s="20" t="s">
        <v>696</v>
      </c>
      <c r="E200" s="20" t="s">
        <v>1934</v>
      </c>
      <c r="F200" s="20" t="s">
        <v>1935</v>
      </c>
      <c r="G200" s="21">
        <v>18.8</v>
      </c>
      <c r="H200" s="16">
        <v>27</v>
      </c>
      <c r="I200" s="16"/>
      <c r="J200" s="17">
        <v>507.6</v>
      </c>
      <c r="K200" s="22"/>
      <c r="L200" s="23"/>
      <c r="M200" s="23">
        <v>0</v>
      </c>
      <c r="N200" s="19">
        <v>37.6</v>
      </c>
      <c r="O200" s="19">
        <v>-94</v>
      </c>
      <c r="P200" s="48">
        <v>94</v>
      </c>
      <c r="Q200" s="17">
        <v>0</v>
      </c>
      <c r="R200" s="24">
        <v>507.6</v>
      </c>
      <c r="S200" s="18" t="s">
        <v>28</v>
      </c>
      <c r="T200" s="25">
        <v>1</v>
      </c>
    </row>
    <row r="201" spans="1:20" s="26" customFormat="1" x14ac:dyDescent="0.25">
      <c r="A201" s="16">
        <v>233881</v>
      </c>
      <c r="B201" s="30" t="s">
        <v>1038</v>
      </c>
      <c r="C201" s="20" t="s">
        <v>637</v>
      </c>
      <c r="D201" s="20" t="s">
        <v>696</v>
      </c>
      <c r="E201" s="20" t="s">
        <v>1936</v>
      </c>
      <c r="F201" s="20" t="s">
        <v>1937</v>
      </c>
      <c r="G201" s="21">
        <v>18.8</v>
      </c>
      <c r="H201" s="16">
        <v>27</v>
      </c>
      <c r="I201" s="16">
        <v>8</v>
      </c>
      <c r="J201" s="17">
        <v>357.2</v>
      </c>
      <c r="K201" s="22"/>
      <c r="L201" s="23"/>
      <c r="M201" s="23">
        <v>0</v>
      </c>
      <c r="N201" s="19">
        <v>37.6</v>
      </c>
      <c r="O201" s="19">
        <v>-94</v>
      </c>
      <c r="P201" s="48">
        <v>94</v>
      </c>
      <c r="Q201" s="17">
        <v>0</v>
      </c>
      <c r="R201" s="24">
        <v>357.2</v>
      </c>
      <c r="S201" s="18" t="s">
        <v>28</v>
      </c>
      <c r="T201" s="25">
        <v>1</v>
      </c>
    </row>
    <row r="202" spans="1:20" s="26" customFormat="1" x14ac:dyDescent="0.25">
      <c r="A202" s="16">
        <v>234204</v>
      </c>
      <c r="B202" s="30" t="s">
        <v>1272</v>
      </c>
      <c r="C202" s="20" t="s">
        <v>637</v>
      </c>
      <c r="D202" s="20" t="s">
        <v>696</v>
      </c>
      <c r="E202" s="20" t="s">
        <v>1938</v>
      </c>
      <c r="F202" s="20" t="s">
        <v>1939</v>
      </c>
      <c r="G202" s="21">
        <v>13.7</v>
      </c>
      <c r="H202" s="16">
        <v>24</v>
      </c>
      <c r="I202" s="16"/>
      <c r="J202" s="17">
        <v>328.79999999999995</v>
      </c>
      <c r="K202" s="22"/>
      <c r="L202" s="23"/>
      <c r="M202" s="23">
        <v>0</v>
      </c>
      <c r="N202" s="19">
        <v>27.4</v>
      </c>
      <c r="O202" s="19">
        <v>-68.5</v>
      </c>
      <c r="P202" s="48">
        <v>68.5</v>
      </c>
      <c r="Q202" s="17">
        <v>0</v>
      </c>
      <c r="R202" s="24">
        <v>328.79999999999995</v>
      </c>
      <c r="S202" s="18" t="s">
        <v>28</v>
      </c>
      <c r="T202" s="25">
        <v>1</v>
      </c>
    </row>
    <row r="203" spans="1:20" s="26" customFormat="1" x14ac:dyDescent="0.25">
      <c r="A203" s="16">
        <v>234393</v>
      </c>
      <c r="B203" s="30" t="s">
        <v>1274</v>
      </c>
      <c r="C203" s="20" t="s">
        <v>637</v>
      </c>
      <c r="D203" s="20" t="s">
        <v>696</v>
      </c>
      <c r="E203" s="20" t="s">
        <v>1940</v>
      </c>
      <c r="F203" s="20" t="s">
        <v>1941</v>
      </c>
      <c r="G203" s="21">
        <v>18.8</v>
      </c>
      <c r="H203" s="16">
        <v>24</v>
      </c>
      <c r="I203" s="16"/>
      <c r="J203" s="17">
        <v>451.20000000000005</v>
      </c>
      <c r="K203" s="22"/>
      <c r="L203" s="23"/>
      <c r="M203" s="23">
        <v>0</v>
      </c>
      <c r="N203" s="19">
        <v>37.6</v>
      </c>
      <c r="O203" s="19">
        <v>-94</v>
      </c>
      <c r="P203" s="48">
        <v>94</v>
      </c>
      <c r="Q203" s="17">
        <v>0</v>
      </c>
      <c r="R203" s="24">
        <v>451.20000000000005</v>
      </c>
      <c r="S203" s="18" t="s">
        <v>28</v>
      </c>
      <c r="T203" s="25">
        <v>1</v>
      </c>
    </row>
    <row r="204" spans="1:20" s="26" customFormat="1" x14ac:dyDescent="0.25">
      <c r="A204" s="16">
        <v>234413</v>
      </c>
      <c r="B204" s="30" t="s">
        <v>1275</v>
      </c>
      <c r="C204" s="20" t="s">
        <v>637</v>
      </c>
      <c r="D204" s="20" t="s">
        <v>696</v>
      </c>
      <c r="E204" s="20" t="s">
        <v>1942</v>
      </c>
      <c r="F204" s="20" t="s">
        <v>1943</v>
      </c>
      <c r="G204" s="21">
        <v>13.4</v>
      </c>
      <c r="H204" s="16">
        <v>24</v>
      </c>
      <c r="I204" s="16">
        <v>2</v>
      </c>
      <c r="J204" s="17">
        <v>294.8</v>
      </c>
      <c r="K204" s="22"/>
      <c r="L204" s="23"/>
      <c r="M204" s="23">
        <v>0</v>
      </c>
      <c r="N204" s="19">
        <v>26.8</v>
      </c>
      <c r="O204" s="19">
        <v>-67</v>
      </c>
      <c r="P204" s="48">
        <v>67</v>
      </c>
      <c r="Q204" s="17">
        <v>0</v>
      </c>
      <c r="R204" s="24">
        <v>294.8</v>
      </c>
      <c r="S204" s="18" t="s">
        <v>28</v>
      </c>
      <c r="T204" s="25">
        <v>1</v>
      </c>
    </row>
    <row r="205" spans="1:20" s="26" customFormat="1" x14ac:dyDescent="0.25">
      <c r="A205" s="16">
        <v>234541</v>
      </c>
      <c r="B205" s="30" t="s">
        <v>1305</v>
      </c>
      <c r="C205" s="20" t="s">
        <v>637</v>
      </c>
      <c r="D205" s="20" t="s">
        <v>696</v>
      </c>
      <c r="E205" s="20" t="s">
        <v>1944</v>
      </c>
      <c r="F205" s="20" t="s">
        <v>1945</v>
      </c>
      <c r="G205" s="21">
        <v>13.4</v>
      </c>
      <c r="H205" s="16">
        <v>24</v>
      </c>
      <c r="I205" s="16"/>
      <c r="J205" s="17">
        <v>321.60000000000002</v>
      </c>
      <c r="K205" s="22"/>
      <c r="L205" s="23"/>
      <c r="M205" s="23">
        <v>0</v>
      </c>
      <c r="N205" s="19">
        <v>26.8</v>
      </c>
      <c r="O205" s="19">
        <v>-67</v>
      </c>
      <c r="P205" s="48">
        <v>67</v>
      </c>
      <c r="Q205" s="17">
        <v>0</v>
      </c>
      <c r="R205" s="24">
        <v>321.60000000000002</v>
      </c>
      <c r="S205" s="18" t="s">
        <v>28</v>
      </c>
      <c r="T205" s="25">
        <v>1</v>
      </c>
    </row>
    <row r="206" spans="1:20" s="26" customFormat="1" x14ac:dyDescent="0.25">
      <c r="A206" s="16">
        <v>234693</v>
      </c>
      <c r="B206" s="30" t="s">
        <v>1341</v>
      </c>
      <c r="C206" s="20" t="s">
        <v>637</v>
      </c>
      <c r="D206" s="20" t="s">
        <v>696</v>
      </c>
      <c r="E206" s="20" t="s">
        <v>1946</v>
      </c>
      <c r="F206" s="20" t="s">
        <v>1947</v>
      </c>
      <c r="G206" s="21">
        <v>13.4</v>
      </c>
      <c r="H206" s="16">
        <v>24</v>
      </c>
      <c r="I206" s="16">
        <v>2</v>
      </c>
      <c r="J206" s="17">
        <v>294.8</v>
      </c>
      <c r="K206" s="22"/>
      <c r="L206" s="23">
        <v>11.9</v>
      </c>
      <c r="M206" s="23">
        <v>11.9</v>
      </c>
      <c r="N206" s="19">
        <v>26.8</v>
      </c>
      <c r="O206" s="19">
        <v>-55.1</v>
      </c>
      <c r="P206" s="48">
        <v>67</v>
      </c>
      <c r="Q206" s="17">
        <v>0</v>
      </c>
      <c r="R206" s="24">
        <v>294.8</v>
      </c>
      <c r="S206" s="18" t="s">
        <v>28</v>
      </c>
      <c r="T206" s="25">
        <v>1</v>
      </c>
    </row>
    <row r="207" spans="1:20" s="26" customFormat="1" x14ac:dyDescent="0.25">
      <c r="A207" s="16">
        <v>234739</v>
      </c>
      <c r="B207" s="30" t="s">
        <v>1342</v>
      </c>
      <c r="C207" s="20" t="s">
        <v>637</v>
      </c>
      <c r="D207" s="20" t="s">
        <v>696</v>
      </c>
      <c r="E207" s="20" t="s">
        <v>1948</v>
      </c>
      <c r="F207" s="20" t="s">
        <v>4182</v>
      </c>
      <c r="G207" s="21">
        <v>15.4</v>
      </c>
      <c r="H207" s="16">
        <v>24</v>
      </c>
      <c r="I207" s="16"/>
      <c r="J207" s="17">
        <v>369.6</v>
      </c>
      <c r="K207" s="22"/>
      <c r="L207" s="23"/>
      <c r="M207" s="23">
        <v>0</v>
      </c>
      <c r="N207" s="19">
        <v>30.8</v>
      </c>
      <c r="O207" s="19">
        <v>-77</v>
      </c>
      <c r="P207" s="48">
        <v>77</v>
      </c>
      <c r="Q207" s="17">
        <v>0</v>
      </c>
      <c r="R207" s="24">
        <v>369.6</v>
      </c>
      <c r="S207" s="18" t="s">
        <v>28</v>
      </c>
      <c r="T207" s="25">
        <v>1</v>
      </c>
    </row>
    <row r="208" spans="1:20" s="26" customFormat="1" x14ac:dyDescent="0.25">
      <c r="A208" s="16">
        <v>234801</v>
      </c>
      <c r="B208" s="30" t="s">
        <v>1344</v>
      </c>
      <c r="C208" s="20" t="s">
        <v>637</v>
      </c>
      <c r="D208" s="20" t="s">
        <v>696</v>
      </c>
      <c r="E208" s="20" t="s">
        <v>1951</v>
      </c>
      <c r="F208" s="20" t="s">
        <v>1952</v>
      </c>
      <c r="G208" s="21">
        <v>18.8</v>
      </c>
      <c r="H208" s="16">
        <v>24</v>
      </c>
      <c r="I208" s="16">
        <v>1</v>
      </c>
      <c r="J208" s="17">
        <v>432.40000000000003</v>
      </c>
      <c r="K208" s="22"/>
      <c r="L208" s="23"/>
      <c r="M208" s="23">
        <v>0</v>
      </c>
      <c r="N208" s="19">
        <v>37.6</v>
      </c>
      <c r="O208" s="19">
        <v>-94</v>
      </c>
      <c r="P208" s="48">
        <v>94</v>
      </c>
      <c r="Q208" s="17">
        <v>0</v>
      </c>
      <c r="R208" s="24">
        <v>432.40000000000003</v>
      </c>
      <c r="S208" s="18" t="s">
        <v>28</v>
      </c>
      <c r="T208" s="25">
        <v>1</v>
      </c>
    </row>
    <row r="209" spans="1:20" s="26" customFormat="1" x14ac:dyDescent="0.25">
      <c r="A209" s="16">
        <v>234831</v>
      </c>
      <c r="B209" s="30" t="s">
        <v>1405</v>
      </c>
      <c r="C209" s="20" t="s">
        <v>637</v>
      </c>
      <c r="D209" s="20" t="s">
        <v>696</v>
      </c>
      <c r="E209" s="20" t="s">
        <v>1953</v>
      </c>
      <c r="F209" s="20" t="s">
        <v>1954</v>
      </c>
      <c r="G209" s="21">
        <v>18.8</v>
      </c>
      <c r="H209" s="16">
        <v>27</v>
      </c>
      <c r="I209" s="16">
        <v>2</v>
      </c>
      <c r="J209" s="17">
        <v>470</v>
      </c>
      <c r="K209" s="22"/>
      <c r="L209" s="23">
        <v>94</v>
      </c>
      <c r="M209" s="23">
        <v>94</v>
      </c>
      <c r="N209" s="19">
        <v>37.6</v>
      </c>
      <c r="O209" s="19">
        <v>0</v>
      </c>
      <c r="P209" s="48">
        <v>94</v>
      </c>
      <c r="Q209" s="17">
        <v>0</v>
      </c>
      <c r="R209" s="24">
        <v>470</v>
      </c>
      <c r="S209" s="18" t="s">
        <v>28</v>
      </c>
      <c r="T209" s="25">
        <v>1</v>
      </c>
    </row>
    <row r="210" spans="1:20" s="26" customFormat="1" x14ac:dyDescent="0.25">
      <c r="A210" s="16">
        <v>234833</v>
      </c>
      <c r="B210" s="30" t="s">
        <v>1406</v>
      </c>
      <c r="C210" s="20" t="s">
        <v>637</v>
      </c>
      <c r="D210" s="20" t="s">
        <v>696</v>
      </c>
      <c r="E210" s="20" t="s">
        <v>1955</v>
      </c>
      <c r="F210" s="20" t="s">
        <v>1956</v>
      </c>
      <c r="G210" s="21">
        <v>15.4</v>
      </c>
      <c r="H210" s="16">
        <v>24</v>
      </c>
      <c r="I210" s="16"/>
      <c r="J210" s="17">
        <v>369.6</v>
      </c>
      <c r="K210" s="22"/>
      <c r="L210" s="23"/>
      <c r="M210" s="23">
        <v>0</v>
      </c>
      <c r="N210" s="19">
        <v>30.8</v>
      </c>
      <c r="O210" s="19">
        <v>-77</v>
      </c>
      <c r="P210" s="48">
        <v>77</v>
      </c>
      <c r="Q210" s="17">
        <v>0</v>
      </c>
      <c r="R210" s="24">
        <v>369.6</v>
      </c>
      <c r="S210" s="18" t="s">
        <v>28</v>
      </c>
      <c r="T210" s="25">
        <v>1</v>
      </c>
    </row>
    <row r="211" spans="1:20" s="26" customFormat="1" x14ac:dyDescent="0.25">
      <c r="A211" s="16">
        <v>234835</v>
      </c>
      <c r="B211" s="30" t="s">
        <v>1407</v>
      </c>
      <c r="C211" s="20" t="s">
        <v>637</v>
      </c>
      <c r="D211" s="20" t="s">
        <v>696</v>
      </c>
      <c r="E211" s="20" t="s">
        <v>1957</v>
      </c>
      <c r="F211" s="20" t="s">
        <v>1958</v>
      </c>
      <c r="G211" s="21">
        <v>18.8</v>
      </c>
      <c r="H211" s="16">
        <v>24</v>
      </c>
      <c r="I211" s="16"/>
      <c r="J211" s="17">
        <v>451.20000000000005</v>
      </c>
      <c r="K211" s="22"/>
      <c r="L211" s="23">
        <v>94</v>
      </c>
      <c r="M211" s="23">
        <v>94</v>
      </c>
      <c r="N211" s="19">
        <v>37.6</v>
      </c>
      <c r="O211" s="19">
        <v>0</v>
      </c>
      <c r="P211" s="48">
        <v>94</v>
      </c>
      <c r="Q211" s="17">
        <v>0</v>
      </c>
      <c r="R211" s="24">
        <v>451.20000000000005</v>
      </c>
      <c r="S211" s="18" t="s">
        <v>28</v>
      </c>
      <c r="T211" s="25">
        <v>1</v>
      </c>
    </row>
    <row r="212" spans="1:20" s="26" customFormat="1" x14ac:dyDescent="0.25">
      <c r="A212" s="16">
        <v>234894</v>
      </c>
      <c r="B212" s="30" t="s">
        <v>1408</v>
      </c>
      <c r="C212" s="20" t="s">
        <v>637</v>
      </c>
      <c r="D212" s="20" t="s">
        <v>696</v>
      </c>
      <c r="E212" s="20" t="s">
        <v>1959</v>
      </c>
      <c r="F212" s="20" t="s">
        <v>1960</v>
      </c>
      <c r="G212" s="21">
        <v>18.8</v>
      </c>
      <c r="H212" s="16">
        <v>24</v>
      </c>
      <c r="I212" s="16"/>
      <c r="J212" s="17">
        <v>451.20000000000005</v>
      </c>
      <c r="K212" s="22"/>
      <c r="L212" s="23"/>
      <c r="M212" s="23">
        <v>0</v>
      </c>
      <c r="N212" s="19">
        <v>37.6</v>
      </c>
      <c r="O212" s="19">
        <v>-94</v>
      </c>
      <c r="P212" s="48">
        <v>94</v>
      </c>
      <c r="Q212" s="17">
        <v>0</v>
      </c>
      <c r="R212" s="24">
        <v>451.20000000000005</v>
      </c>
      <c r="S212" s="18" t="s">
        <v>28</v>
      </c>
      <c r="T212" s="25">
        <v>1</v>
      </c>
    </row>
    <row r="213" spans="1:20" s="26" customFormat="1" x14ac:dyDescent="0.25">
      <c r="A213" s="16">
        <v>234895</v>
      </c>
      <c r="B213" s="30" t="s">
        <v>1409</v>
      </c>
      <c r="C213" s="20" t="s">
        <v>637</v>
      </c>
      <c r="D213" s="20" t="s">
        <v>696</v>
      </c>
      <c r="E213" s="20" t="s">
        <v>1961</v>
      </c>
      <c r="F213" s="20" t="s">
        <v>1962</v>
      </c>
      <c r="G213" s="21">
        <v>18.8</v>
      </c>
      <c r="H213" s="16">
        <v>27</v>
      </c>
      <c r="I213" s="16"/>
      <c r="J213" s="17">
        <v>507.6</v>
      </c>
      <c r="K213" s="22"/>
      <c r="L213" s="23"/>
      <c r="M213" s="23">
        <v>0</v>
      </c>
      <c r="N213" s="19">
        <v>37.6</v>
      </c>
      <c r="O213" s="19">
        <v>-94</v>
      </c>
      <c r="P213" s="48">
        <v>94</v>
      </c>
      <c r="Q213" s="17">
        <v>0</v>
      </c>
      <c r="R213" s="24">
        <v>507.6</v>
      </c>
      <c r="S213" s="18" t="s">
        <v>28</v>
      </c>
      <c r="T213" s="25">
        <v>1</v>
      </c>
    </row>
    <row r="214" spans="1:20" s="26" customFormat="1" x14ac:dyDescent="0.25">
      <c r="A214" s="16">
        <v>234965</v>
      </c>
      <c r="B214" s="30" t="s">
        <v>1410</v>
      </c>
      <c r="C214" s="20" t="s">
        <v>637</v>
      </c>
      <c r="D214" s="20" t="s">
        <v>696</v>
      </c>
      <c r="E214" s="20" t="s">
        <v>1963</v>
      </c>
      <c r="F214" s="20" t="s">
        <v>4184</v>
      </c>
      <c r="G214" s="21">
        <v>18.8</v>
      </c>
      <c r="H214" s="16">
        <v>24</v>
      </c>
      <c r="I214" s="16"/>
      <c r="J214" s="17">
        <v>451.20000000000005</v>
      </c>
      <c r="K214" s="22"/>
      <c r="L214" s="23"/>
      <c r="M214" s="23">
        <v>0</v>
      </c>
      <c r="N214" s="19">
        <v>37.6</v>
      </c>
      <c r="O214" s="19">
        <v>-94</v>
      </c>
      <c r="P214" s="48">
        <v>94</v>
      </c>
      <c r="Q214" s="17">
        <v>0</v>
      </c>
      <c r="R214" s="24">
        <v>451.20000000000005</v>
      </c>
      <c r="S214" s="18" t="s">
        <v>28</v>
      </c>
      <c r="T214" s="25">
        <v>1</v>
      </c>
    </row>
    <row r="215" spans="1:20" s="26" customFormat="1" x14ac:dyDescent="0.25">
      <c r="A215" s="16">
        <v>234967</v>
      </c>
      <c r="B215" s="30" t="s">
        <v>1411</v>
      </c>
      <c r="C215" s="20" t="s">
        <v>637</v>
      </c>
      <c r="D215" s="20" t="s">
        <v>696</v>
      </c>
      <c r="E215" s="20" t="s">
        <v>1964</v>
      </c>
      <c r="F215" s="20" t="s">
        <v>1965</v>
      </c>
      <c r="G215" s="21">
        <v>18.8</v>
      </c>
      <c r="H215" s="16">
        <v>24</v>
      </c>
      <c r="I215" s="16"/>
      <c r="J215" s="17">
        <v>451.20000000000005</v>
      </c>
      <c r="K215" s="22"/>
      <c r="L215" s="23"/>
      <c r="M215" s="23">
        <v>0</v>
      </c>
      <c r="N215" s="19">
        <v>37.6</v>
      </c>
      <c r="O215" s="19">
        <v>-94</v>
      </c>
      <c r="P215" s="48">
        <v>94</v>
      </c>
      <c r="Q215" s="17">
        <v>0</v>
      </c>
      <c r="R215" s="24">
        <v>451.20000000000005</v>
      </c>
      <c r="S215" s="18" t="s">
        <v>28</v>
      </c>
      <c r="T215" s="25">
        <v>1</v>
      </c>
    </row>
    <row r="216" spans="1:20" s="26" customFormat="1" x14ac:dyDescent="0.25">
      <c r="A216" s="16">
        <v>235052</v>
      </c>
      <c r="B216" s="30" t="s">
        <v>1412</v>
      </c>
      <c r="C216" s="20" t="s">
        <v>637</v>
      </c>
      <c r="D216" s="20" t="s">
        <v>696</v>
      </c>
      <c r="E216" s="20" t="s">
        <v>1966</v>
      </c>
      <c r="F216" s="20" t="s">
        <v>4185</v>
      </c>
      <c r="G216" s="21">
        <v>13.4</v>
      </c>
      <c r="H216" s="16">
        <v>24</v>
      </c>
      <c r="I216" s="16"/>
      <c r="J216" s="17">
        <v>321.60000000000002</v>
      </c>
      <c r="K216" s="22"/>
      <c r="L216" s="23"/>
      <c r="M216" s="23">
        <v>0</v>
      </c>
      <c r="N216" s="19">
        <v>26.8</v>
      </c>
      <c r="O216" s="19">
        <v>-67</v>
      </c>
      <c r="P216" s="48">
        <v>67</v>
      </c>
      <c r="Q216" s="17">
        <v>0</v>
      </c>
      <c r="R216" s="24">
        <v>321.60000000000002</v>
      </c>
      <c r="S216" s="18" t="s">
        <v>28</v>
      </c>
      <c r="T216" s="25">
        <v>1</v>
      </c>
    </row>
    <row r="217" spans="1:20" s="26" customFormat="1" x14ac:dyDescent="0.25">
      <c r="A217" s="16">
        <v>235085</v>
      </c>
      <c r="B217" s="30" t="s">
        <v>1413</v>
      </c>
      <c r="C217" s="20" t="s">
        <v>637</v>
      </c>
      <c r="D217" s="20" t="s">
        <v>696</v>
      </c>
      <c r="E217" s="20" t="s">
        <v>1967</v>
      </c>
      <c r="F217" s="20" t="s">
        <v>1968</v>
      </c>
      <c r="G217" s="21">
        <v>18.8</v>
      </c>
      <c r="H217" s="16">
        <v>24</v>
      </c>
      <c r="I217" s="16"/>
      <c r="J217" s="17">
        <v>451.20000000000005</v>
      </c>
      <c r="K217" s="22"/>
      <c r="L217" s="23"/>
      <c r="M217" s="23">
        <v>0</v>
      </c>
      <c r="N217" s="19">
        <v>37.6</v>
      </c>
      <c r="O217" s="19">
        <v>-94</v>
      </c>
      <c r="P217" s="48">
        <v>94</v>
      </c>
      <c r="Q217" s="17">
        <v>0</v>
      </c>
      <c r="R217" s="24">
        <v>451.20000000000005</v>
      </c>
      <c r="S217" s="18" t="s">
        <v>28</v>
      </c>
      <c r="T217" s="25">
        <v>1</v>
      </c>
    </row>
    <row r="218" spans="1:20" s="26" customFormat="1" x14ac:dyDescent="0.25">
      <c r="A218" s="16">
        <v>20574</v>
      </c>
      <c r="B218" s="30" t="s">
        <v>144</v>
      </c>
      <c r="C218" s="20" t="s">
        <v>638</v>
      </c>
      <c r="D218" s="20" t="s">
        <v>691</v>
      </c>
      <c r="E218" s="20" t="s">
        <v>1969</v>
      </c>
      <c r="F218" s="20" t="s">
        <v>1970</v>
      </c>
      <c r="G218" s="21">
        <v>18.8</v>
      </c>
      <c r="H218" s="16">
        <v>22</v>
      </c>
      <c r="I218" s="16"/>
      <c r="J218" s="17">
        <v>413.6</v>
      </c>
      <c r="K218" s="22"/>
      <c r="L218" s="23"/>
      <c r="M218" s="23">
        <v>0</v>
      </c>
      <c r="N218" s="19">
        <v>37.6</v>
      </c>
      <c r="O218" s="19">
        <v>-94</v>
      </c>
      <c r="P218" s="48">
        <v>94</v>
      </c>
      <c r="Q218" s="17">
        <v>0</v>
      </c>
      <c r="R218" s="24">
        <v>413.6</v>
      </c>
      <c r="S218" s="18" t="s">
        <v>28</v>
      </c>
      <c r="T218" s="25">
        <v>1</v>
      </c>
    </row>
    <row r="219" spans="1:20" s="26" customFormat="1" x14ac:dyDescent="0.25">
      <c r="A219" s="16">
        <v>205867</v>
      </c>
      <c r="B219" s="30" t="s">
        <v>1150</v>
      </c>
      <c r="C219" s="20" t="s">
        <v>638</v>
      </c>
      <c r="D219" s="20" t="s">
        <v>691</v>
      </c>
      <c r="E219" s="20" t="s">
        <v>1971</v>
      </c>
      <c r="F219" s="20" t="s">
        <v>1972</v>
      </c>
      <c r="G219" s="21">
        <v>10</v>
      </c>
      <c r="H219" s="16">
        <v>22</v>
      </c>
      <c r="I219" s="16"/>
      <c r="J219" s="17">
        <v>220</v>
      </c>
      <c r="K219" s="22"/>
      <c r="L219" s="23"/>
      <c r="M219" s="23">
        <v>0</v>
      </c>
      <c r="N219" s="19">
        <v>20</v>
      </c>
      <c r="O219" s="19">
        <v>-50</v>
      </c>
      <c r="P219" s="48">
        <v>50</v>
      </c>
      <c r="Q219" s="17">
        <v>0</v>
      </c>
      <c r="R219" s="24">
        <v>220</v>
      </c>
      <c r="S219" s="18" t="s">
        <v>28</v>
      </c>
      <c r="T219" s="25">
        <v>1</v>
      </c>
    </row>
    <row r="220" spans="1:20" s="26" customFormat="1" x14ac:dyDescent="0.25">
      <c r="A220" s="16">
        <v>215192</v>
      </c>
      <c r="B220" s="30" t="s">
        <v>145</v>
      </c>
      <c r="C220" s="20" t="s">
        <v>638</v>
      </c>
      <c r="D220" s="20" t="s">
        <v>691</v>
      </c>
      <c r="E220" s="20" t="s">
        <v>1973</v>
      </c>
      <c r="F220" s="20" t="s">
        <v>1974</v>
      </c>
      <c r="G220" s="21">
        <v>18.8</v>
      </c>
      <c r="H220" s="16">
        <v>22</v>
      </c>
      <c r="I220" s="16"/>
      <c r="J220" s="17">
        <v>413.6</v>
      </c>
      <c r="K220" s="22"/>
      <c r="L220" s="23"/>
      <c r="M220" s="23">
        <v>0</v>
      </c>
      <c r="N220" s="19">
        <v>37.6</v>
      </c>
      <c r="O220" s="19">
        <v>-94</v>
      </c>
      <c r="P220" s="48">
        <v>94</v>
      </c>
      <c r="Q220" s="17">
        <v>0</v>
      </c>
      <c r="R220" s="24">
        <v>413.6</v>
      </c>
      <c r="S220" s="18" t="s">
        <v>28</v>
      </c>
      <c r="T220" s="25">
        <v>1</v>
      </c>
    </row>
    <row r="221" spans="1:20" s="26" customFormat="1" x14ac:dyDescent="0.25">
      <c r="A221" s="65">
        <v>218269</v>
      </c>
      <c r="B221" s="30" t="s">
        <v>146</v>
      </c>
      <c r="C221" s="20" t="s">
        <v>638</v>
      </c>
      <c r="D221" s="20" t="s">
        <v>694</v>
      </c>
      <c r="E221" s="20" t="s">
        <v>1975</v>
      </c>
      <c r="F221" s="20" t="s">
        <v>1976</v>
      </c>
      <c r="G221" s="21">
        <v>18.8</v>
      </c>
      <c r="H221" s="16">
        <v>22</v>
      </c>
      <c r="I221" s="16">
        <v>1</v>
      </c>
      <c r="J221" s="17">
        <v>394.8</v>
      </c>
      <c r="K221" s="22"/>
      <c r="L221" s="23"/>
      <c r="M221" s="23">
        <v>0</v>
      </c>
      <c r="N221" s="19">
        <v>37.6</v>
      </c>
      <c r="O221" s="19">
        <v>-94</v>
      </c>
      <c r="P221" s="48">
        <v>94</v>
      </c>
      <c r="Q221" s="17">
        <v>0</v>
      </c>
      <c r="R221" s="24">
        <v>394.8</v>
      </c>
      <c r="S221" s="18" t="s">
        <v>28</v>
      </c>
      <c r="T221" s="25">
        <v>1</v>
      </c>
    </row>
    <row r="222" spans="1:20" s="26" customFormat="1" x14ac:dyDescent="0.25">
      <c r="A222" s="16">
        <v>219779</v>
      </c>
      <c r="B222" s="30" t="s">
        <v>1414</v>
      </c>
      <c r="C222" s="20" t="s">
        <v>638</v>
      </c>
      <c r="D222" s="20" t="s">
        <v>691</v>
      </c>
      <c r="E222" s="20" t="s">
        <v>1977</v>
      </c>
      <c r="F222" s="20" t="s">
        <v>1978</v>
      </c>
      <c r="G222" s="21">
        <v>18.8</v>
      </c>
      <c r="H222" s="16">
        <v>24</v>
      </c>
      <c r="I222" s="16"/>
      <c r="J222" s="17">
        <v>451.20000000000005</v>
      </c>
      <c r="K222" s="22"/>
      <c r="L222" s="23">
        <v>18.8</v>
      </c>
      <c r="M222" s="23">
        <v>18.8</v>
      </c>
      <c r="N222" s="19">
        <v>37.6</v>
      </c>
      <c r="O222" s="19">
        <v>-75.2</v>
      </c>
      <c r="P222" s="48">
        <v>94</v>
      </c>
      <c r="Q222" s="17">
        <v>0</v>
      </c>
      <c r="R222" s="24">
        <v>451.20000000000005</v>
      </c>
      <c r="S222" s="18" t="s">
        <v>28</v>
      </c>
      <c r="T222" s="25">
        <v>1</v>
      </c>
    </row>
    <row r="223" spans="1:20" s="26" customFormat="1" x14ac:dyDescent="0.25">
      <c r="A223" s="16">
        <v>221900</v>
      </c>
      <c r="B223" s="30" t="s">
        <v>147</v>
      </c>
      <c r="C223" s="20" t="s">
        <v>638</v>
      </c>
      <c r="D223" s="20" t="s">
        <v>691</v>
      </c>
      <c r="E223" s="20" t="s">
        <v>1979</v>
      </c>
      <c r="F223" s="20" t="s">
        <v>1980</v>
      </c>
      <c r="G223" s="21">
        <v>18.8</v>
      </c>
      <c r="H223" s="16">
        <v>22</v>
      </c>
      <c r="I223" s="16">
        <v>1</v>
      </c>
      <c r="J223" s="17">
        <v>394.8</v>
      </c>
      <c r="K223" s="22"/>
      <c r="L223" s="23"/>
      <c r="M223" s="23">
        <v>0</v>
      </c>
      <c r="N223" s="19">
        <v>37.6</v>
      </c>
      <c r="O223" s="19">
        <v>-94</v>
      </c>
      <c r="P223" s="48">
        <v>94</v>
      </c>
      <c r="Q223" s="17">
        <v>0</v>
      </c>
      <c r="R223" s="24">
        <v>394.8</v>
      </c>
      <c r="S223" s="18" t="s">
        <v>28</v>
      </c>
      <c r="T223" s="25">
        <v>1</v>
      </c>
    </row>
    <row r="224" spans="1:20" s="26" customFormat="1" x14ac:dyDescent="0.25">
      <c r="A224" s="16">
        <v>226946</v>
      </c>
      <c r="B224" s="30" t="s">
        <v>1040</v>
      </c>
      <c r="C224" s="20" t="s">
        <v>638</v>
      </c>
      <c r="D224" s="20" t="s">
        <v>696</v>
      </c>
      <c r="E224" s="20" t="s">
        <v>1981</v>
      </c>
      <c r="F224" s="20" t="s">
        <v>1982</v>
      </c>
      <c r="G224" s="21">
        <v>13.4</v>
      </c>
      <c r="H224" s="16">
        <v>22</v>
      </c>
      <c r="I224" s="16"/>
      <c r="J224" s="17">
        <v>294.8</v>
      </c>
      <c r="K224" s="22"/>
      <c r="L224" s="23"/>
      <c r="M224" s="23">
        <v>0</v>
      </c>
      <c r="N224" s="19">
        <v>26.8</v>
      </c>
      <c r="O224" s="19">
        <v>-67</v>
      </c>
      <c r="P224" s="48">
        <v>67</v>
      </c>
      <c r="Q224" s="17">
        <v>0</v>
      </c>
      <c r="R224" s="24">
        <v>294.8</v>
      </c>
      <c r="S224" s="18" t="s">
        <v>28</v>
      </c>
      <c r="T224" s="25">
        <v>1</v>
      </c>
    </row>
    <row r="225" spans="1:20" s="26" customFormat="1" x14ac:dyDescent="0.25">
      <c r="A225" s="16">
        <v>228426</v>
      </c>
      <c r="B225" s="30" t="s">
        <v>122</v>
      </c>
      <c r="C225" s="20" t="s">
        <v>638</v>
      </c>
      <c r="D225" s="20" t="s">
        <v>696</v>
      </c>
      <c r="E225" s="20" t="s">
        <v>1983</v>
      </c>
      <c r="F225" s="20" t="s">
        <v>1984</v>
      </c>
      <c r="G225" s="21">
        <v>18.8</v>
      </c>
      <c r="H225" s="16">
        <v>22</v>
      </c>
      <c r="I225" s="16"/>
      <c r="J225" s="17">
        <v>413.6</v>
      </c>
      <c r="K225" s="22"/>
      <c r="L225" s="23"/>
      <c r="M225" s="23">
        <v>0</v>
      </c>
      <c r="N225" s="19">
        <v>37.6</v>
      </c>
      <c r="O225" s="19">
        <v>-94</v>
      </c>
      <c r="P225" s="48">
        <v>94</v>
      </c>
      <c r="Q225" s="17">
        <v>0</v>
      </c>
      <c r="R225" s="24">
        <v>413.6</v>
      </c>
      <c r="S225" s="18" t="s">
        <v>28</v>
      </c>
      <c r="T225" s="25">
        <v>1</v>
      </c>
    </row>
    <row r="226" spans="1:20" s="26" customFormat="1" x14ac:dyDescent="0.25">
      <c r="A226" s="16">
        <v>230763</v>
      </c>
      <c r="B226" s="30" t="s">
        <v>142</v>
      </c>
      <c r="C226" s="20" t="s">
        <v>638</v>
      </c>
      <c r="D226" s="20" t="s">
        <v>696</v>
      </c>
      <c r="E226" s="20" t="s">
        <v>1985</v>
      </c>
      <c r="F226" s="20" t="s">
        <v>1986</v>
      </c>
      <c r="G226" s="21">
        <v>18.8</v>
      </c>
      <c r="H226" s="16">
        <v>22</v>
      </c>
      <c r="I226" s="16">
        <v>5</v>
      </c>
      <c r="J226" s="17">
        <v>319.60000000000002</v>
      </c>
      <c r="K226" s="22"/>
      <c r="L226" s="23"/>
      <c r="M226" s="23">
        <v>0</v>
      </c>
      <c r="N226" s="19">
        <v>37.6</v>
      </c>
      <c r="O226" s="19">
        <v>-94</v>
      </c>
      <c r="P226" s="48">
        <v>94</v>
      </c>
      <c r="Q226" s="17">
        <v>0</v>
      </c>
      <c r="R226" s="24">
        <v>319.60000000000002</v>
      </c>
      <c r="S226" s="18" t="s">
        <v>28</v>
      </c>
      <c r="T226" s="25">
        <v>1</v>
      </c>
    </row>
    <row r="227" spans="1:20" s="26" customFormat="1" x14ac:dyDescent="0.25">
      <c r="A227" s="16">
        <v>222165</v>
      </c>
      <c r="B227" s="30" t="s">
        <v>1041</v>
      </c>
      <c r="C227" s="20" t="s">
        <v>1123</v>
      </c>
      <c r="D227" s="20" t="s">
        <v>1126</v>
      </c>
      <c r="E227" s="20" t="s">
        <v>1987</v>
      </c>
      <c r="F227" s="20" t="s">
        <v>1988</v>
      </c>
      <c r="G227" s="21">
        <v>13.4</v>
      </c>
      <c r="H227" s="16">
        <v>22</v>
      </c>
      <c r="I227" s="16">
        <v>10</v>
      </c>
      <c r="J227" s="17">
        <v>160.80000000000001</v>
      </c>
      <c r="K227" s="22"/>
      <c r="L227" s="23"/>
      <c r="M227" s="23">
        <v>0</v>
      </c>
      <c r="N227" s="19">
        <v>26.8</v>
      </c>
      <c r="O227" s="19">
        <v>-67</v>
      </c>
      <c r="P227" s="48">
        <v>67</v>
      </c>
      <c r="Q227" s="17">
        <v>0</v>
      </c>
      <c r="R227" s="24">
        <v>160.80000000000001</v>
      </c>
      <c r="S227" s="18" t="s">
        <v>28</v>
      </c>
      <c r="T227" s="25">
        <v>1</v>
      </c>
    </row>
    <row r="228" spans="1:20" s="26" customFormat="1" x14ac:dyDescent="0.25">
      <c r="A228" s="16">
        <v>225012</v>
      </c>
      <c r="B228" s="30" t="s">
        <v>148</v>
      </c>
      <c r="C228" s="20" t="s">
        <v>639</v>
      </c>
      <c r="D228" s="20" t="s">
        <v>699</v>
      </c>
      <c r="E228" s="20" t="s">
        <v>1989</v>
      </c>
      <c r="F228" s="20" t="s">
        <v>1990</v>
      </c>
      <c r="G228" s="21">
        <v>18.8</v>
      </c>
      <c r="H228" s="16">
        <v>22</v>
      </c>
      <c r="I228" s="16">
        <v>3</v>
      </c>
      <c r="J228" s="17">
        <v>357.2</v>
      </c>
      <c r="K228" s="22"/>
      <c r="L228" s="23">
        <v>640.15</v>
      </c>
      <c r="M228" s="23">
        <v>640.15</v>
      </c>
      <c r="N228" s="19">
        <v>37.6</v>
      </c>
      <c r="O228" s="19">
        <v>546.15</v>
      </c>
      <c r="P228" s="48">
        <v>94</v>
      </c>
      <c r="Q228" s="17">
        <v>546.15</v>
      </c>
      <c r="R228" s="24">
        <v>0</v>
      </c>
      <c r="S228" s="18" t="s">
        <v>12</v>
      </c>
      <c r="T228" s="25">
        <v>1</v>
      </c>
    </row>
    <row r="229" spans="1:20" s="26" customFormat="1" x14ac:dyDescent="0.25">
      <c r="A229" s="16">
        <v>233023</v>
      </c>
      <c r="B229" s="30" t="s">
        <v>962</v>
      </c>
      <c r="C229" s="20" t="s">
        <v>639</v>
      </c>
      <c r="D229" s="20" t="s">
        <v>1019</v>
      </c>
      <c r="E229" s="20" t="s">
        <v>1991</v>
      </c>
      <c r="F229" s="20" t="s">
        <v>1992</v>
      </c>
      <c r="G229" s="21">
        <v>18.8</v>
      </c>
      <c r="H229" s="16">
        <v>22</v>
      </c>
      <c r="I229" s="16"/>
      <c r="J229" s="17">
        <v>413.6</v>
      </c>
      <c r="K229" s="22"/>
      <c r="L229" s="23">
        <v>53.55</v>
      </c>
      <c r="M229" s="23">
        <v>53.55</v>
      </c>
      <c r="N229" s="19">
        <v>37.6</v>
      </c>
      <c r="O229" s="19">
        <v>-40.450000000000003</v>
      </c>
      <c r="P229" s="48">
        <v>94</v>
      </c>
      <c r="Q229" s="17">
        <v>0</v>
      </c>
      <c r="R229" s="24">
        <v>413.6</v>
      </c>
      <c r="S229" s="18" t="s">
        <v>28</v>
      </c>
      <c r="T229" s="25">
        <v>1</v>
      </c>
    </row>
    <row r="230" spans="1:20" s="26" customFormat="1" x14ac:dyDescent="0.25">
      <c r="A230" s="16">
        <v>226945</v>
      </c>
      <c r="B230" s="30" t="s">
        <v>1039</v>
      </c>
      <c r="C230" s="20" t="s">
        <v>640</v>
      </c>
      <c r="D230" s="20" t="s">
        <v>701</v>
      </c>
      <c r="E230" s="20" t="s">
        <v>1993</v>
      </c>
      <c r="F230" s="20" t="s">
        <v>1994</v>
      </c>
      <c r="G230" s="21">
        <v>18.8</v>
      </c>
      <c r="H230" s="16">
        <v>26</v>
      </c>
      <c r="I230" s="16">
        <v>1</v>
      </c>
      <c r="J230" s="17">
        <v>470</v>
      </c>
      <c r="K230" s="22"/>
      <c r="L230" s="23">
        <v>18.8</v>
      </c>
      <c r="M230" s="23">
        <v>18.8</v>
      </c>
      <c r="N230" s="19">
        <v>37.6</v>
      </c>
      <c r="O230" s="19">
        <v>-75.2</v>
      </c>
      <c r="P230" s="48">
        <v>94</v>
      </c>
      <c r="Q230" s="17">
        <v>0</v>
      </c>
      <c r="R230" s="24">
        <v>470</v>
      </c>
      <c r="S230" s="18" t="s">
        <v>28</v>
      </c>
      <c r="T230" s="25">
        <v>1</v>
      </c>
    </row>
    <row r="231" spans="1:20" s="26" customFormat="1" x14ac:dyDescent="0.25">
      <c r="A231" s="16">
        <v>229497</v>
      </c>
      <c r="B231" s="30" t="s">
        <v>403</v>
      </c>
      <c r="C231" s="20" t="s">
        <v>640</v>
      </c>
      <c r="D231" s="20" t="s">
        <v>701</v>
      </c>
      <c r="E231" s="20" t="s">
        <v>1995</v>
      </c>
      <c r="F231" s="20" t="s">
        <v>1996</v>
      </c>
      <c r="G231" s="21">
        <v>18.8</v>
      </c>
      <c r="H231" s="16">
        <v>26</v>
      </c>
      <c r="I231" s="16"/>
      <c r="J231" s="17">
        <v>488.8</v>
      </c>
      <c r="K231" s="22"/>
      <c r="L231" s="23">
        <v>18.8</v>
      </c>
      <c r="M231" s="23">
        <v>18.8</v>
      </c>
      <c r="N231" s="19">
        <v>37.6</v>
      </c>
      <c r="O231" s="19">
        <v>-75.2</v>
      </c>
      <c r="P231" s="48">
        <v>94</v>
      </c>
      <c r="Q231" s="17">
        <v>0</v>
      </c>
      <c r="R231" s="24">
        <v>488.8</v>
      </c>
      <c r="S231" s="18" t="s">
        <v>28</v>
      </c>
      <c r="T231" s="25">
        <v>1</v>
      </c>
    </row>
    <row r="232" spans="1:20" s="26" customFormat="1" x14ac:dyDescent="0.25">
      <c r="A232" s="16">
        <v>230916</v>
      </c>
      <c r="B232" s="30" t="s">
        <v>149</v>
      </c>
      <c r="C232" s="20" t="s">
        <v>640</v>
      </c>
      <c r="D232" s="20" t="s">
        <v>701</v>
      </c>
      <c r="E232" s="20" t="s">
        <v>1997</v>
      </c>
      <c r="F232" s="20" t="s">
        <v>1998</v>
      </c>
      <c r="G232" s="21">
        <v>18.8</v>
      </c>
      <c r="H232" s="16">
        <v>26</v>
      </c>
      <c r="I232" s="16">
        <v>3</v>
      </c>
      <c r="J232" s="17">
        <v>432.40000000000003</v>
      </c>
      <c r="K232" s="22"/>
      <c r="L232" s="23"/>
      <c r="M232" s="23">
        <v>0</v>
      </c>
      <c r="N232" s="19">
        <v>37.6</v>
      </c>
      <c r="O232" s="19">
        <v>-94</v>
      </c>
      <c r="P232" s="48">
        <v>94</v>
      </c>
      <c r="Q232" s="17">
        <v>0</v>
      </c>
      <c r="R232" s="24">
        <v>432.40000000000003</v>
      </c>
      <c r="S232" s="18" t="s">
        <v>28</v>
      </c>
      <c r="T232" s="25">
        <v>1</v>
      </c>
    </row>
    <row r="233" spans="1:20" s="26" customFormat="1" x14ac:dyDescent="0.25">
      <c r="A233" s="16">
        <v>231268</v>
      </c>
      <c r="B233" s="30" t="s">
        <v>785</v>
      </c>
      <c r="C233" s="20" t="s">
        <v>640</v>
      </c>
      <c r="D233" s="20" t="s">
        <v>700</v>
      </c>
      <c r="E233" s="20" t="s">
        <v>1999</v>
      </c>
      <c r="F233" s="20" t="s">
        <v>2000</v>
      </c>
      <c r="G233" s="21">
        <v>18.8</v>
      </c>
      <c r="H233" s="16">
        <v>26</v>
      </c>
      <c r="I233" s="16">
        <v>9</v>
      </c>
      <c r="J233" s="17">
        <v>319.60000000000002</v>
      </c>
      <c r="K233" s="22"/>
      <c r="L233" s="23"/>
      <c r="M233" s="23">
        <v>0</v>
      </c>
      <c r="N233" s="19">
        <v>37.6</v>
      </c>
      <c r="O233" s="19">
        <v>-94</v>
      </c>
      <c r="P233" s="48">
        <v>94</v>
      </c>
      <c r="Q233" s="17">
        <v>0</v>
      </c>
      <c r="R233" s="24">
        <v>319.60000000000002</v>
      </c>
      <c r="S233" s="18" t="s">
        <v>28</v>
      </c>
      <c r="T233" s="25">
        <v>1</v>
      </c>
    </row>
    <row r="234" spans="1:20" s="26" customFormat="1" x14ac:dyDescent="0.25">
      <c r="A234" s="16">
        <v>232663</v>
      </c>
      <c r="B234" s="30" t="s">
        <v>931</v>
      </c>
      <c r="C234" s="20" t="s">
        <v>640</v>
      </c>
      <c r="D234" s="20" t="s">
        <v>703</v>
      </c>
      <c r="E234" s="20" t="s">
        <v>2001</v>
      </c>
      <c r="F234" s="20" t="s">
        <v>2002</v>
      </c>
      <c r="G234" s="21">
        <v>18.8</v>
      </c>
      <c r="H234" s="16">
        <v>26</v>
      </c>
      <c r="I234" s="16"/>
      <c r="J234" s="17">
        <v>488.8</v>
      </c>
      <c r="K234" s="22"/>
      <c r="L234" s="23"/>
      <c r="M234" s="23">
        <v>0</v>
      </c>
      <c r="N234" s="19">
        <v>37.6</v>
      </c>
      <c r="O234" s="19">
        <v>-94</v>
      </c>
      <c r="P234" s="48">
        <v>94</v>
      </c>
      <c r="Q234" s="17">
        <v>0</v>
      </c>
      <c r="R234" s="24">
        <v>488.8</v>
      </c>
      <c r="S234" s="18" t="s">
        <v>28</v>
      </c>
      <c r="T234" s="25">
        <v>1</v>
      </c>
    </row>
    <row r="235" spans="1:20" s="26" customFormat="1" x14ac:dyDescent="0.25">
      <c r="A235" s="16">
        <v>234286</v>
      </c>
      <c r="B235" s="30" t="s">
        <v>1151</v>
      </c>
      <c r="C235" s="20" t="s">
        <v>640</v>
      </c>
      <c r="D235" s="20" t="s">
        <v>703</v>
      </c>
      <c r="E235" s="20" t="s">
        <v>2003</v>
      </c>
      <c r="F235" s="20" t="s">
        <v>2004</v>
      </c>
      <c r="G235" s="21">
        <v>18.8</v>
      </c>
      <c r="H235" s="16">
        <v>26</v>
      </c>
      <c r="I235" s="16"/>
      <c r="J235" s="17">
        <v>488.8</v>
      </c>
      <c r="K235" s="22"/>
      <c r="L235" s="23">
        <v>18.8</v>
      </c>
      <c r="M235" s="23">
        <v>18.8</v>
      </c>
      <c r="N235" s="19">
        <v>37.6</v>
      </c>
      <c r="O235" s="19">
        <v>-75.2</v>
      </c>
      <c r="P235" s="48">
        <v>94</v>
      </c>
      <c r="Q235" s="17">
        <v>0</v>
      </c>
      <c r="R235" s="24">
        <v>488.8</v>
      </c>
      <c r="S235" s="18" t="s">
        <v>28</v>
      </c>
      <c r="T235" s="25">
        <v>1</v>
      </c>
    </row>
    <row r="236" spans="1:20" s="26" customFormat="1" x14ac:dyDescent="0.25">
      <c r="A236" s="16">
        <v>234300</v>
      </c>
      <c r="B236" s="30" t="s">
        <v>1276</v>
      </c>
      <c r="C236" s="20" t="s">
        <v>640</v>
      </c>
      <c r="D236" s="20" t="s">
        <v>701</v>
      </c>
      <c r="E236" s="20" t="s">
        <v>2005</v>
      </c>
      <c r="F236" s="20" t="s">
        <v>2006</v>
      </c>
      <c r="G236" s="21">
        <v>13.4</v>
      </c>
      <c r="H236" s="16">
        <v>26</v>
      </c>
      <c r="I236" s="16">
        <v>4</v>
      </c>
      <c r="J236" s="17">
        <v>294.8</v>
      </c>
      <c r="K236" s="22"/>
      <c r="L236" s="23"/>
      <c r="M236" s="23">
        <v>0</v>
      </c>
      <c r="N236" s="19">
        <v>26.8</v>
      </c>
      <c r="O236" s="19">
        <v>-67</v>
      </c>
      <c r="P236" s="48">
        <v>67</v>
      </c>
      <c r="Q236" s="17">
        <v>0</v>
      </c>
      <c r="R236" s="24">
        <v>294.8</v>
      </c>
      <c r="S236" s="18" t="s">
        <v>28</v>
      </c>
      <c r="T236" s="25">
        <v>1</v>
      </c>
    </row>
    <row r="237" spans="1:20" s="26" customFormat="1" x14ac:dyDescent="0.25">
      <c r="A237" s="16">
        <v>234760</v>
      </c>
      <c r="B237" s="30" t="s">
        <v>1345</v>
      </c>
      <c r="C237" s="20" t="s">
        <v>640</v>
      </c>
      <c r="D237" s="20" t="s">
        <v>701</v>
      </c>
      <c r="E237" s="20" t="s">
        <v>2007</v>
      </c>
      <c r="F237" s="20" t="s">
        <v>2008</v>
      </c>
      <c r="G237" s="21">
        <v>18.8</v>
      </c>
      <c r="H237" s="16">
        <v>5</v>
      </c>
      <c r="I237" s="16"/>
      <c r="J237" s="17">
        <v>94</v>
      </c>
      <c r="K237" s="22"/>
      <c r="L237" s="23"/>
      <c r="M237" s="23">
        <v>0</v>
      </c>
      <c r="N237" s="19">
        <v>37.6</v>
      </c>
      <c r="O237" s="19">
        <v>-94</v>
      </c>
      <c r="P237" s="48">
        <v>94</v>
      </c>
      <c r="Q237" s="17">
        <v>0</v>
      </c>
      <c r="R237" s="24">
        <v>94</v>
      </c>
      <c r="S237" s="18" t="s">
        <v>28</v>
      </c>
      <c r="T237" s="25">
        <v>1</v>
      </c>
    </row>
    <row r="238" spans="1:20" s="26" customFormat="1" x14ac:dyDescent="0.25">
      <c r="A238" s="16">
        <v>234893</v>
      </c>
      <c r="B238" s="30" t="s">
        <v>1415</v>
      </c>
      <c r="C238" s="20" t="s">
        <v>640</v>
      </c>
      <c r="D238" s="20" t="s">
        <v>701</v>
      </c>
      <c r="E238" s="20" t="s">
        <v>2009</v>
      </c>
      <c r="F238" s="20" t="s">
        <v>2010</v>
      </c>
      <c r="G238" s="21">
        <v>18.8</v>
      </c>
      <c r="H238" s="16">
        <v>26</v>
      </c>
      <c r="I238" s="16"/>
      <c r="J238" s="17">
        <v>488.8</v>
      </c>
      <c r="K238" s="22"/>
      <c r="L238" s="23">
        <v>94</v>
      </c>
      <c r="M238" s="23">
        <v>94</v>
      </c>
      <c r="N238" s="19">
        <v>37.6</v>
      </c>
      <c r="O238" s="19">
        <v>0</v>
      </c>
      <c r="P238" s="48">
        <v>94</v>
      </c>
      <c r="Q238" s="17">
        <v>0</v>
      </c>
      <c r="R238" s="24">
        <v>488.8</v>
      </c>
      <c r="S238" s="18" t="s">
        <v>28</v>
      </c>
      <c r="T238" s="25">
        <v>1</v>
      </c>
    </row>
    <row r="239" spans="1:20" s="26" customFormat="1" x14ac:dyDescent="0.25">
      <c r="A239" s="16">
        <v>224996</v>
      </c>
      <c r="B239" s="30" t="s">
        <v>172</v>
      </c>
      <c r="C239" s="20" t="s">
        <v>1124</v>
      </c>
      <c r="D239" s="20" t="s">
        <v>1127</v>
      </c>
      <c r="E239" s="20" t="s">
        <v>2011</v>
      </c>
      <c r="F239" s="20" t="s">
        <v>2012</v>
      </c>
      <c r="G239" s="21">
        <v>18.8</v>
      </c>
      <c r="H239" s="16">
        <v>26</v>
      </c>
      <c r="I239" s="16"/>
      <c r="J239" s="17">
        <v>488.8</v>
      </c>
      <c r="K239" s="22"/>
      <c r="L239" s="23"/>
      <c r="M239" s="23">
        <v>0</v>
      </c>
      <c r="N239" s="19">
        <v>37.6</v>
      </c>
      <c r="O239" s="19">
        <v>-94</v>
      </c>
      <c r="P239" s="48">
        <v>94</v>
      </c>
      <c r="Q239" s="17">
        <v>0</v>
      </c>
      <c r="R239" s="24">
        <v>488.8</v>
      </c>
      <c r="S239" s="18" t="s">
        <v>28</v>
      </c>
      <c r="T239" s="25">
        <v>1</v>
      </c>
    </row>
    <row r="240" spans="1:20" s="26" customFormat="1" x14ac:dyDescent="0.25">
      <c r="A240" s="16">
        <v>205832</v>
      </c>
      <c r="B240" s="30" t="s">
        <v>150</v>
      </c>
      <c r="C240" s="20" t="s">
        <v>641</v>
      </c>
      <c r="D240" s="20" t="s">
        <v>705</v>
      </c>
      <c r="E240" s="20" t="s">
        <v>2013</v>
      </c>
      <c r="F240" s="20" t="s">
        <v>2014</v>
      </c>
      <c r="G240" s="21">
        <v>18.8</v>
      </c>
      <c r="H240" s="16">
        <v>26</v>
      </c>
      <c r="I240" s="16">
        <v>2</v>
      </c>
      <c r="J240" s="17">
        <v>451.20000000000005</v>
      </c>
      <c r="K240" s="22"/>
      <c r="L240" s="23">
        <v>37.6</v>
      </c>
      <c r="M240" s="23">
        <v>37.6</v>
      </c>
      <c r="N240" s="19">
        <v>37.6</v>
      </c>
      <c r="O240" s="19">
        <v>-56.4</v>
      </c>
      <c r="P240" s="48">
        <v>94</v>
      </c>
      <c r="Q240" s="17">
        <v>0</v>
      </c>
      <c r="R240" s="24">
        <v>451.20000000000005</v>
      </c>
      <c r="S240" s="18" t="s">
        <v>28</v>
      </c>
      <c r="T240" s="25">
        <v>1</v>
      </c>
    </row>
    <row r="241" spans="1:20" s="26" customFormat="1" x14ac:dyDescent="0.25">
      <c r="A241" s="16">
        <v>213247</v>
      </c>
      <c r="B241" s="30" t="s">
        <v>151</v>
      </c>
      <c r="C241" s="20" t="s">
        <v>641</v>
      </c>
      <c r="D241" s="20" t="s">
        <v>705</v>
      </c>
      <c r="E241" s="20" t="s">
        <v>2015</v>
      </c>
      <c r="F241" s="20" t="s">
        <v>2016</v>
      </c>
      <c r="G241" s="21">
        <v>18.8</v>
      </c>
      <c r="H241" s="16">
        <v>26</v>
      </c>
      <c r="I241" s="16"/>
      <c r="J241" s="17">
        <v>488.8</v>
      </c>
      <c r="K241" s="22"/>
      <c r="L241" s="23"/>
      <c r="M241" s="23">
        <v>0</v>
      </c>
      <c r="N241" s="19">
        <v>37.6</v>
      </c>
      <c r="O241" s="19">
        <v>-94</v>
      </c>
      <c r="P241" s="48">
        <v>94</v>
      </c>
      <c r="Q241" s="17">
        <v>0</v>
      </c>
      <c r="R241" s="24">
        <v>488.8</v>
      </c>
      <c r="S241" s="18" t="s">
        <v>28</v>
      </c>
      <c r="T241" s="25">
        <v>1</v>
      </c>
    </row>
    <row r="242" spans="1:20" s="26" customFormat="1" x14ac:dyDescent="0.25">
      <c r="A242" s="16">
        <v>213358</v>
      </c>
      <c r="B242" s="30" t="s">
        <v>152</v>
      </c>
      <c r="C242" s="20" t="s">
        <v>641</v>
      </c>
      <c r="D242" s="20" t="s">
        <v>704</v>
      </c>
      <c r="E242" s="20" t="s">
        <v>2017</v>
      </c>
      <c r="F242" s="20" t="s">
        <v>2018</v>
      </c>
      <c r="G242" s="21">
        <v>18.8</v>
      </c>
      <c r="H242" s="16">
        <v>26</v>
      </c>
      <c r="I242" s="16">
        <v>2</v>
      </c>
      <c r="J242" s="17">
        <v>451.20000000000005</v>
      </c>
      <c r="K242" s="22"/>
      <c r="L242" s="23">
        <v>18.8</v>
      </c>
      <c r="M242" s="23">
        <v>18.8</v>
      </c>
      <c r="N242" s="19">
        <v>37.6</v>
      </c>
      <c r="O242" s="19">
        <v>-75.2</v>
      </c>
      <c r="P242" s="48">
        <v>94</v>
      </c>
      <c r="Q242" s="17">
        <v>0</v>
      </c>
      <c r="R242" s="24">
        <v>451.20000000000005</v>
      </c>
      <c r="S242" s="18" t="s">
        <v>28</v>
      </c>
      <c r="T242" s="25">
        <v>1</v>
      </c>
    </row>
    <row r="243" spans="1:20" s="26" customFormat="1" x14ac:dyDescent="0.25">
      <c r="A243" s="16">
        <v>215659</v>
      </c>
      <c r="B243" s="30" t="s">
        <v>153</v>
      </c>
      <c r="C243" s="20" t="s">
        <v>641</v>
      </c>
      <c r="D243" s="20" t="s">
        <v>705</v>
      </c>
      <c r="E243" s="20" t="s">
        <v>2019</v>
      </c>
      <c r="F243" s="20" t="s">
        <v>2020</v>
      </c>
      <c r="G243" s="21">
        <v>18.8</v>
      </c>
      <c r="H243" s="16">
        <v>26</v>
      </c>
      <c r="I243" s="16">
        <v>2</v>
      </c>
      <c r="J243" s="17">
        <v>451.20000000000005</v>
      </c>
      <c r="K243" s="22"/>
      <c r="L243" s="23">
        <v>18.8</v>
      </c>
      <c r="M243" s="23">
        <v>18.8</v>
      </c>
      <c r="N243" s="19">
        <v>37.6</v>
      </c>
      <c r="O243" s="19">
        <v>-75.2</v>
      </c>
      <c r="P243" s="48">
        <v>94</v>
      </c>
      <c r="Q243" s="17">
        <v>0</v>
      </c>
      <c r="R243" s="24">
        <v>451.20000000000005</v>
      </c>
      <c r="S243" s="18" t="s">
        <v>28</v>
      </c>
      <c r="T243" s="25">
        <v>1</v>
      </c>
    </row>
    <row r="244" spans="1:20" s="26" customFormat="1" x14ac:dyDescent="0.25">
      <c r="A244" s="16">
        <v>218149</v>
      </c>
      <c r="B244" s="30" t="s">
        <v>1152</v>
      </c>
      <c r="C244" s="20" t="s">
        <v>641</v>
      </c>
      <c r="D244" s="20" t="s">
        <v>705</v>
      </c>
      <c r="E244" s="20" t="s">
        <v>2021</v>
      </c>
      <c r="F244" s="20" t="s">
        <v>2022</v>
      </c>
      <c r="G244" s="21">
        <v>18.8</v>
      </c>
      <c r="H244" s="16">
        <v>26</v>
      </c>
      <c r="I244" s="16">
        <v>2</v>
      </c>
      <c r="J244" s="17">
        <v>451.20000000000005</v>
      </c>
      <c r="K244" s="22"/>
      <c r="L244" s="23">
        <v>18.8</v>
      </c>
      <c r="M244" s="23">
        <v>18.8</v>
      </c>
      <c r="N244" s="19">
        <v>37.6</v>
      </c>
      <c r="O244" s="19">
        <v>-75.2</v>
      </c>
      <c r="P244" s="48">
        <v>94</v>
      </c>
      <c r="Q244" s="17">
        <v>0</v>
      </c>
      <c r="R244" s="24">
        <v>451.20000000000005</v>
      </c>
      <c r="S244" s="18" t="s">
        <v>28</v>
      </c>
      <c r="T244" s="25">
        <v>1</v>
      </c>
    </row>
    <row r="245" spans="1:20" s="26" customFormat="1" x14ac:dyDescent="0.25">
      <c r="A245" s="16">
        <v>218151</v>
      </c>
      <c r="B245" s="30" t="s">
        <v>154</v>
      </c>
      <c r="C245" s="20" t="s">
        <v>641</v>
      </c>
      <c r="D245" s="20" t="s">
        <v>705</v>
      </c>
      <c r="E245" s="20" t="s">
        <v>2023</v>
      </c>
      <c r="F245" s="20" t="s">
        <v>2024</v>
      </c>
      <c r="G245" s="21">
        <v>13.4</v>
      </c>
      <c r="H245" s="16">
        <v>26</v>
      </c>
      <c r="I245" s="16">
        <v>1</v>
      </c>
      <c r="J245" s="17">
        <v>335</v>
      </c>
      <c r="K245" s="22"/>
      <c r="L245" s="23"/>
      <c r="M245" s="23">
        <v>0</v>
      </c>
      <c r="N245" s="19">
        <v>26.8</v>
      </c>
      <c r="O245" s="19">
        <v>-67</v>
      </c>
      <c r="P245" s="48">
        <v>67</v>
      </c>
      <c r="Q245" s="17">
        <v>0</v>
      </c>
      <c r="R245" s="24">
        <v>335</v>
      </c>
      <c r="S245" s="18" t="s">
        <v>28</v>
      </c>
      <c r="T245" s="25">
        <v>1</v>
      </c>
    </row>
    <row r="246" spans="1:20" s="26" customFormat="1" x14ac:dyDescent="0.25">
      <c r="A246" s="16">
        <v>218373</v>
      </c>
      <c r="B246" s="30" t="s">
        <v>1416</v>
      </c>
      <c r="C246" s="20" t="s">
        <v>641</v>
      </c>
      <c r="D246" s="20" t="s">
        <v>704</v>
      </c>
      <c r="E246" s="20" t="s">
        <v>2025</v>
      </c>
      <c r="F246" s="20" t="s">
        <v>2026</v>
      </c>
      <c r="G246" s="21">
        <v>18.8</v>
      </c>
      <c r="H246" s="16">
        <v>26</v>
      </c>
      <c r="I246" s="16"/>
      <c r="J246" s="17">
        <v>488.8</v>
      </c>
      <c r="K246" s="22"/>
      <c r="L246" s="23"/>
      <c r="M246" s="23">
        <v>0</v>
      </c>
      <c r="N246" s="19">
        <v>37.6</v>
      </c>
      <c r="O246" s="19">
        <v>-94</v>
      </c>
      <c r="P246" s="48">
        <v>94</v>
      </c>
      <c r="Q246" s="17">
        <v>0</v>
      </c>
      <c r="R246" s="24">
        <v>488.8</v>
      </c>
      <c r="S246" s="18" t="s">
        <v>28</v>
      </c>
      <c r="T246" s="25">
        <v>1</v>
      </c>
    </row>
    <row r="247" spans="1:20" s="26" customFormat="1" x14ac:dyDescent="0.25">
      <c r="A247" s="16">
        <v>219187</v>
      </c>
      <c r="B247" s="30" t="s">
        <v>170</v>
      </c>
      <c r="C247" s="20" t="s">
        <v>641</v>
      </c>
      <c r="D247" s="20" t="s">
        <v>704</v>
      </c>
      <c r="E247" s="20" t="s">
        <v>2027</v>
      </c>
      <c r="F247" s="20" t="s">
        <v>2028</v>
      </c>
      <c r="G247" s="21">
        <v>18.8</v>
      </c>
      <c r="H247" s="16">
        <v>26</v>
      </c>
      <c r="I247" s="16">
        <v>3</v>
      </c>
      <c r="J247" s="17">
        <v>432.40000000000003</v>
      </c>
      <c r="K247" s="22"/>
      <c r="L247" s="23"/>
      <c r="M247" s="23">
        <v>0</v>
      </c>
      <c r="N247" s="19">
        <v>37.6</v>
      </c>
      <c r="O247" s="19">
        <v>-94</v>
      </c>
      <c r="P247" s="48">
        <v>94</v>
      </c>
      <c r="Q247" s="17">
        <v>0</v>
      </c>
      <c r="R247" s="24">
        <v>432.40000000000003</v>
      </c>
      <c r="S247" s="18" t="s">
        <v>28</v>
      </c>
      <c r="T247" s="25">
        <v>1</v>
      </c>
    </row>
    <row r="248" spans="1:20" s="26" customFormat="1" x14ac:dyDescent="0.25">
      <c r="A248" s="16">
        <v>219273</v>
      </c>
      <c r="B248" s="30" t="s">
        <v>155</v>
      </c>
      <c r="C248" s="20" t="s">
        <v>641</v>
      </c>
      <c r="D248" s="20" t="s">
        <v>705</v>
      </c>
      <c r="E248" s="20" t="s">
        <v>2029</v>
      </c>
      <c r="F248" s="20" t="s">
        <v>2030</v>
      </c>
      <c r="G248" s="21">
        <v>18.8</v>
      </c>
      <c r="H248" s="16">
        <v>26</v>
      </c>
      <c r="I248" s="16">
        <v>2</v>
      </c>
      <c r="J248" s="17">
        <v>451.20000000000005</v>
      </c>
      <c r="K248" s="22"/>
      <c r="L248" s="23">
        <v>37.6</v>
      </c>
      <c r="M248" s="23">
        <v>37.6</v>
      </c>
      <c r="N248" s="19">
        <v>37.6</v>
      </c>
      <c r="O248" s="19">
        <v>-56.4</v>
      </c>
      <c r="P248" s="48">
        <v>94</v>
      </c>
      <c r="Q248" s="17">
        <v>0</v>
      </c>
      <c r="R248" s="24">
        <v>451.20000000000005</v>
      </c>
      <c r="S248" s="18" t="s">
        <v>28</v>
      </c>
      <c r="T248" s="25">
        <v>1</v>
      </c>
    </row>
    <row r="249" spans="1:20" s="26" customFormat="1" x14ac:dyDescent="0.25">
      <c r="A249" s="16">
        <v>220950</v>
      </c>
      <c r="B249" s="30" t="s">
        <v>61</v>
      </c>
      <c r="C249" s="20" t="s">
        <v>641</v>
      </c>
      <c r="D249" s="20" t="s">
        <v>704</v>
      </c>
      <c r="E249" s="20" t="s">
        <v>2031</v>
      </c>
      <c r="F249" s="20" t="s">
        <v>2032</v>
      </c>
      <c r="G249" s="21">
        <v>13.4</v>
      </c>
      <c r="H249" s="16">
        <v>26</v>
      </c>
      <c r="I249" s="16">
        <v>1</v>
      </c>
      <c r="J249" s="17">
        <v>335</v>
      </c>
      <c r="K249" s="22"/>
      <c r="L249" s="23">
        <v>13.4</v>
      </c>
      <c r="M249" s="23">
        <v>13.4</v>
      </c>
      <c r="N249" s="19">
        <v>26.8</v>
      </c>
      <c r="O249" s="19">
        <v>-53.6</v>
      </c>
      <c r="P249" s="48">
        <v>67</v>
      </c>
      <c r="Q249" s="17">
        <v>0</v>
      </c>
      <c r="R249" s="24">
        <v>335</v>
      </c>
      <c r="S249" s="18" t="s">
        <v>28</v>
      </c>
      <c r="T249" s="25">
        <v>1</v>
      </c>
    </row>
    <row r="250" spans="1:20" s="26" customFormat="1" x14ac:dyDescent="0.25">
      <c r="A250" s="16">
        <v>221946</v>
      </c>
      <c r="B250" s="30" t="s">
        <v>156</v>
      </c>
      <c r="C250" s="20" t="s">
        <v>641</v>
      </c>
      <c r="D250" s="20" t="s">
        <v>704</v>
      </c>
      <c r="E250" s="20" t="s">
        <v>2033</v>
      </c>
      <c r="F250" s="20" t="s">
        <v>2034</v>
      </c>
      <c r="G250" s="21">
        <v>18.8</v>
      </c>
      <c r="H250" s="16">
        <v>26</v>
      </c>
      <c r="I250" s="16">
        <v>5</v>
      </c>
      <c r="J250" s="17">
        <v>394.8</v>
      </c>
      <c r="K250" s="22"/>
      <c r="L250" s="23"/>
      <c r="M250" s="23">
        <v>0</v>
      </c>
      <c r="N250" s="19">
        <v>37.6</v>
      </c>
      <c r="O250" s="19">
        <v>-94</v>
      </c>
      <c r="P250" s="48">
        <v>94</v>
      </c>
      <c r="Q250" s="17">
        <v>0</v>
      </c>
      <c r="R250" s="24">
        <v>394.8</v>
      </c>
      <c r="S250" s="18" t="s">
        <v>28</v>
      </c>
      <c r="T250" s="25">
        <v>1</v>
      </c>
    </row>
    <row r="251" spans="1:20" s="26" customFormat="1" x14ac:dyDescent="0.25">
      <c r="A251" s="16">
        <v>222231</v>
      </c>
      <c r="B251" s="30" t="s">
        <v>1417</v>
      </c>
      <c r="C251" s="20" t="s">
        <v>641</v>
      </c>
      <c r="D251" s="20" t="s">
        <v>705</v>
      </c>
      <c r="E251" s="20" t="s">
        <v>2035</v>
      </c>
      <c r="F251" s="20" t="s">
        <v>2036</v>
      </c>
      <c r="G251" s="21">
        <v>18.8</v>
      </c>
      <c r="H251" s="16">
        <v>26</v>
      </c>
      <c r="I251" s="16">
        <v>1</v>
      </c>
      <c r="J251" s="17">
        <v>470</v>
      </c>
      <c r="K251" s="22"/>
      <c r="L251" s="23">
        <v>37.6</v>
      </c>
      <c r="M251" s="23">
        <v>37.6</v>
      </c>
      <c r="N251" s="19">
        <v>37.6</v>
      </c>
      <c r="O251" s="19">
        <v>-56.4</v>
      </c>
      <c r="P251" s="48">
        <v>94</v>
      </c>
      <c r="Q251" s="17">
        <v>0</v>
      </c>
      <c r="R251" s="24">
        <v>470</v>
      </c>
      <c r="S251" s="18" t="s">
        <v>28</v>
      </c>
      <c r="T251" s="25">
        <v>1</v>
      </c>
    </row>
    <row r="252" spans="1:20" s="26" customFormat="1" x14ac:dyDescent="0.25">
      <c r="A252" s="16">
        <v>222718</v>
      </c>
      <c r="B252" s="30" t="s">
        <v>1153</v>
      </c>
      <c r="C252" s="20" t="s">
        <v>641</v>
      </c>
      <c r="D252" s="20" t="s">
        <v>705</v>
      </c>
      <c r="E252" s="20" t="s">
        <v>2037</v>
      </c>
      <c r="F252" s="20" t="s">
        <v>2038</v>
      </c>
      <c r="G252" s="21">
        <v>18.8</v>
      </c>
      <c r="H252" s="16">
        <v>26</v>
      </c>
      <c r="I252" s="16">
        <v>2</v>
      </c>
      <c r="J252" s="17">
        <v>451.20000000000005</v>
      </c>
      <c r="K252" s="22"/>
      <c r="L252" s="23">
        <v>56.4</v>
      </c>
      <c r="M252" s="23">
        <v>56.4</v>
      </c>
      <c r="N252" s="19">
        <v>37.6</v>
      </c>
      <c r="O252" s="19">
        <v>-37.6</v>
      </c>
      <c r="P252" s="48">
        <v>94</v>
      </c>
      <c r="Q252" s="17">
        <v>0</v>
      </c>
      <c r="R252" s="24">
        <v>451.20000000000005</v>
      </c>
      <c r="S252" s="18" t="s">
        <v>28</v>
      </c>
      <c r="T252" s="25">
        <v>1</v>
      </c>
    </row>
    <row r="253" spans="1:20" s="26" customFormat="1" x14ac:dyDescent="0.25">
      <c r="A253" s="16">
        <v>223048</v>
      </c>
      <c r="B253" s="30" t="s">
        <v>157</v>
      </c>
      <c r="C253" s="20" t="s">
        <v>641</v>
      </c>
      <c r="D253" s="20" t="s">
        <v>705</v>
      </c>
      <c r="E253" s="20" t="s">
        <v>2039</v>
      </c>
      <c r="F253" s="20" t="s">
        <v>2040</v>
      </c>
      <c r="G253" s="21">
        <v>18.8</v>
      </c>
      <c r="H253" s="16">
        <v>26</v>
      </c>
      <c r="I253" s="16">
        <v>1</v>
      </c>
      <c r="J253" s="17">
        <v>470</v>
      </c>
      <c r="K253" s="22"/>
      <c r="L253" s="23">
        <v>18.8</v>
      </c>
      <c r="M253" s="23">
        <v>18.8</v>
      </c>
      <c r="N253" s="19">
        <v>37.6</v>
      </c>
      <c r="O253" s="19">
        <v>-75.2</v>
      </c>
      <c r="P253" s="48">
        <v>94</v>
      </c>
      <c r="Q253" s="17">
        <v>0</v>
      </c>
      <c r="R253" s="24">
        <v>470</v>
      </c>
      <c r="S253" s="18" t="s">
        <v>28</v>
      </c>
      <c r="T253" s="25">
        <v>1</v>
      </c>
    </row>
    <row r="254" spans="1:20" s="26" customFormat="1" x14ac:dyDescent="0.25">
      <c r="A254" s="16">
        <v>223715</v>
      </c>
      <c r="B254" s="30" t="s">
        <v>158</v>
      </c>
      <c r="C254" s="20" t="s">
        <v>641</v>
      </c>
      <c r="D254" s="20" t="s">
        <v>705</v>
      </c>
      <c r="E254" s="20" t="s">
        <v>2041</v>
      </c>
      <c r="F254" s="20" t="s">
        <v>2042</v>
      </c>
      <c r="G254" s="21">
        <v>18.8</v>
      </c>
      <c r="H254" s="16">
        <v>26</v>
      </c>
      <c r="I254" s="16">
        <v>1</v>
      </c>
      <c r="J254" s="17">
        <v>470</v>
      </c>
      <c r="K254" s="22"/>
      <c r="L254" s="23"/>
      <c r="M254" s="23">
        <v>0</v>
      </c>
      <c r="N254" s="19">
        <v>37.6</v>
      </c>
      <c r="O254" s="19">
        <v>-94</v>
      </c>
      <c r="P254" s="48">
        <v>94</v>
      </c>
      <c r="Q254" s="17">
        <v>0</v>
      </c>
      <c r="R254" s="24">
        <v>470</v>
      </c>
      <c r="S254" s="18" t="s">
        <v>28</v>
      </c>
      <c r="T254" s="25">
        <v>1</v>
      </c>
    </row>
    <row r="255" spans="1:20" s="26" customFormat="1" x14ac:dyDescent="0.25">
      <c r="A255" s="16">
        <v>223935</v>
      </c>
      <c r="B255" s="30" t="s">
        <v>159</v>
      </c>
      <c r="C255" s="20" t="s">
        <v>641</v>
      </c>
      <c r="D255" s="20" t="s">
        <v>705</v>
      </c>
      <c r="E255" s="20" t="s">
        <v>2043</v>
      </c>
      <c r="F255" s="20" t="s">
        <v>2044</v>
      </c>
      <c r="G255" s="21">
        <v>18.8</v>
      </c>
      <c r="H255" s="16">
        <v>26</v>
      </c>
      <c r="I255" s="16">
        <v>1</v>
      </c>
      <c r="J255" s="17">
        <v>470</v>
      </c>
      <c r="K255" s="22"/>
      <c r="L255" s="23"/>
      <c r="M255" s="23">
        <v>0</v>
      </c>
      <c r="N255" s="19">
        <v>37.6</v>
      </c>
      <c r="O255" s="19">
        <v>-94</v>
      </c>
      <c r="P255" s="48">
        <v>94</v>
      </c>
      <c r="Q255" s="17">
        <v>0</v>
      </c>
      <c r="R255" s="24">
        <v>470</v>
      </c>
      <c r="S255" s="18" t="s">
        <v>28</v>
      </c>
      <c r="T255" s="25">
        <v>1</v>
      </c>
    </row>
    <row r="256" spans="1:20" s="26" customFormat="1" x14ac:dyDescent="0.25">
      <c r="A256" s="16">
        <v>226381</v>
      </c>
      <c r="B256" s="30" t="s">
        <v>160</v>
      </c>
      <c r="C256" s="20" t="s">
        <v>641</v>
      </c>
      <c r="D256" s="20" t="s">
        <v>704</v>
      </c>
      <c r="E256" s="20" t="s">
        <v>2045</v>
      </c>
      <c r="F256" s="20" t="s">
        <v>2046</v>
      </c>
      <c r="G256" s="21">
        <v>10</v>
      </c>
      <c r="H256" s="16">
        <v>26</v>
      </c>
      <c r="I256" s="16">
        <v>1</v>
      </c>
      <c r="J256" s="17">
        <v>250</v>
      </c>
      <c r="K256" s="22"/>
      <c r="L256" s="23"/>
      <c r="M256" s="23">
        <v>0</v>
      </c>
      <c r="N256" s="19">
        <v>20</v>
      </c>
      <c r="O256" s="19">
        <v>-50</v>
      </c>
      <c r="P256" s="48">
        <v>50</v>
      </c>
      <c r="Q256" s="17">
        <v>0</v>
      </c>
      <c r="R256" s="24">
        <v>250</v>
      </c>
      <c r="S256" s="18" t="s">
        <v>28</v>
      </c>
      <c r="T256" s="25">
        <v>1</v>
      </c>
    </row>
    <row r="257" spans="1:20" s="26" customFormat="1" x14ac:dyDescent="0.25">
      <c r="A257" s="16">
        <v>231999</v>
      </c>
      <c r="B257" s="30" t="s">
        <v>817</v>
      </c>
      <c r="C257" s="20" t="s">
        <v>641</v>
      </c>
      <c r="D257" s="20" t="s">
        <v>704</v>
      </c>
      <c r="E257" s="20" t="s">
        <v>2049</v>
      </c>
      <c r="F257" s="20" t="s">
        <v>2050</v>
      </c>
      <c r="G257" s="21">
        <v>13.4</v>
      </c>
      <c r="H257" s="16">
        <v>26</v>
      </c>
      <c r="I257" s="16">
        <v>1</v>
      </c>
      <c r="J257" s="17">
        <v>335</v>
      </c>
      <c r="K257" s="22"/>
      <c r="L257" s="23"/>
      <c r="M257" s="23">
        <v>0</v>
      </c>
      <c r="N257" s="19">
        <v>26.8</v>
      </c>
      <c r="O257" s="19">
        <v>-67</v>
      </c>
      <c r="P257" s="48">
        <v>67</v>
      </c>
      <c r="Q257" s="17">
        <v>0</v>
      </c>
      <c r="R257" s="24">
        <v>335</v>
      </c>
      <c r="S257" s="18" t="s">
        <v>28</v>
      </c>
      <c r="T257" s="25">
        <v>1</v>
      </c>
    </row>
    <row r="258" spans="1:20" s="26" customFormat="1" x14ac:dyDescent="0.25">
      <c r="A258" s="16">
        <v>209363</v>
      </c>
      <c r="B258" s="30" t="s">
        <v>161</v>
      </c>
      <c r="C258" s="20" t="s">
        <v>642</v>
      </c>
      <c r="D258" s="20" t="s">
        <v>706</v>
      </c>
      <c r="E258" s="20" t="s">
        <v>2051</v>
      </c>
      <c r="F258" s="20" t="s">
        <v>2052</v>
      </c>
      <c r="G258" s="21">
        <v>13.4</v>
      </c>
      <c r="H258" s="16">
        <v>22</v>
      </c>
      <c r="I258" s="16"/>
      <c r="J258" s="17">
        <v>294.8</v>
      </c>
      <c r="K258" s="22"/>
      <c r="L258" s="23"/>
      <c r="M258" s="23">
        <v>0</v>
      </c>
      <c r="N258" s="19">
        <v>26.8</v>
      </c>
      <c r="O258" s="19">
        <v>-67</v>
      </c>
      <c r="P258" s="48">
        <v>67</v>
      </c>
      <c r="Q258" s="17">
        <v>0</v>
      </c>
      <c r="R258" s="24">
        <v>294.8</v>
      </c>
      <c r="S258" s="18" t="s">
        <v>28</v>
      </c>
      <c r="T258" s="25">
        <v>1</v>
      </c>
    </row>
    <row r="259" spans="1:20" s="26" customFormat="1" x14ac:dyDescent="0.25">
      <c r="A259" s="16">
        <v>203783</v>
      </c>
      <c r="B259" s="30" t="s">
        <v>162</v>
      </c>
      <c r="C259" s="20" t="s">
        <v>643</v>
      </c>
      <c r="D259" s="20" t="s">
        <v>707</v>
      </c>
      <c r="E259" s="20" t="s">
        <v>2053</v>
      </c>
      <c r="F259" s="20" t="s">
        <v>2054</v>
      </c>
      <c r="G259" s="21">
        <v>13.4</v>
      </c>
      <c r="H259" s="16">
        <v>22</v>
      </c>
      <c r="I259" s="16">
        <v>1</v>
      </c>
      <c r="J259" s="17">
        <v>281.40000000000003</v>
      </c>
      <c r="K259" s="22"/>
      <c r="L259" s="23"/>
      <c r="M259" s="23">
        <v>0</v>
      </c>
      <c r="N259" s="19">
        <v>26.8</v>
      </c>
      <c r="O259" s="19">
        <v>-67</v>
      </c>
      <c r="P259" s="48">
        <v>67</v>
      </c>
      <c r="Q259" s="17">
        <v>0</v>
      </c>
      <c r="R259" s="24">
        <v>281.40000000000003</v>
      </c>
      <c r="S259" s="18" t="s">
        <v>28</v>
      </c>
      <c r="T259" s="25">
        <v>1</v>
      </c>
    </row>
    <row r="260" spans="1:20" s="26" customFormat="1" x14ac:dyDescent="0.25">
      <c r="A260" s="16">
        <v>207605</v>
      </c>
      <c r="B260" s="30" t="s">
        <v>163</v>
      </c>
      <c r="C260" s="20" t="s">
        <v>643</v>
      </c>
      <c r="D260" s="20" t="s">
        <v>707</v>
      </c>
      <c r="E260" s="20" t="s">
        <v>2055</v>
      </c>
      <c r="F260" s="20" t="s">
        <v>2056</v>
      </c>
      <c r="G260" s="21">
        <v>13.4</v>
      </c>
      <c r="H260" s="16">
        <v>22</v>
      </c>
      <c r="I260" s="16"/>
      <c r="J260" s="17">
        <v>294.8</v>
      </c>
      <c r="K260" s="22"/>
      <c r="L260" s="23"/>
      <c r="M260" s="23">
        <v>0</v>
      </c>
      <c r="N260" s="19">
        <v>26.8</v>
      </c>
      <c r="O260" s="19">
        <v>-67</v>
      </c>
      <c r="P260" s="48">
        <v>67</v>
      </c>
      <c r="Q260" s="17">
        <v>0</v>
      </c>
      <c r="R260" s="24">
        <v>294.8</v>
      </c>
      <c r="S260" s="18" t="s">
        <v>28</v>
      </c>
      <c r="T260" s="25">
        <v>1</v>
      </c>
    </row>
    <row r="261" spans="1:20" s="26" customFormat="1" x14ac:dyDescent="0.25">
      <c r="A261" s="16">
        <v>219229</v>
      </c>
      <c r="B261" s="30" t="s">
        <v>164</v>
      </c>
      <c r="C261" s="20" t="s">
        <v>643</v>
      </c>
      <c r="D261" s="20" t="s">
        <v>707</v>
      </c>
      <c r="E261" s="20" t="s">
        <v>2057</v>
      </c>
      <c r="F261" s="20" t="s">
        <v>2058</v>
      </c>
      <c r="G261" s="21">
        <v>26.8</v>
      </c>
      <c r="H261" s="16">
        <v>22</v>
      </c>
      <c r="I261" s="16"/>
      <c r="J261" s="17">
        <v>589.6</v>
      </c>
      <c r="K261" s="22"/>
      <c r="L261" s="23"/>
      <c r="M261" s="23">
        <v>0</v>
      </c>
      <c r="N261" s="19">
        <v>53.6</v>
      </c>
      <c r="O261" s="19">
        <v>-134</v>
      </c>
      <c r="P261" s="48">
        <v>134</v>
      </c>
      <c r="Q261" s="17">
        <v>0</v>
      </c>
      <c r="R261" s="24">
        <v>589.6</v>
      </c>
      <c r="S261" s="18" t="s">
        <v>28</v>
      </c>
      <c r="T261" s="25">
        <v>1</v>
      </c>
    </row>
    <row r="262" spans="1:20" s="26" customFormat="1" x14ac:dyDescent="0.25">
      <c r="A262" s="16">
        <v>221960</v>
      </c>
      <c r="B262" s="30" t="s">
        <v>67</v>
      </c>
      <c r="C262" s="20" t="s">
        <v>643</v>
      </c>
      <c r="D262" s="20" t="s">
        <v>709</v>
      </c>
      <c r="E262" s="20" t="s">
        <v>2059</v>
      </c>
      <c r="F262" s="20" t="s">
        <v>2060</v>
      </c>
      <c r="G262" s="21">
        <v>10</v>
      </c>
      <c r="H262" s="16">
        <v>22</v>
      </c>
      <c r="I262" s="16"/>
      <c r="J262" s="17">
        <v>220</v>
      </c>
      <c r="K262" s="22"/>
      <c r="L262" s="23"/>
      <c r="M262" s="23">
        <v>0</v>
      </c>
      <c r="N262" s="19">
        <v>20</v>
      </c>
      <c r="O262" s="19">
        <v>-50</v>
      </c>
      <c r="P262" s="48">
        <v>50</v>
      </c>
      <c r="Q262" s="17">
        <v>0</v>
      </c>
      <c r="R262" s="24">
        <v>220</v>
      </c>
      <c r="S262" s="18" t="s">
        <v>28</v>
      </c>
      <c r="T262" s="25">
        <v>1</v>
      </c>
    </row>
    <row r="263" spans="1:20" s="26" customFormat="1" x14ac:dyDescent="0.25">
      <c r="A263" s="16">
        <v>223066</v>
      </c>
      <c r="B263" s="30" t="s">
        <v>165</v>
      </c>
      <c r="C263" s="20" t="s">
        <v>643</v>
      </c>
      <c r="D263" s="20" t="s">
        <v>708</v>
      </c>
      <c r="E263" s="20" t="s">
        <v>2061</v>
      </c>
      <c r="F263" s="20" t="s">
        <v>2062</v>
      </c>
      <c r="G263" s="21">
        <v>16.2</v>
      </c>
      <c r="H263" s="16">
        <v>22</v>
      </c>
      <c r="I263" s="16"/>
      <c r="J263" s="17">
        <v>356.4</v>
      </c>
      <c r="K263" s="22"/>
      <c r="L263" s="23"/>
      <c r="M263" s="23">
        <v>0</v>
      </c>
      <c r="N263" s="19">
        <v>32.4</v>
      </c>
      <c r="O263" s="19">
        <v>-81</v>
      </c>
      <c r="P263" s="48">
        <v>81</v>
      </c>
      <c r="Q263" s="17">
        <v>0</v>
      </c>
      <c r="R263" s="24">
        <v>356.4</v>
      </c>
      <c r="S263" s="18" t="s">
        <v>28</v>
      </c>
      <c r="T263" s="25">
        <v>1</v>
      </c>
    </row>
    <row r="264" spans="1:20" s="26" customFormat="1" x14ac:dyDescent="0.25">
      <c r="A264" s="16">
        <v>234391</v>
      </c>
      <c r="B264" s="30" t="s">
        <v>1277</v>
      </c>
      <c r="C264" s="20" t="s">
        <v>643</v>
      </c>
      <c r="D264" s="20" t="s">
        <v>1304</v>
      </c>
      <c r="E264" s="20" t="s">
        <v>2063</v>
      </c>
      <c r="F264" s="20" t="s">
        <v>2064</v>
      </c>
      <c r="G264" s="21">
        <v>18.8</v>
      </c>
      <c r="H264" s="16">
        <v>22</v>
      </c>
      <c r="I264" s="16">
        <v>3</v>
      </c>
      <c r="J264" s="17">
        <v>357.2</v>
      </c>
      <c r="K264" s="22"/>
      <c r="L264" s="23"/>
      <c r="M264" s="23">
        <v>0</v>
      </c>
      <c r="N264" s="19">
        <v>37.6</v>
      </c>
      <c r="O264" s="19">
        <v>-94</v>
      </c>
      <c r="P264" s="48">
        <v>94</v>
      </c>
      <c r="Q264" s="17">
        <v>0</v>
      </c>
      <c r="R264" s="24">
        <v>357.2</v>
      </c>
      <c r="S264" s="18" t="s">
        <v>28</v>
      </c>
      <c r="T264" s="25">
        <v>1</v>
      </c>
    </row>
    <row r="265" spans="1:20" s="26" customFormat="1" x14ac:dyDescent="0.25">
      <c r="A265" s="16">
        <v>214228</v>
      </c>
      <c r="B265" s="30" t="s">
        <v>166</v>
      </c>
      <c r="C265" s="20" t="s">
        <v>644</v>
      </c>
      <c r="D265" s="20" t="s">
        <v>779</v>
      </c>
      <c r="E265" s="20" t="s">
        <v>2065</v>
      </c>
      <c r="F265" s="20" t="s">
        <v>2066</v>
      </c>
      <c r="G265" s="21">
        <v>13.4</v>
      </c>
      <c r="H265" s="16">
        <v>22</v>
      </c>
      <c r="I265" s="16"/>
      <c r="J265" s="17">
        <v>294.8</v>
      </c>
      <c r="K265" s="22"/>
      <c r="L265" s="23"/>
      <c r="M265" s="23">
        <v>0</v>
      </c>
      <c r="N265" s="19">
        <v>26.8</v>
      </c>
      <c r="O265" s="19">
        <v>-67</v>
      </c>
      <c r="P265" s="48">
        <v>67</v>
      </c>
      <c r="Q265" s="17">
        <v>0</v>
      </c>
      <c r="R265" s="24">
        <v>294.8</v>
      </c>
      <c r="S265" s="18" t="s">
        <v>28</v>
      </c>
      <c r="T265" s="25">
        <v>1</v>
      </c>
    </row>
    <row r="266" spans="1:20" s="26" customFormat="1" x14ac:dyDescent="0.25">
      <c r="A266" s="16">
        <v>214486</v>
      </c>
      <c r="B266" s="30" t="s">
        <v>1418</v>
      </c>
      <c r="C266" s="20" t="s">
        <v>644</v>
      </c>
      <c r="D266" s="20" t="s">
        <v>779</v>
      </c>
      <c r="E266" s="20" t="s">
        <v>2067</v>
      </c>
      <c r="F266" s="20" t="s">
        <v>2068</v>
      </c>
      <c r="G266" s="21">
        <v>13.4</v>
      </c>
      <c r="H266" s="16">
        <v>22</v>
      </c>
      <c r="I266" s="16">
        <v>1</v>
      </c>
      <c r="J266" s="17">
        <v>281.40000000000003</v>
      </c>
      <c r="K266" s="22"/>
      <c r="L266" s="23"/>
      <c r="M266" s="23">
        <v>0</v>
      </c>
      <c r="N266" s="19">
        <v>26.8</v>
      </c>
      <c r="O266" s="19">
        <v>-67</v>
      </c>
      <c r="P266" s="48">
        <v>67</v>
      </c>
      <c r="Q266" s="17">
        <v>0</v>
      </c>
      <c r="R266" s="24">
        <v>281.40000000000003</v>
      </c>
      <c r="S266" s="18" t="s">
        <v>28</v>
      </c>
      <c r="T266" s="25">
        <v>1</v>
      </c>
    </row>
    <row r="267" spans="1:20" s="26" customFormat="1" x14ac:dyDescent="0.25">
      <c r="A267" s="16">
        <v>224057</v>
      </c>
      <c r="B267" s="30" t="s">
        <v>167</v>
      </c>
      <c r="C267" s="20" t="s">
        <v>644</v>
      </c>
      <c r="D267" s="20" t="s">
        <v>710</v>
      </c>
      <c r="E267" s="20" t="s">
        <v>2069</v>
      </c>
      <c r="F267" s="20" t="s">
        <v>2070</v>
      </c>
      <c r="G267" s="21">
        <v>18.8</v>
      </c>
      <c r="H267" s="16">
        <v>22</v>
      </c>
      <c r="I267" s="16">
        <v>2</v>
      </c>
      <c r="J267" s="17">
        <v>376</v>
      </c>
      <c r="K267" s="22"/>
      <c r="L267" s="23"/>
      <c r="M267" s="23">
        <v>0</v>
      </c>
      <c r="N267" s="19">
        <v>37.6</v>
      </c>
      <c r="O267" s="19">
        <v>-94</v>
      </c>
      <c r="P267" s="48">
        <v>94</v>
      </c>
      <c r="Q267" s="17">
        <v>0</v>
      </c>
      <c r="R267" s="24">
        <v>376</v>
      </c>
      <c r="S267" s="18" t="s">
        <v>28</v>
      </c>
      <c r="T267" s="25">
        <v>1</v>
      </c>
    </row>
    <row r="268" spans="1:20" s="26" customFormat="1" x14ac:dyDescent="0.25">
      <c r="A268" s="16">
        <v>211749</v>
      </c>
      <c r="B268" s="30" t="s">
        <v>168</v>
      </c>
      <c r="C268" s="20" t="s">
        <v>645</v>
      </c>
      <c r="D268" s="20" t="s">
        <v>711</v>
      </c>
      <c r="E268" s="20" t="s">
        <v>2071</v>
      </c>
      <c r="F268" s="20" t="s">
        <v>2072</v>
      </c>
      <c r="G268" s="21">
        <v>18.8</v>
      </c>
      <c r="H268" s="16">
        <v>26</v>
      </c>
      <c r="I268" s="16"/>
      <c r="J268" s="17">
        <v>488.8</v>
      </c>
      <c r="K268" s="22"/>
      <c r="L268" s="23"/>
      <c r="M268" s="23">
        <v>0</v>
      </c>
      <c r="N268" s="19">
        <v>37.6</v>
      </c>
      <c r="O268" s="19">
        <v>-94</v>
      </c>
      <c r="P268" s="48">
        <v>94</v>
      </c>
      <c r="Q268" s="17">
        <v>0</v>
      </c>
      <c r="R268" s="24">
        <v>488.8</v>
      </c>
      <c r="S268" s="18" t="s">
        <v>28</v>
      </c>
      <c r="T268" s="25">
        <v>1</v>
      </c>
    </row>
    <row r="269" spans="1:20" s="26" customFormat="1" x14ac:dyDescent="0.25">
      <c r="A269" s="16">
        <v>215297</v>
      </c>
      <c r="B269" s="30" t="s">
        <v>169</v>
      </c>
      <c r="C269" s="20" t="s">
        <v>645</v>
      </c>
      <c r="D269" s="20" t="s">
        <v>711</v>
      </c>
      <c r="E269" s="20" t="s">
        <v>2073</v>
      </c>
      <c r="F269" s="20" t="s">
        <v>2074</v>
      </c>
      <c r="G269" s="21">
        <v>18.8</v>
      </c>
      <c r="H269" s="16">
        <v>26</v>
      </c>
      <c r="I269" s="16">
        <v>1</v>
      </c>
      <c r="J269" s="17">
        <v>470</v>
      </c>
      <c r="K269" s="22"/>
      <c r="L269" s="23"/>
      <c r="M269" s="23">
        <v>0</v>
      </c>
      <c r="N269" s="19">
        <v>37.6</v>
      </c>
      <c r="O269" s="19">
        <v>-94</v>
      </c>
      <c r="P269" s="48">
        <v>94</v>
      </c>
      <c r="Q269" s="17">
        <v>0</v>
      </c>
      <c r="R269" s="24">
        <v>470</v>
      </c>
      <c r="S269" s="18" t="s">
        <v>28</v>
      </c>
      <c r="T269" s="25">
        <v>1</v>
      </c>
    </row>
    <row r="270" spans="1:20" s="26" customFormat="1" x14ac:dyDescent="0.25">
      <c r="A270" s="16">
        <v>216271</v>
      </c>
      <c r="B270" s="30" t="s">
        <v>1154</v>
      </c>
      <c r="C270" s="20" t="s">
        <v>645</v>
      </c>
      <c r="D270" s="20" t="s">
        <v>711</v>
      </c>
      <c r="E270" s="20" t="s">
        <v>2075</v>
      </c>
      <c r="F270" s="20" t="s">
        <v>2076</v>
      </c>
      <c r="G270" s="21">
        <v>18.8</v>
      </c>
      <c r="H270" s="16">
        <v>26</v>
      </c>
      <c r="I270" s="16">
        <v>1</v>
      </c>
      <c r="J270" s="17">
        <v>470</v>
      </c>
      <c r="K270" s="22"/>
      <c r="L270" s="23"/>
      <c r="M270" s="23">
        <v>0</v>
      </c>
      <c r="N270" s="19">
        <v>37.6</v>
      </c>
      <c r="O270" s="19">
        <v>-94</v>
      </c>
      <c r="P270" s="48">
        <v>94</v>
      </c>
      <c r="Q270" s="17">
        <v>0</v>
      </c>
      <c r="R270" s="24">
        <v>470</v>
      </c>
      <c r="S270" s="18" t="s">
        <v>28</v>
      </c>
      <c r="T270" s="25">
        <v>1</v>
      </c>
    </row>
    <row r="271" spans="1:20" s="26" customFormat="1" x14ac:dyDescent="0.25">
      <c r="A271" s="16">
        <v>225519</v>
      </c>
      <c r="B271" s="30" t="s">
        <v>63</v>
      </c>
      <c r="C271" s="20" t="s">
        <v>645</v>
      </c>
      <c r="D271" s="20" t="s">
        <v>711</v>
      </c>
      <c r="E271" s="20" t="s">
        <v>2077</v>
      </c>
      <c r="F271" s="20" t="s">
        <v>2078</v>
      </c>
      <c r="G271" s="21">
        <v>18.8</v>
      </c>
      <c r="H271" s="16">
        <v>26</v>
      </c>
      <c r="I271" s="16">
        <v>4</v>
      </c>
      <c r="J271" s="17">
        <v>413.6</v>
      </c>
      <c r="K271" s="22"/>
      <c r="L271" s="23"/>
      <c r="M271" s="23">
        <v>0</v>
      </c>
      <c r="N271" s="19">
        <v>37.6</v>
      </c>
      <c r="O271" s="19">
        <v>-94</v>
      </c>
      <c r="P271" s="48">
        <v>94</v>
      </c>
      <c r="Q271" s="17">
        <v>0</v>
      </c>
      <c r="R271" s="24">
        <v>413.6</v>
      </c>
      <c r="S271" s="18" t="s">
        <v>28</v>
      </c>
      <c r="T271" s="25">
        <v>1</v>
      </c>
    </row>
    <row r="272" spans="1:20" s="26" customFormat="1" x14ac:dyDescent="0.25">
      <c r="A272" s="16">
        <v>225884</v>
      </c>
      <c r="B272" s="30" t="s">
        <v>1043</v>
      </c>
      <c r="C272" s="20" t="s">
        <v>645</v>
      </c>
      <c r="D272" s="20" t="s">
        <v>711</v>
      </c>
      <c r="E272" s="20" t="s">
        <v>2079</v>
      </c>
      <c r="F272" s="20" t="s">
        <v>2080</v>
      </c>
      <c r="G272" s="21">
        <v>18.8</v>
      </c>
      <c r="H272" s="16">
        <v>26</v>
      </c>
      <c r="I272" s="16">
        <v>1</v>
      </c>
      <c r="J272" s="17">
        <v>470</v>
      </c>
      <c r="K272" s="22"/>
      <c r="L272" s="23"/>
      <c r="M272" s="23">
        <v>0</v>
      </c>
      <c r="N272" s="19">
        <v>37.6</v>
      </c>
      <c r="O272" s="19">
        <v>-94</v>
      </c>
      <c r="P272" s="48">
        <v>94</v>
      </c>
      <c r="Q272" s="17">
        <v>0</v>
      </c>
      <c r="R272" s="24">
        <v>470</v>
      </c>
      <c r="S272" s="18" t="s">
        <v>28</v>
      </c>
      <c r="T272" s="25">
        <v>1</v>
      </c>
    </row>
    <row r="273" spans="1:20" s="26" customFormat="1" x14ac:dyDescent="0.25">
      <c r="A273" s="16">
        <v>226742</v>
      </c>
      <c r="B273" s="30" t="s">
        <v>171</v>
      </c>
      <c r="C273" s="20" t="s">
        <v>645</v>
      </c>
      <c r="D273" s="20" t="s">
        <v>711</v>
      </c>
      <c r="E273" s="20" t="s">
        <v>2081</v>
      </c>
      <c r="F273" s="20" t="s">
        <v>2082</v>
      </c>
      <c r="G273" s="21">
        <v>18.8</v>
      </c>
      <c r="H273" s="16">
        <v>22</v>
      </c>
      <c r="I273" s="16"/>
      <c r="J273" s="17">
        <v>413.6</v>
      </c>
      <c r="K273" s="22"/>
      <c r="L273" s="23">
        <v>37.6</v>
      </c>
      <c r="M273" s="23">
        <v>37.6</v>
      </c>
      <c r="N273" s="19">
        <v>37.6</v>
      </c>
      <c r="O273" s="19">
        <v>-56.4</v>
      </c>
      <c r="P273" s="48">
        <v>94</v>
      </c>
      <c r="Q273" s="17">
        <v>0</v>
      </c>
      <c r="R273" s="24">
        <v>413.6</v>
      </c>
      <c r="S273" s="18" t="s">
        <v>28</v>
      </c>
      <c r="T273" s="25">
        <v>1</v>
      </c>
    </row>
    <row r="274" spans="1:20" s="26" customFormat="1" x14ac:dyDescent="0.25">
      <c r="A274" s="16">
        <v>232891</v>
      </c>
      <c r="B274" s="30" t="s">
        <v>963</v>
      </c>
      <c r="C274" s="20" t="s">
        <v>645</v>
      </c>
      <c r="D274" s="20" t="s">
        <v>711</v>
      </c>
      <c r="E274" s="20" t="s">
        <v>2083</v>
      </c>
      <c r="F274" s="20" t="s">
        <v>2084</v>
      </c>
      <c r="G274" s="21">
        <v>18.8</v>
      </c>
      <c r="H274" s="16">
        <v>26</v>
      </c>
      <c r="I274" s="16">
        <v>5</v>
      </c>
      <c r="J274" s="17">
        <v>394.8</v>
      </c>
      <c r="K274" s="22"/>
      <c r="L274" s="23"/>
      <c r="M274" s="23">
        <v>0</v>
      </c>
      <c r="N274" s="19">
        <v>37.6</v>
      </c>
      <c r="O274" s="19">
        <v>-94</v>
      </c>
      <c r="P274" s="48">
        <v>94</v>
      </c>
      <c r="Q274" s="17">
        <v>0</v>
      </c>
      <c r="R274" s="24">
        <v>394.8</v>
      </c>
      <c r="S274" s="18" t="s">
        <v>28</v>
      </c>
      <c r="T274" s="25">
        <v>1</v>
      </c>
    </row>
    <row r="275" spans="1:20" s="26" customFormat="1" x14ac:dyDescent="0.25">
      <c r="A275" s="16">
        <v>215752</v>
      </c>
      <c r="B275" s="30" t="s">
        <v>1155</v>
      </c>
      <c r="C275" s="20" t="s">
        <v>646</v>
      </c>
      <c r="D275" s="20" t="s">
        <v>1263</v>
      </c>
      <c r="E275" s="20" t="s">
        <v>4186</v>
      </c>
      <c r="F275" s="20" t="s">
        <v>4183</v>
      </c>
      <c r="G275" s="21">
        <v>15.8</v>
      </c>
      <c r="H275" s="16">
        <v>0</v>
      </c>
      <c r="I275" s="16"/>
      <c r="J275" s="17">
        <v>0</v>
      </c>
      <c r="K275" s="22"/>
      <c r="L275" s="23"/>
      <c r="M275" s="23">
        <v>0</v>
      </c>
      <c r="N275" s="19">
        <v>31.6</v>
      </c>
      <c r="O275" s="19">
        <v>-79</v>
      </c>
      <c r="P275" s="48">
        <v>79</v>
      </c>
      <c r="Q275" s="17">
        <v>0</v>
      </c>
      <c r="R275" s="24">
        <v>0</v>
      </c>
      <c r="S275" s="18" t="s">
        <v>12</v>
      </c>
      <c r="T275" s="25">
        <v>1</v>
      </c>
    </row>
    <row r="276" spans="1:20" s="26" customFormat="1" x14ac:dyDescent="0.25">
      <c r="A276" s="16">
        <v>233882</v>
      </c>
      <c r="B276" s="30" t="s">
        <v>1044</v>
      </c>
      <c r="C276" s="20" t="s">
        <v>646</v>
      </c>
      <c r="D276" s="20" t="s">
        <v>712</v>
      </c>
      <c r="E276" s="20" t="s">
        <v>2085</v>
      </c>
      <c r="F276" s="20" t="s">
        <v>2086</v>
      </c>
      <c r="G276" s="21">
        <v>10</v>
      </c>
      <c r="H276" s="16">
        <v>26</v>
      </c>
      <c r="I276" s="16">
        <v>2</v>
      </c>
      <c r="J276" s="17">
        <v>240</v>
      </c>
      <c r="K276" s="22"/>
      <c r="L276" s="23"/>
      <c r="M276" s="23">
        <v>0</v>
      </c>
      <c r="N276" s="19">
        <v>20</v>
      </c>
      <c r="O276" s="19">
        <v>-50</v>
      </c>
      <c r="P276" s="48">
        <v>50</v>
      </c>
      <c r="Q276" s="17">
        <v>0</v>
      </c>
      <c r="R276" s="24">
        <v>240</v>
      </c>
      <c r="S276" s="18" t="s">
        <v>28</v>
      </c>
      <c r="T276" s="25">
        <v>1</v>
      </c>
    </row>
    <row r="277" spans="1:20" s="26" customFormat="1" x14ac:dyDescent="0.25">
      <c r="A277" s="16">
        <v>205924</v>
      </c>
      <c r="B277" s="30" t="s">
        <v>1235</v>
      </c>
      <c r="C277" s="20" t="s">
        <v>660</v>
      </c>
      <c r="D277" s="20" t="s">
        <v>754</v>
      </c>
      <c r="E277" s="20" t="s">
        <v>3700</v>
      </c>
      <c r="F277" s="20" t="s">
        <v>3701</v>
      </c>
      <c r="G277" s="21">
        <v>18.8</v>
      </c>
      <c r="H277" s="16">
        <v>22</v>
      </c>
      <c r="I277" s="16">
        <v>2</v>
      </c>
      <c r="J277" s="17">
        <v>376</v>
      </c>
      <c r="K277" s="22"/>
      <c r="L277" s="23"/>
      <c r="M277" s="23">
        <v>0</v>
      </c>
      <c r="N277" s="19">
        <v>37.6</v>
      </c>
      <c r="O277" s="19">
        <v>-94</v>
      </c>
      <c r="P277" s="48">
        <v>94</v>
      </c>
      <c r="Q277" s="17">
        <v>0</v>
      </c>
      <c r="R277" s="24">
        <v>376</v>
      </c>
      <c r="S277" s="18" t="s">
        <v>28</v>
      </c>
      <c r="T277" s="25">
        <v>1</v>
      </c>
    </row>
    <row r="278" spans="1:20" s="26" customFormat="1" x14ac:dyDescent="0.25">
      <c r="A278" s="16">
        <v>232299</v>
      </c>
      <c r="B278" s="30" t="s">
        <v>897</v>
      </c>
      <c r="C278" s="20" t="s">
        <v>636</v>
      </c>
      <c r="D278" s="20" t="s">
        <v>730</v>
      </c>
      <c r="E278" s="20" t="s">
        <v>2087</v>
      </c>
      <c r="F278" s="20" t="s">
        <v>2088</v>
      </c>
      <c r="G278" s="21">
        <v>9.4</v>
      </c>
      <c r="H278" s="16">
        <v>22</v>
      </c>
      <c r="I278" s="16">
        <v>1</v>
      </c>
      <c r="J278" s="17">
        <v>197.4</v>
      </c>
      <c r="K278" s="22"/>
      <c r="L278" s="23"/>
      <c r="M278" s="23">
        <v>0</v>
      </c>
      <c r="N278" s="19">
        <v>18.8</v>
      </c>
      <c r="O278" s="19">
        <v>-47</v>
      </c>
      <c r="P278" s="48">
        <v>47</v>
      </c>
      <c r="Q278" s="17">
        <v>0</v>
      </c>
      <c r="R278" s="24">
        <v>197.4</v>
      </c>
      <c r="S278" s="18" t="s">
        <v>28</v>
      </c>
      <c r="T278" s="25">
        <v>2</v>
      </c>
    </row>
    <row r="279" spans="1:20" s="26" customFormat="1" x14ac:dyDescent="0.25">
      <c r="A279" s="16">
        <v>232407</v>
      </c>
      <c r="B279" s="30" t="s">
        <v>898</v>
      </c>
      <c r="C279" s="20" t="s">
        <v>636</v>
      </c>
      <c r="D279" s="20" t="s">
        <v>729</v>
      </c>
      <c r="E279" s="20" t="s">
        <v>2089</v>
      </c>
      <c r="F279" s="20" t="s">
        <v>2090</v>
      </c>
      <c r="G279" s="21">
        <v>10</v>
      </c>
      <c r="H279" s="16">
        <v>22</v>
      </c>
      <c r="I279" s="16">
        <v>5</v>
      </c>
      <c r="J279" s="17">
        <v>170</v>
      </c>
      <c r="K279" s="22"/>
      <c r="L279" s="23"/>
      <c r="M279" s="23">
        <v>0</v>
      </c>
      <c r="N279" s="19">
        <v>20</v>
      </c>
      <c r="O279" s="19">
        <v>-50</v>
      </c>
      <c r="P279" s="48">
        <v>50</v>
      </c>
      <c r="Q279" s="17">
        <v>0</v>
      </c>
      <c r="R279" s="24">
        <v>170</v>
      </c>
      <c r="S279" s="18" t="s">
        <v>28</v>
      </c>
      <c r="T279" s="25">
        <v>2</v>
      </c>
    </row>
    <row r="280" spans="1:20" s="26" customFormat="1" x14ac:dyDescent="0.25">
      <c r="A280" s="16">
        <v>3173</v>
      </c>
      <c r="B280" s="30" t="s">
        <v>173</v>
      </c>
      <c r="C280" s="20" t="s">
        <v>647</v>
      </c>
      <c r="D280" s="20" t="s">
        <v>720</v>
      </c>
      <c r="E280" s="20" t="s">
        <v>2091</v>
      </c>
      <c r="F280" s="20" t="s">
        <v>2092</v>
      </c>
      <c r="G280" s="21">
        <v>13.4</v>
      </c>
      <c r="H280" s="16">
        <v>26</v>
      </c>
      <c r="I280" s="16"/>
      <c r="J280" s="17">
        <v>348.40000000000003</v>
      </c>
      <c r="K280" s="22"/>
      <c r="L280" s="23"/>
      <c r="M280" s="23">
        <v>0</v>
      </c>
      <c r="N280" s="19">
        <v>26.8</v>
      </c>
      <c r="O280" s="19">
        <v>-67</v>
      </c>
      <c r="P280" s="48">
        <v>67</v>
      </c>
      <c r="Q280" s="17">
        <v>0</v>
      </c>
      <c r="R280" s="24">
        <v>348.40000000000003</v>
      </c>
      <c r="S280" s="18" t="s">
        <v>28</v>
      </c>
      <c r="T280" s="25">
        <v>3</v>
      </c>
    </row>
    <row r="281" spans="1:20" s="26" customFormat="1" x14ac:dyDescent="0.25">
      <c r="A281" s="16">
        <v>214122</v>
      </c>
      <c r="B281" s="30" t="s">
        <v>1419</v>
      </c>
      <c r="C281" s="20" t="s">
        <v>647</v>
      </c>
      <c r="D281" s="20" t="s">
        <v>724</v>
      </c>
      <c r="E281" s="20" t="s">
        <v>2093</v>
      </c>
      <c r="F281" s="20" t="s">
        <v>2094</v>
      </c>
      <c r="G281" s="21">
        <v>20.100000000000001</v>
      </c>
      <c r="H281" s="16">
        <v>26</v>
      </c>
      <c r="I281" s="16"/>
      <c r="J281" s="17">
        <v>522.6</v>
      </c>
      <c r="K281" s="22"/>
      <c r="L281" s="23"/>
      <c r="M281" s="23">
        <v>0</v>
      </c>
      <c r="N281" s="19">
        <v>40.200000000000003</v>
      </c>
      <c r="O281" s="19">
        <v>-100.5</v>
      </c>
      <c r="P281" s="48">
        <v>100.5</v>
      </c>
      <c r="Q281" s="17">
        <v>0</v>
      </c>
      <c r="R281" s="24">
        <v>522.6</v>
      </c>
      <c r="S281" s="18" t="s">
        <v>28</v>
      </c>
      <c r="T281" s="25">
        <v>3</v>
      </c>
    </row>
    <row r="282" spans="1:20" s="26" customFormat="1" x14ac:dyDescent="0.25">
      <c r="A282" s="16">
        <v>214387</v>
      </c>
      <c r="B282" s="30" t="s">
        <v>174</v>
      </c>
      <c r="C282" s="20" t="s">
        <v>647</v>
      </c>
      <c r="D282" s="20" t="s">
        <v>722</v>
      </c>
      <c r="E282" s="20" t="s">
        <v>2095</v>
      </c>
      <c r="F282" s="20" t="s">
        <v>2096</v>
      </c>
      <c r="G282" s="21">
        <v>18.8</v>
      </c>
      <c r="H282" s="16">
        <v>26</v>
      </c>
      <c r="I282" s="16"/>
      <c r="J282" s="17">
        <v>488.8</v>
      </c>
      <c r="K282" s="22"/>
      <c r="L282" s="23"/>
      <c r="M282" s="23">
        <v>0</v>
      </c>
      <c r="N282" s="19">
        <v>37.6</v>
      </c>
      <c r="O282" s="19">
        <v>-94</v>
      </c>
      <c r="P282" s="48">
        <v>94</v>
      </c>
      <c r="Q282" s="17">
        <v>0</v>
      </c>
      <c r="R282" s="24">
        <v>488.8</v>
      </c>
      <c r="S282" s="18" t="s">
        <v>28</v>
      </c>
      <c r="T282" s="25">
        <v>3</v>
      </c>
    </row>
    <row r="283" spans="1:20" s="26" customFormat="1" x14ac:dyDescent="0.25">
      <c r="A283" s="16">
        <v>216170</v>
      </c>
      <c r="B283" s="30" t="s">
        <v>175</v>
      </c>
      <c r="C283" s="20" t="s">
        <v>647</v>
      </c>
      <c r="D283" s="20" t="s">
        <v>720</v>
      </c>
      <c r="E283" s="20" t="s">
        <v>2097</v>
      </c>
      <c r="F283" s="20" t="s">
        <v>2098</v>
      </c>
      <c r="G283" s="21">
        <v>13.4</v>
      </c>
      <c r="H283" s="16">
        <v>26</v>
      </c>
      <c r="I283" s="16"/>
      <c r="J283" s="17">
        <v>348.40000000000003</v>
      </c>
      <c r="K283" s="22"/>
      <c r="L283" s="23"/>
      <c r="M283" s="23">
        <v>0</v>
      </c>
      <c r="N283" s="19">
        <v>26.8</v>
      </c>
      <c r="O283" s="19">
        <v>-67</v>
      </c>
      <c r="P283" s="48">
        <v>67</v>
      </c>
      <c r="Q283" s="17">
        <v>0</v>
      </c>
      <c r="R283" s="24">
        <v>348.40000000000003</v>
      </c>
      <c r="S283" s="18" t="s">
        <v>28</v>
      </c>
      <c r="T283" s="25">
        <v>3</v>
      </c>
    </row>
    <row r="284" spans="1:20" s="26" customFormat="1" x14ac:dyDescent="0.25">
      <c r="A284" s="16">
        <v>216582</v>
      </c>
      <c r="B284" s="30" t="s">
        <v>176</v>
      </c>
      <c r="C284" s="20" t="s">
        <v>647</v>
      </c>
      <c r="D284" s="20" t="s">
        <v>720</v>
      </c>
      <c r="E284" s="20" t="s">
        <v>2099</v>
      </c>
      <c r="F284" s="20" t="s">
        <v>2100</v>
      </c>
      <c r="G284" s="21">
        <v>13.4</v>
      </c>
      <c r="H284" s="16">
        <v>26</v>
      </c>
      <c r="I284" s="16"/>
      <c r="J284" s="17">
        <v>348.40000000000003</v>
      </c>
      <c r="K284" s="22"/>
      <c r="L284" s="23"/>
      <c r="M284" s="23">
        <v>0</v>
      </c>
      <c r="N284" s="19">
        <v>26.8</v>
      </c>
      <c r="O284" s="19">
        <v>-67</v>
      </c>
      <c r="P284" s="48">
        <v>67</v>
      </c>
      <c r="Q284" s="17">
        <v>0</v>
      </c>
      <c r="R284" s="24">
        <v>348.40000000000003</v>
      </c>
      <c r="S284" s="18" t="s">
        <v>28</v>
      </c>
      <c r="T284" s="25">
        <v>3</v>
      </c>
    </row>
    <row r="285" spans="1:20" s="26" customFormat="1" x14ac:dyDescent="0.25">
      <c r="A285" s="16">
        <v>218071</v>
      </c>
      <c r="B285" s="30" t="s">
        <v>1045</v>
      </c>
      <c r="C285" s="20" t="s">
        <v>647</v>
      </c>
      <c r="D285" s="20" t="s">
        <v>720</v>
      </c>
      <c r="E285" s="20" t="s">
        <v>2101</v>
      </c>
      <c r="F285" s="20" t="s">
        <v>2102</v>
      </c>
      <c r="G285" s="21">
        <v>13.4</v>
      </c>
      <c r="H285" s="16">
        <v>26</v>
      </c>
      <c r="I285" s="16"/>
      <c r="J285" s="17">
        <v>348.40000000000003</v>
      </c>
      <c r="K285" s="22"/>
      <c r="L285" s="23"/>
      <c r="M285" s="23">
        <v>0</v>
      </c>
      <c r="N285" s="19">
        <v>26.8</v>
      </c>
      <c r="O285" s="19">
        <v>-67</v>
      </c>
      <c r="P285" s="48">
        <v>67</v>
      </c>
      <c r="Q285" s="17">
        <v>0</v>
      </c>
      <c r="R285" s="24">
        <v>348.40000000000003</v>
      </c>
      <c r="S285" s="18" t="s">
        <v>28</v>
      </c>
      <c r="T285" s="25">
        <v>3</v>
      </c>
    </row>
    <row r="286" spans="1:20" s="26" customFormat="1" x14ac:dyDescent="0.25">
      <c r="A286" s="16">
        <v>225983</v>
      </c>
      <c r="B286" s="30" t="s">
        <v>177</v>
      </c>
      <c r="C286" s="20" t="s">
        <v>647</v>
      </c>
      <c r="D286" s="20" t="s">
        <v>721</v>
      </c>
      <c r="E286" s="20" t="s">
        <v>2103</v>
      </c>
      <c r="F286" s="20" t="s">
        <v>2104</v>
      </c>
      <c r="G286" s="21">
        <v>18.8</v>
      </c>
      <c r="H286" s="16">
        <v>26</v>
      </c>
      <c r="I286" s="16"/>
      <c r="J286" s="17">
        <v>488.8</v>
      </c>
      <c r="K286" s="22"/>
      <c r="L286" s="23">
        <v>5</v>
      </c>
      <c r="M286" s="23">
        <v>5</v>
      </c>
      <c r="N286" s="19">
        <v>37.6</v>
      </c>
      <c r="O286" s="19">
        <v>-89</v>
      </c>
      <c r="P286" s="48">
        <v>94</v>
      </c>
      <c r="Q286" s="17">
        <v>0</v>
      </c>
      <c r="R286" s="24">
        <v>488.8</v>
      </c>
      <c r="S286" s="18" t="s">
        <v>28</v>
      </c>
      <c r="T286" s="25">
        <v>3</v>
      </c>
    </row>
    <row r="287" spans="1:20" s="26" customFormat="1" x14ac:dyDescent="0.25">
      <c r="A287" s="16">
        <v>232022</v>
      </c>
      <c r="B287" s="30" t="s">
        <v>818</v>
      </c>
      <c r="C287" s="20" t="s">
        <v>647</v>
      </c>
      <c r="D287" s="20" t="s">
        <v>724</v>
      </c>
      <c r="E287" s="20" t="s">
        <v>2105</v>
      </c>
      <c r="F287" s="20" t="s">
        <v>2106</v>
      </c>
      <c r="G287" s="21">
        <v>13.4</v>
      </c>
      <c r="H287" s="16">
        <v>26</v>
      </c>
      <c r="I287" s="16"/>
      <c r="J287" s="17">
        <v>348.40000000000003</v>
      </c>
      <c r="K287" s="22"/>
      <c r="L287" s="23"/>
      <c r="M287" s="23">
        <v>0</v>
      </c>
      <c r="N287" s="19">
        <v>26.8</v>
      </c>
      <c r="O287" s="19">
        <v>-67</v>
      </c>
      <c r="P287" s="48">
        <v>67</v>
      </c>
      <c r="Q287" s="17">
        <v>0</v>
      </c>
      <c r="R287" s="24">
        <v>348.40000000000003</v>
      </c>
      <c r="S287" s="18" t="s">
        <v>28</v>
      </c>
      <c r="T287" s="25">
        <v>3</v>
      </c>
    </row>
    <row r="288" spans="1:20" s="26" customFormat="1" x14ac:dyDescent="0.25">
      <c r="A288" s="16">
        <v>234929</v>
      </c>
      <c r="B288" s="30" t="s">
        <v>1420</v>
      </c>
      <c r="C288" s="20" t="s">
        <v>647</v>
      </c>
      <c r="D288" s="20" t="s">
        <v>721</v>
      </c>
      <c r="E288" s="20">
        <v>0</v>
      </c>
      <c r="F288" s="20" t="s">
        <v>4181</v>
      </c>
      <c r="G288" s="21">
        <v>13.4</v>
      </c>
      <c r="H288" s="16">
        <v>0</v>
      </c>
      <c r="I288" s="16"/>
      <c r="J288" s="17">
        <v>0</v>
      </c>
      <c r="K288" s="22"/>
      <c r="L288" s="23"/>
      <c r="M288" s="23">
        <v>0</v>
      </c>
      <c r="N288" s="19">
        <v>26.8</v>
      </c>
      <c r="O288" s="19">
        <v>-67</v>
      </c>
      <c r="P288" s="48">
        <v>67</v>
      </c>
      <c r="Q288" s="17">
        <v>0</v>
      </c>
      <c r="R288" s="24">
        <v>0</v>
      </c>
      <c r="S288" s="18" t="s">
        <v>12</v>
      </c>
      <c r="T288" s="25">
        <v>3</v>
      </c>
    </row>
    <row r="289" spans="1:20" s="26" customFormat="1" x14ac:dyDescent="0.25">
      <c r="A289" s="16">
        <v>4177</v>
      </c>
      <c r="B289" s="30" t="s">
        <v>178</v>
      </c>
      <c r="C289" s="20" t="s">
        <v>629</v>
      </c>
      <c r="D289" s="20" t="s">
        <v>682</v>
      </c>
      <c r="E289" s="20" t="s">
        <v>2107</v>
      </c>
      <c r="F289" s="20" t="s">
        <v>2108</v>
      </c>
      <c r="G289" s="21">
        <v>18.8</v>
      </c>
      <c r="H289" s="16">
        <v>26</v>
      </c>
      <c r="I289" s="16"/>
      <c r="J289" s="17">
        <v>488.8</v>
      </c>
      <c r="K289" s="22"/>
      <c r="L289" s="23"/>
      <c r="M289" s="23">
        <v>0</v>
      </c>
      <c r="N289" s="19">
        <v>37.6</v>
      </c>
      <c r="O289" s="19">
        <v>-94</v>
      </c>
      <c r="P289" s="48">
        <v>94</v>
      </c>
      <c r="Q289" s="17">
        <v>0</v>
      </c>
      <c r="R289" s="24">
        <v>488.8</v>
      </c>
      <c r="S289" s="18" t="s">
        <v>28</v>
      </c>
      <c r="T289" s="25">
        <v>3</v>
      </c>
    </row>
    <row r="290" spans="1:20" s="26" customFormat="1" x14ac:dyDescent="0.25">
      <c r="A290" s="16">
        <v>200011</v>
      </c>
      <c r="B290" s="30" t="s">
        <v>179</v>
      </c>
      <c r="C290" s="20" t="s">
        <v>648</v>
      </c>
      <c r="D290" s="20" t="s">
        <v>737</v>
      </c>
      <c r="E290" s="20" t="s">
        <v>2109</v>
      </c>
      <c r="F290" s="20" t="s">
        <v>2110</v>
      </c>
      <c r="G290" s="21">
        <v>10</v>
      </c>
      <c r="H290" s="16">
        <v>26</v>
      </c>
      <c r="I290" s="16"/>
      <c r="J290" s="17">
        <v>260</v>
      </c>
      <c r="K290" s="22"/>
      <c r="L290" s="23"/>
      <c r="M290" s="23">
        <v>0</v>
      </c>
      <c r="N290" s="19">
        <v>20</v>
      </c>
      <c r="O290" s="19">
        <v>-50</v>
      </c>
      <c r="P290" s="48">
        <v>50</v>
      </c>
      <c r="Q290" s="17">
        <v>0</v>
      </c>
      <c r="R290" s="24">
        <v>260</v>
      </c>
      <c r="S290" s="18" t="s">
        <v>28</v>
      </c>
      <c r="T290" s="25">
        <v>3</v>
      </c>
    </row>
    <row r="291" spans="1:20" s="26" customFormat="1" x14ac:dyDescent="0.25">
      <c r="A291" s="16">
        <v>231942</v>
      </c>
      <c r="B291" s="30" t="s">
        <v>820</v>
      </c>
      <c r="C291" s="20" t="s">
        <v>648</v>
      </c>
      <c r="D291" s="20" t="s">
        <v>718</v>
      </c>
      <c r="E291" s="20" t="s">
        <v>2111</v>
      </c>
      <c r="F291" s="20" t="s">
        <v>2112</v>
      </c>
      <c r="G291" s="21">
        <v>18.8</v>
      </c>
      <c r="H291" s="16">
        <v>26</v>
      </c>
      <c r="I291" s="16">
        <v>10</v>
      </c>
      <c r="J291" s="17">
        <v>300.8</v>
      </c>
      <c r="K291" s="22"/>
      <c r="L291" s="23"/>
      <c r="M291" s="23">
        <v>0</v>
      </c>
      <c r="N291" s="19">
        <v>37.6</v>
      </c>
      <c r="O291" s="19">
        <v>-94</v>
      </c>
      <c r="P291" s="48">
        <v>94</v>
      </c>
      <c r="Q291" s="17">
        <v>0</v>
      </c>
      <c r="R291" s="24">
        <v>300.8</v>
      </c>
      <c r="S291" s="18" t="s">
        <v>28</v>
      </c>
      <c r="T291" s="25">
        <v>3</v>
      </c>
    </row>
    <row r="292" spans="1:20" s="26" customFormat="1" x14ac:dyDescent="0.25">
      <c r="A292" s="16">
        <v>234472</v>
      </c>
      <c r="B292" s="30" t="s">
        <v>1278</v>
      </c>
      <c r="C292" s="20" t="s">
        <v>648</v>
      </c>
      <c r="D292" s="20" t="s">
        <v>718</v>
      </c>
      <c r="E292" s="20" t="s">
        <v>2113</v>
      </c>
      <c r="F292" s="20" t="s">
        <v>2114</v>
      </c>
      <c r="G292" s="21">
        <v>13.4</v>
      </c>
      <c r="H292" s="16">
        <v>26</v>
      </c>
      <c r="I292" s="16"/>
      <c r="J292" s="17">
        <v>348.40000000000003</v>
      </c>
      <c r="K292" s="22"/>
      <c r="L292" s="23"/>
      <c r="M292" s="23">
        <v>0</v>
      </c>
      <c r="N292" s="19">
        <v>26.8</v>
      </c>
      <c r="O292" s="19">
        <v>-67</v>
      </c>
      <c r="P292" s="48">
        <v>67</v>
      </c>
      <c r="Q292" s="17">
        <v>0</v>
      </c>
      <c r="R292" s="24">
        <v>348.40000000000003</v>
      </c>
      <c r="S292" s="18" t="s">
        <v>28</v>
      </c>
      <c r="T292" s="25">
        <v>3</v>
      </c>
    </row>
    <row r="293" spans="1:20" s="26" customFormat="1" x14ac:dyDescent="0.25">
      <c r="A293" s="65">
        <v>234643</v>
      </c>
      <c r="B293" s="30" t="s">
        <v>1306</v>
      </c>
      <c r="C293" s="20" t="s">
        <v>648</v>
      </c>
      <c r="D293" s="20" t="s">
        <v>718</v>
      </c>
      <c r="E293" s="20">
        <v>0</v>
      </c>
      <c r="F293" s="20" t="s">
        <v>4181</v>
      </c>
      <c r="G293" s="21">
        <v>13.4</v>
      </c>
      <c r="H293" s="16">
        <v>0</v>
      </c>
      <c r="I293" s="16"/>
      <c r="J293" s="17">
        <v>0</v>
      </c>
      <c r="K293" s="22"/>
      <c r="L293" s="23"/>
      <c r="M293" s="23">
        <v>0</v>
      </c>
      <c r="N293" s="19">
        <v>26.8</v>
      </c>
      <c r="O293" s="19">
        <v>-67</v>
      </c>
      <c r="P293" s="48">
        <v>67</v>
      </c>
      <c r="Q293" s="17">
        <v>0</v>
      </c>
      <c r="R293" s="24">
        <v>0</v>
      </c>
      <c r="S293" s="18" t="s">
        <v>12</v>
      </c>
      <c r="T293" s="25">
        <v>3</v>
      </c>
    </row>
    <row r="294" spans="1:20" s="26" customFormat="1" x14ac:dyDescent="0.25">
      <c r="A294" s="16">
        <v>234695</v>
      </c>
      <c r="B294" s="30" t="s">
        <v>1346</v>
      </c>
      <c r="C294" s="20" t="s">
        <v>648</v>
      </c>
      <c r="D294" s="20" t="s">
        <v>718</v>
      </c>
      <c r="E294" s="20" t="s">
        <v>2115</v>
      </c>
      <c r="F294" s="20" t="s">
        <v>2116</v>
      </c>
      <c r="G294" s="21">
        <v>13.4</v>
      </c>
      <c r="H294" s="16">
        <v>26</v>
      </c>
      <c r="I294" s="16"/>
      <c r="J294" s="17">
        <v>348.40000000000003</v>
      </c>
      <c r="K294" s="22"/>
      <c r="L294" s="23"/>
      <c r="M294" s="23">
        <v>0</v>
      </c>
      <c r="N294" s="19">
        <v>26.8</v>
      </c>
      <c r="O294" s="19">
        <v>-67</v>
      </c>
      <c r="P294" s="48">
        <v>67</v>
      </c>
      <c r="Q294" s="17">
        <v>0</v>
      </c>
      <c r="R294" s="24">
        <v>348.40000000000003</v>
      </c>
      <c r="S294" s="18" t="s">
        <v>28</v>
      </c>
      <c r="T294" s="25">
        <v>3</v>
      </c>
    </row>
    <row r="295" spans="1:20" s="26" customFormat="1" x14ac:dyDescent="0.25">
      <c r="A295" s="16">
        <v>234721</v>
      </c>
      <c r="B295" s="30" t="s">
        <v>1347</v>
      </c>
      <c r="C295" s="20" t="s">
        <v>648</v>
      </c>
      <c r="D295" s="20" t="s">
        <v>718</v>
      </c>
      <c r="E295" s="20" t="s">
        <v>2117</v>
      </c>
      <c r="F295" s="20" t="s">
        <v>2118</v>
      </c>
      <c r="G295" s="21">
        <v>13.4</v>
      </c>
      <c r="H295" s="16">
        <v>26</v>
      </c>
      <c r="I295" s="16"/>
      <c r="J295" s="17">
        <v>348.40000000000003</v>
      </c>
      <c r="K295" s="22"/>
      <c r="L295" s="23"/>
      <c r="M295" s="23">
        <v>0</v>
      </c>
      <c r="N295" s="19">
        <v>26.8</v>
      </c>
      <c r="O295" s="19">
        <v>-67</v>
      </c>
      <c r="P295" s="48">
        <v>67</v>
      </c>
      <c r="Q295" s="17">
        <v>0</v>
      </c>
      <c r="R295" s="24">
        <v>348.40000000000003</v>
      </c>
      <c r="S295" s="18" t="s">
        <v>28</v>
      </c>
      <c r="T295" s="25">
        <v>3</v>
      </c>
    </row>
    <row r="296" spans="1:20" s="26" customFormat="1" x14ac:dyDescent="0.25">
      <c r="A296" s="16">
        <v>216088</v>
      </c>
      <c r="B296" s="30" t="s">
        <v>182</v>
      </c>
      <c r="C296" s="20" t="s">
        <v>650</v>
      </c>
      <c r="D296" s="20" t="s">
        <v>738</v>
      </c>
      <c r="E296" s="20" t="s">
        <v>2119</v>
      </c>
      <c r="F296" s="20" t="s">
        <v>2120</v>
      </c>
      <c r="G296" s="21">
        <v>18.8</v>
      </c>
      <c r="H296" s="16">
        <v>26</v>
      </c>
      <c r="I296" s="16"/>
      <c r="J296" s="17">
        <v>488.8</v>
      </c>
      <c r="K296" s="22"/>
      <c r="L296" s="23">
        <v>18.8</v>
      </c>
      <c r="M296" s="23">
        <v>18.8</v>
      </c>
      <c r="N296" s="19">
        <v>37.6</v>
      </c>
      <c r="O296" s="19">
        <v>-75.2</v>
      </c>
      <c r="P296" s="48">
        <v>94</v>
      </c>
      <c r="Q296" s="17">
        <v>0</v>
      </c>
      <c r="R296" s="24">
        <v>488.8</v>
      </c>
      <c r="S296" s="18" t="s">
        <v>28</v>
      </c>
      <c r="T296" s="25">
        <v>3</v>
      </c>
    </row>
    <row r="297" spans="1:20" s="26" customFormat="1" x14ac:dyDescent="0.25">
      <c r="A297" s="16">
        <v>225888</v>
      </c>
      <c r="B297" s="30" t="s">
        <v>1421</v>
      </c>
      <c r="C297" s="20" t="s">
        <v>650</v>
      </c>
      <c r="D297" s="20" t="s">
        <v>726</v>
      </c>
      <c r="E297" s="20" t="s">
        <v>2121</v>
      </c>
      <c r="F297" s="20" t="s">
        <v>2122</v>
      </c>
      <c r="G297" s="21">
        <v>13.4</v>
      </c>
      <c r="H297" s="16">
        <v>26</v>
      </c>
      <c r="I297" s="16"/>
      <c r="J297" s="17">
        <v>348.40000000000003</v>
      </c>
      <c r="K297" s="22"/>
      <c r="L297" s="23"/>
      <c r="M297" s="23">
        <v>0</v>
      </c>
      <c r="N297" s="19">
        <v>26.8</v>
      </c>
      <c r="O297" s="19">
        <v>-67</v>
      </c>
      <c r="P297" s="48">
        <v>67</v>
      </c>
      <c r="Q297" s="17">
        <v>0</v>
      </c>
      <c r="R297" s="24">
        <v>348.40000000000003</v>
      </c>
      <c r="S297" s="18" t="s">
        <v>28</v>
      </c>
      <c r="T297" s="25">
        <v>3</v>
      </c>
    </row>
    <row r="298" spans="1:20" s="26" customFormat="1" x14ac:dyDescent="0.25">
      <c r="A298" s="16">
        <v>225917</v>
      </c>
      <c r="B298" s="30" t="s">
        <v>180</v>
      </c>
      <c r="C298" s="20" t="s">
        <v>650</v>
      </c>
      <c r="D298" s="20" t="s">
        <v>726</v>
      </c>
      <c r="E298" s="20" t="s">
        <v>2123</v>
      </c>
      <c r="F298" s="20" t="s">
        <v>2124</v>
      </c>
      <c r="G298" s="21">
        <v>13.4</v>
      </c>
      <c r="H298" s="16">
        <v>26</v>
      </c>
      <c r="I298" s="16">
        <v>1</v>
      </c>
      <c r="J298" s="17">
        <v>335</v>
      </c>
      <c r="K298" s="22"/>
      <c r="L298" s="23">
        <v>273.7</v>
      </c>
      <c r="M298" s="23">
        <v>273.7</v>
      </c>
      <c r="N298" s="19">
        <v>26.8</v>
      </c>
      <c r="O298" s="19">
        <v>206.7</v>
      </c>
      <c r="P298" s="48">
        <v>67</v>
      </c>
      <c r="Q298" s="17">
        <v>206.7</v>
      </c>
      <c r="R298" s="24">
        <v>128.30000000000001</v>
      </c>
      <c r="S298" s="18" t="s">
        <v>11</v>
      </c>
      <c r="T298" s="25">
        <v>3</v>
      </c>
    </row>
    <row r="299" spans="1:20" s="26" customFormat="1" x14ac:dyDescent="0.25">
      <c r="A299" s="16">
        <v>3223</v>
      </c>
      <c r="B299" s="30" t="s">
        <v>183</v>
      </c>
      <c r="C299" s="20" t="s">
        <v>651</v>
      </c>
      <c r="D299" s="20" t="s">
        <v>719</v>
      </c>
      <c r="E299" s="20" t="s">
        <v>2125</v>
      </c>
      <c r="F299" s="20" t="s">
        <v>2126</v>
      </c>
      <c r="G299" s="21">
        <v>13.4</v>
      </c>
      <c r="H299" s="16">
        <v>16</v>
      </c>
      <c r="I299" s="16"/>
      <c r="J299" s="17">
        <v>214.4</v>
      </c>
      <c r="K299" s="22"/>
      <c r="L299" s="23"/>
      <c r="M299" s="23">
        <v>0</v>
      </c>
      <c r="N299" s="19">
        <v>26.8</v>
      </c>
      <c r="O299" s="19">
        <v>-67</v>
      </c>
      <c r="P299" s="48">
        <v>67</v>
      </c>
      <c r="Q299" s="17">
        <v>0</v>
      </c>
      <c r="R299" s="24">
        <v>214.4</v>
      </c>
      <c r="S299" s="18" t="s">
        <v>28</v>
      </c>
      <c r="T299" s="25">
        <v>3</v>
      </c>
    </row>
    <row r="300" spans="1:20" s="26" customFormat="1" x14ac:dyDescent="0.25">
      <c r="A300" s="16">
        <v>4018</v>
      </c>
      <c r="B300" s="30" t="s">
        <v>184</v>
      </c>
      <c r="C300" s="20" t="s">
        <v>651</v>
      </c>
      <c r="D300" s="20" t="s">
        <v>717</v>
      </c>
      <c r="E300" s="20" t="s">
        <v>2127</v>
      </c>
      <c r="F300" s="20" t="s">
        <v>2128</v>
      </c>
      <c r="G300" s="21">
        <v>18.8</v>
      </c>
      <c r="H300" s="16">
        <v>16</v>
      </c>
      <c r="I300" s="16"/>
      <c r="J300" s="17">
        <v>300.8</v>
      </c>
      <c r="K300" s="22"/>
      <c r="L300" s="23">
        <v>220</v>
      </c>
      <c r="M300" s="23">
        <v>220</v>
      </c>
      <c r="N300" s="19">
        <v>37.6</v>
      </c>
      <c r="O300" s="19">
        <v>126</v>
      </c>
      <c r="P300" s="48">
        <v>94</v>
      </c>
      <c r="Q300" s="17">
        <v>126</v>
      </c>
      <c r="R300" s="24">
        <v>174.8</v>
      </c>
      <c r="S300" s="18" t="s">
        <v>11</v>
      </c>
      <c r="T300" s="25">
        <v>3</v>
      </c>
    </row>
    <row r="301" spans="1:20" s="26" customFormat="1" x14ac:dyDescent="0.25">
      <c r="A301" s="16">
        <v>202054</v>
      </c>
      <c r="B301" s="30" t="s">
        <v>185</v>
      </c>
      <c r="C301" s="20" t="s">
        <v>651</v>
      </c>
      <c r="D301" s="20" t="s">
        <v>719</v>
      </c>
      <c r="E301" s="20" t="s">
        <v>2129</v>
      </c>
      <c r="F301" s="20" t="s">
        <v>2130</v>
      </c>
      <c r="G301" s="21">
        <v>18.8</v>
      </c>
      <c r="H301" s="16">
        <v>16</v>
      </c>
      <c r="I301" s="16"/>
      <c r="J301" s="17">
        <v>300.8</v>
      </c>
      <c r="K301" s="22"/>
      <c r="L301" s="23"/>
      <c r="M301" s="23">
        <v>0</v>
      </c>
      <c r="N301" s="19">
        <v>37.6</v>
      </c>
      <c r="O301" s="19">
        <v>-94</v>
      </c>
      <c r="P301" s="48">
        <v>94</v>
      </c>
      <c r="Q301" s="17">
        <v>0</v>
      </c>
      <c r="R301" s="24">
        <v>300.8</v>
      </c>
      <c r="S301" s="18" t="s">
        <v>28</v>
      </c>
      <c r="T301" s="25">
        <v>3</v>
      </c>
    </row>
    <row r="302" spans="1:20" s="26" customFormat="1" x14ac:dyDescent="0.25">
      <c r="A302" s="16">
        <v>209934</v>
      </c>
      <c r="B302" s="30" t="s">
        <v>186</v>
      </c>
      <c r="C302" s="20" t="s">
        <v>651</v>
      </c>
      <c r="D302" s="20" t="s">
        <v>719</v>
      </c>
      <c r="E302" s="20" t="s">
        <v>2131</v>
      </c>
      <c r="F302" s="20" t="s">
        <v>2132</v>
      </c>
      <c r="G302" s="21">
        <v>13.4</v>
      </c>
      <c r="H302" s="16">
        <v>16</v>
      </c>
      <c r="I302" s="16"/>
      <c r="J302" s="17">
        <v>214.4</v>
      </c>
      <c r="K302" s="22"/>
      <c r="L302" s="23"/>
      <c r="M302" s="23">
        <v>0</v>
      </c>
      <c r="N302" s="19">
        <v>26.8</v>
      </c>
      <c r="O302" s="19">
        <v>-67</v>
      </c>
      <c r="P302" s="48">
        <v>67</v>
      </c>
      <c r="Q302" s="17">
        <v>0</v>
      </c>
      <c r="R302" s="24">
        <v>214.4</v>
      </c>
      <c r="S302" s="18" t="s">
        <v>28</v>
      </c>
      <c r="T302" s="25">
        <v>3</v>
      </c>
    </row>
    <row r="303" spans="1:20" s="26" customFormat="1" x14ac:dyDescent="0.25">
      <c r="A303" s="65">
        <v>214190</v>
      </c>
      <c r="B303" s="30" t="s">
        <v>1422</v>
      </c>
      <c r="C303" s="20" t="s">
        <v>651</v>
      </c>
      <c r="D303" s="20" t="s">
        <v>717</v>
      </c>
      <c r="E303" s="20" t="s">
        <v>2133</v>
      </c>
      <c r="F303" s="20" t="s">
        <v>2134</v>
      </c>
      <c r="G303" s="21">
        <v>18.8</v>
      </c>
      <c r="H303" s="16">
        <v>16</v>
      </c>
      <c r="I303" s="16"/>
      <c r="J303" s="17">
        <v>300.8</v>
      </c>
      <c r="K303" s="22"/>
      <c r="L303" s="23"/>
      <c r="M303" s="23">
        <v>0</v>
      </c>
      <c r="N303" s="19">
        <v>37.6</v>
      </c>
      <c r="O303" s="19">
        <v>-94</v>
      </c>
      <c r="P303" s="48">
        <v>94</v>
      </c>
      <c r="Q303" s="17">
        <v>0</v>
      </c>
      <c r="R303" s="24">
        <v>300.8</v>
      </c>
      <c r="S303" s="18" t="s">
        <v>28</v>
      </c>
      <c r="T303" s="25">
        <v>3</v>
      </c>
    </row>
    <row r="304" spans="1:20" s="26" customFormat="1" x14ac:dyDescent="0.25">
      <c r="A304" s="16">
        <v>215130</v>
      </c>
      <c r="B304" s="30" t="s">
        <v>1046</v>
      </c>
      <c r="C304" s="20" t="s">
        <v>651</v>
      </c>
      <c r="D304" s="20" t="s">
        <v>719</v>
      </c>
      <c r="E304" s="20" t="s">
        <v>2135</v>
      </c>
      <c r="F304" s="20" t="s">
        <v>2136</v>
      </c>
      <c r="G304" s="21">
        <v>13.4</v>
      </c>
      <c r="H304" s="16">
        <v>16</v>
      </c>
      <c r="I304" s="16"/>
      <c r="J304" s="17">
        <v>214.4</v>
      </c>
      <c r="K304" s="22"/>
      <c r="L304" s="23">
        <v>26.1</v>
      </c>
      <c r="M304" s="23">
        <v>26.1</v>
      </c>
      <c r="N304" s="19">
        <v>26.8</v>
      </c>
      <c r="O304" s="19">
        <v>-40.9</v>
      </c>
      <c r="P304" s="48">
        <v>67</v>
      </c>
      <c r="Q304" s="17">
        <v>0</v>
      </c>
      <c r="R304" s="24">
        <v>214.4</v>
      </c>
      <c r="S304" s="18" t="s">
        <v>28</v>
      </c>
      <c r="T304" s="25">
        <v>3</v>
      </c>
    </row>
    <row r="305" spans="1:20" s="26" customFormat="1" x14ac:dyDescent="0.25">
      <c r="A305" s="16">
        <v>216418</v>
      </c>
      <c r="B305" s="30" t="s">
        <v>1157</v>
      </c>
      <c r="C305" s="20" t="s">
        <v>651</v>
      </c>
      <c r="D305" s="20" t="s">
        <v>727</v>
      </c>
      <c r="E305" s="20" t="s">
        <v>2137</v>
      </c>
      <c r="F305" s="20" t="s">
        <v>2138</v>
      </c>
      <c r="G305" s="21">
        <v>18.8</v>
      </c>
      <c r="H305" s="16">
        <v>26</v>
      </c>
      <c r="I305" s="16"/>
      <c r="J305" s="17">
        <v>488.8</v>
      </c>
      <c r="K305" s="22"/>
      <c r="L305" s="23"/>
      <c r="M305" s="23">
        <v>0</v>
      </c>
      <c r="N305" s="19">
        <v>37.6</v>
      </c>
      <c r="O305" s="19">
        <v>-94</v>
      </c>
      <c r="P305" s="48">
        <v>94</v>
      </c>
      <c r="Q305" s="17">
        <v>0</v>
      </c>
      <c r="R305" s="24">
        <v>488.8</v>
      </c>
      <c r="S305" s="18" t="s">
        <v>28</v>
      </c>
      <c r="T305" s="25">
        <v>3</v>
      </c>
    </row>
    <row r="306" spans="1:20" s="26" customFormat="1" x14ac:dyDescent="0.25">
      <c r="A306" s="16">
        <v>217032</v>
      </c>
      <c r="B306" s="30" t="s">
        <v>1047</v>
      </c>
      <c r="C306" s="20" t="s">
        <v>651</v>
      </c>
      <c r="D306" s="20" t="s">
        <v>719</v>
      </c>
      <c r="E306" s="20" t="s">
        <v>2139</v>
      </c>
      <c r="F306" s="20" t="s">
        <v>2140</v>
      </c>
      <c r="G306" s="21">
        <v>18.8</v>
      </c>
      <c r="H306" s="16">
        <v>16</v>
      </c>
      <c r="I306" s="16"/>
      <c r="J306" s="17">
        <v>300.8</v>
      </c>
      <c r="K306" s="22"/>
      <c r="L306" s="23"/>
      <c r="M306" s="23">
        <v>0</v>
      </c>
      <c r="N306" s="19">
        <v>37.6</v>
      </c>
      <c r="O306" s="19">
        <v>-94</v>
      </c>
      <c r="P306" s="48">
        <v>94</v>
      </c>
      <c r="Q306" s="17">
        <v>0</v>
      </c>
      <c r="R306" s="24">
        <v>300.8</v>
      </c>
      <c r="S306" s="18" t="s">
        <v>28</v>
      </c>
      <c r="T306" s="25">
        <v>3</v>
      </c>
    </row>
    <row r="307" spans="1:20" s="26" customFormat="1" x14ac:dyDescent="0.25">
      <c r="A307" s="16">
        <v>219072</v>
      </c>
      <c r="B307" s="30" t="s">
        <v>188</v>
      </c>
      <c r="C307" s="20" t="s">
        <v>651</v>
      </c>
      <c r="D307" s="20" t="s">
        <v>716</v>
      </c>
      <c r="E307" s="20" t="s">
        <v>2141</v>
      </c>
      <c r="F307" s="20" t="s">
        <v>2142</v>
      </c>
      <c r="G307" s="21">
        <v>13.4</v>
      </c>
      <c r="H307" s="16">
        <v>16</v>
      </c>
      <c r="I307" s="16"/>
      <c r="J307" s="17">
        <v>214.4</v>
      </c>
      <c r="K307" s="22"/>
      <c r="L307" s="23"/>
      <c r="M307" s="23">
        <v>0</v>
      </c>
      <c r="N307" s="19">
        <v>26.8</v>
      </c>
      <c r="O307" s="19">
        <v>-67</v>
      </c>
      <c r="P307" s="48">
        <v>67</v>
      </c>
      <c r="Q307" s="17">
        <v>0</v>
      </c>
      <c r="R307" s="24">
        <v>214.4</v>
      </c>
      <c r="S307" s="18" t="s">
        <v>28</v>
      </c>
      <c r="T307" s="25">
        <v>3</v>
      </c>
    </row>
    <row r="308" spans="1:20" s="26" customFormat="1" x14ac:dyDescent="0.25">
      <c r="A308" s="16">
        <v>219300</v>
      </c>
      <c r="B308" s="30" t="s">
        <v>189</v>
      </c>
      <c r="C308" s="20" t="s">
        <v>651</v>
      </c>
      <c r="D308" s="20" t="s">
        <v>719</v>
      </c>
      <c r="E308" s="20" t="s">
        <v>2143</v>
      </c>
      <c r="F308" s="20" t="s">
        <v>2144</v>
      </c>
      <c r="G308" s="21">
        <v>18.8</v>
      </c>
      <c r="H308" s="16">
        <v>16</v>
      </c>
      <c r="I308" s="16"/>
      <c r="J308" s="17">
        <v>300.8</v>
      </c>
      <c r="K308" s="22"/>
      <c r="L308" s="23"/>
      <c r="M308" s="23">
        <v>0</v>
      </c>
      <c r="N308" s="19">
        <v>37.6</v>
      </c>
      <c r="O308" s="19">
        <v>-94</v>
      </c>
      <c r="P308" s="48">
        <v>94</v>
      </c>
      <c r="Q308" s="17">
        <v>0</v>
      </c>
      <c r="R308" s="24">
        <v>300.8</v>
      </c>
      <c r="S308" s="18" t="s">
        <v>28</v>
      </c>
      <c r="T308" s="25">
        <v>3</v>
      </c>
    </row>
    <row r="309" spans="1:20" s="26" customFormat="1" x14ac:dyDescent="0.25">
      <c r="A309" s="16">
        <v>222721</v>
      </c>
      <c r="B309" s="30" t="s">
        <v>1048</v>
      </c>
      <c r="C309" s="20" t="s">
        <v>651</v>
      </c>
      <c r="D309" s="20" t="s">
        <v>717</v>
      </c>
      <c r="E309" s="20" t="s">
        <v>2145</v>
      </c>
      <c r="F309" s="20" t="s">
        <v>2146</v>
      </c>
      <c r="G309" s="21">
        <v>18.8</v>
      </c>
      <c r="H309" s="16">
        <v>16</v>
      </c>
      <c r="I309" s="16"/>
      <c r="J309" s="17">
        <v>300.8</v>
      </c>
      <c r="K309" s="22"/>
      <c r="L309" s="23">
        <v>204.2</v>
      </c>
      <c r="M309" s="23">
        <v>204.2</v>
      </c>
      <c r="N309" s="19">
        <v>37.6</v>
      </c>
      <c r="O309" s="19">
        <v>110.19999999999999</v>
      </c>
      <c r="P309" s="48">
        <v>94</v>
      </c>
      <c r="Q309" s="17">
        <v>110.19999999999999</v>
      </c>
      <c r="R309" s="24">
        <v>190.60000000000002</v>
      </c>
      <c r="S309" s="18" t="s">
        <v>11</v>
      </c>
      <c r="T309" s="25">
        <v>3</v>
      </c>
    </row>
    <row r="310" spans="1:20" s="26" customFormat="1" x14ac:dyDescent="0.25">
      <c r="A310" s="16">
        <v>224580</v>
      </c>
      <c r="B310" s="30" t="s">
        <v>190</v>
      </c>
      <c r="C310" s="20" t="s">
        <v>651</v>
      </c>
      <c r="D310" s="20" t="s">
        <v>717</v>
      </c>
      <c r="E310" s="20" t="s">
        <v>2147</v>
      </c>
      <c r="F310" s="20" t="s">
        <v>2148</v>
      </c>
      <c r="G310" s="21">
        <v>13.4</v>
      </c>
      <c r="H310" s="16">
        <v>16</v>
      </c>
      <c r="I310" s="16">
        <v>3</v>
      </c>
      <c r="J310" s="17">
        <v>174.20000000000002</v>
      </c>
      <c r="K310" s="22"/>
      <c r="L310" s="23"/>
      <c r="M310" s="23">
        <v>0</v>
      </c>
      <c r="N310" s="19">
        <v>26.8</v>
      </c>
      <c r="O310" s="19">
        <v>-67</v>
      </c>
      <c r="P310" s="48">
        <v>67</v>
      </c>
      <c r="Q310" s="17">
        <v>0</v>
      </c>
      <c r="R310" s="24">
        <v>174.20000000000002</v>
      </c>
      <c r="S310" s="18" t="s">
        <v>28</v>
      </c>
      <c r="T310" s="25">
        <v>3</v>
      </c>
    </row>
    <row r="311" spans="1:20" s="26" customFormat="1" x14ac:dyDescent="0.25">
      <c r="A311" s="16">
        <v>226818</v>
      </c>
      <c r="B311" s="30" t="s">
        <v>191</v>
      </c>
      <c r="C311" s="20" t="s">
        <v>651</v>
      </c>
      <c r="D311" s="20" t="s">
        <v>719</v>
      </c>
      <c r="E311" s="20" t="s">
        <v>2149</v>
      </c>
      <c r="F311" s="20" t="s">
        <v>2150</v>
      </c>
      <c r="G311" s="21">
        <v>18.8</v>
      </c>
      <c r="H311" s="16">
        <v>16</v>
      </c>
      <c r="I311" s="16"/>
      <c r="J311" s="17">
        <v>300.8</v>
      </c>
      <c r="K311" s="22"/>
      <c r="L311" s="23"/>
      <c r="M311" s="23">
        <v>0</v>
      </c>
      <c r="N311" s="19">
        <v>37.6</v>
      </c>
      <c r="O311" s="19">
        <v>-94</v>
      </c>
      <c r="P311" s="48">
        <v>94</v>
      </c>
      <c r="Q311" s="17">
        <v>0</v>
      </c>
      <c r="R311" s="24">
        <v>300.8</v>
      </c>
      <c r="S311" s="18" t="s">
        <v>28</v>
      </c>
      <c r="T311" s="25">
        <v>3</v>
      </c>
    </row>
    <row r="312" spans="1:20" s="26" customFormat="1" x14ac:dyDescent="0.25">
      <c r="A312" s="16">
        <v>228543</v>
      </c>
      <c r="B312" s="30" t="s">
        <v>225</v>
      </c>
      <c r="C312" s="20" t="s">
        <v>651</v>
      </c>
      <c r="D312" s="20" t="s">
        <v>717</v>
      </c>
      <c r="E312" s="20" t="s">
        <v>2151</v>
      </c>
      <c r="F312" s="20" t="s">
        <v>2152</v>
      </c>
      <c r="G312" s="21">
        <v>18.8</v>
      </c>
      <c r="H312" s="16">
        <v>16</v>
      </c>
      <c r="I312" s="16"/>
      <c r="J312" s="17">
        <v>300.8</v>
      </c>
      <c r="K312" s="22"/>
      <c r="L312" s="23"/>
      <c r="M312" s="23">
        <v>0</v>
      </c>
      <c r="N312" s="19">
        <v>37.6</v>
      </c>
      <c r="O312" s="19">
        <v>-94</v>
      </c>
      <c r="P312" s="48">
        <v>94</v>
      </c>
      <c r="Q312" s="17">
        <v>0</v>
      </c>
      <c r="R312" s="24">
        <v>300.8</v>
      </c>
      <c r="S312" s="18" t="s">
        <v>28</v>
      </c>
      <c r="T312" s="25">
        <v>3</v>
      </c>
    </row>
    <row r="313" spans="1:20" s="26" customFormat="1" x14ac:dyDescent="0.25">
      <c r="A313" s="65">
        <v>228576</v>
      </c>
      <c r="B313" s="30" t="s">
        <v>192</v>
      </c>
      <c r="C313" s="20" t="s">
        <v>651</v>
      </c>
      <c r="D313" s="20" t="s">
        <v>717</v>
      </c>
      <c r="E313" s="20" t="s">
        <v>2153</v>
      </c>
      <c r="F313" s="20" t="s">
        <v>2154</v>
      </c>
      <c r="G313" s="21">
        <v>13.4</v>
      </c>
      <c r="H313" s="16">
        <v>16</v>
      </c>
      <c r="I313" s="16"/>
      <c r="J313" s="17">
        <v>214.4</v>
      </c>
      <c r="K313" s="22"/>
      <c r="L313" s="23"/>
      <c r="M313" s="23">
        <v>0</v>
      </c>
      <c r="N313" s="19">
        <v>26.8</v>
      </c>
      <c r="O313" s="19">
        <v>-67</v>
      </c>
      <c r="P313" s="48">
        <v>67</v>
      </c>
      <c r="Q313" s="17">
        <v>0</v>
      </c>
      <c r="R313" s="24">
        <v>214.4</v>
      </c>
      <c r="S313" s="18" t="s">
        <v>28</v>
      </c>
      <c r="T313" s="25">
        <v>3</v>
      </c>
    </row>
    <row r="314" spans="1:20" s="26" customFormat="1" x14ac:dyDescent="0.25">
      <c r="A314" s="65">
        <v>230500</v>
      </c>
      <c r="B314" s="30" t="s">
        <v>1158</v>
      </c>
      <c r="C314" s="20" t="s">
        <v>651</v>
      </c>
      <c r="D314" s="20" t="s">
        <v>716</v>
      </c>
      <c r="E314" s="20" t="s">
        <v>2155</v>
      </c>
      <c r="F314" s="20" t="s">
        <v>2156</v>
      </c>
      <c r="G314" s="21">
        <v>18.8</v>
      </c>
      <c r="H314" s="16">
        <v>16</v>
      </c>
      <c r="I314" s="16"/>
      <c r="J314" s="17">
        <v>300.8</v>
      </c>
      <c r="K314" s="22"/>
      <c r="L314" s="23"/>
      <c r="M314" s="23">
        <v>0</v>
      </c>
      <c r="N314" s="19">
        <v>37.6</v>
      </c>
      <c r="O314" s="19">
        <v>-94</v>
      </c>
      <c r="P314" s="48">
        <v>94</v>
      </c>
      <c r="Q314" s="17">
        <v>0</v>
      </c>
      <c r="R314" s="24">
        <v>300.8</v>
      </c>
      <c r="S314" s="18" t="s">
        <v>28</v>
      </c>
      <c r="T314" s="25">
        <v>3</v>
      </c>
    </row>
    <row r="315" spans="1:20" s="26" customFormat="1" x14ac:dyDescent="0.25">
      <c r="A315" s="16">
        <v>230570</v>
      </c>
      <c r="B315" s="30" t="s">
        <v>1159</v>
      </c>
      <c r="C315" s="20" t="s">
        <v>651</v>
      </c>
      <c r="D315" s="20" t="s">
        <v>716</v>
      </c>
      <c r="E315" s="20" t="s">
        <v>2157</v>
      </c>
      <c r="F315" s="20" t="s">
        <v>2158</v>
      </c>
      <c r="G315" s="21">
        <v>13.4</v>
      </c>
      <c r="H315" s="16">
        <v>16</v>
      </c>
      <c r="I315" s="16"/>
      <c r="J315" s="17">
        <v>214.4</v>
      </c>
      <c r="K315" s="22"/>
      <c r="L315" s="23"/>
      <c r="M315" s="23">
        <v>0</v>
      </c>
      <c r="N315" s="19">
        <v>26.8</v>
      </c>
      <c r="O315" s="19">
        <v>-67</v>
      </c>
      <c r="P315" s="48">
        <v>67</v>
      </c>
      <c r="Q315" s="17">
        <v>0</v>
      </c>
      <c r="R315" s="24">
        <v>214.4</v>
      </c>
      <c r="S315" s="18" t="s">
        <v>28</v>
      </c>
      <c r="T315" s="25">
        <v>3</v>
      </c>
    </row>
    <row r="316" spans="1:20" s="26" customFormat="1" x14ac:dyDescent="0.25">
      <c r="A316" s="16">
        <v>230878</v>
      </c>
      <c r="B316" s="30" t="s">
        <v>194</v>
      </c>
      <c r="C316" s="20" t="s">
        <v>651</v>
      </c>
      <c r="D316" s="20" t="s">
        <v>719</v>
      </c>
      <c r="E316" s="20" t="s">
        <v>2159</v>
      </c>
      <c r="F316" s="20" t="s">
        <v>2160</v>
      </c>
      <c r="G316" s="21">
        <v>13.4</v>
      </c>
      <c r="H316" s="16">
        <v>16</v>
      </c>
      <c r="I316" s="16">
        <v>1</v>
      </c>
      <c r="J316" s="17">
        <v>201</v>
      </c>
      <c r="K316" s="22"/>
      <c r="L316" s="23"/>
      <c r="M316" s="23">
        <v>0</v>
      </c>
      <c r="N316" s="19">
        <v>26.8</v>
      </c>
      <c r="O316" s="19">
        <v>-67</v>
      </c>
      <c r="P316" s="48">
        <v>67</v>
      </c>
      <c r="Q316" s="17">
        <v>0</v>
      </c>
      <c r="R316" s="24">
        <v>201</v>
      </c>
      <c r="S316" s="18" t="s">
        <v>28</v>
      </c>
      <c r="T316" s="25">
        <v>3</v>
      </c>
    </row>
    <row r="317" spans="1:20" s="26" customFormat="1" x14ac:dyDescent="0.25">
      <c r="A317" s="16">
        <v>231147</v>
      </c>
      <c r="B317" s="30" t="s">
        <v>1160</v>
      </c>
      <c r="C317" s="20" t="s">
        <v>651</v>
      </c>
      <c r="D317" s="20" t="s">
        <v>716</v>
      </c>
      <c r="E317" s="20" t="s">
        <v>2161</v>
      </c>
      <c r="F317" s="20" t="s">
        <v>2162</v>
      </c>
      <c r="G317" s="21">
        <v>13.4</v>
      </c>
      <c r="H317" s="16">
        <v>4</v>
      </c>
      <c r="I317" s="16">
        <v>2</v>
      </c>
      <c r="J317" s="17">
        <v>26.8</v>
      </c>
      <c r="K317" s="22"/>
      <c r="L317" s="23"/>
      <c r="M317" s="23">
        <v>0</v>
      </c>
      <c r="N317" s="19">
        <v>26.8</v>
      </c>
      <c r="O317" s="19">
        <v>-67</v>
      </c>
      <c r="P317" s="48">
        <v>67</v>
      </c>
      <c r="Q317" s="17">
        <v>0</v>
      </c>
      <c r="R317" s="24">
        <v>26.8</v>
      </c>
      <c r="S317" s="18" t="s">
        <v>28</v>
      </c>
      <c r="T317" s="25">
        <v>3</v>
      </c>
    </row>
    <row r="318" spans="1:20" s="26" customFormat="1" x14ac:dyDescent="0.25">
      <c r="A318" s="16">
        <v>232323</v>
      </c>
      <c r="B318" s="30" t="s">
        <v>1049</v>
      </c>
      <c r="C318" s="20" t="s">
        <v>651</v>
      </c>
      <c r="D318" s="20" t="s">
        <v>719</v>
      </c>
      <c r="E318" s="20" t="s">
        <v>2163</v>
      </c>
      <c r="F318" s="20" t="s">
        <v>2164</v>
      </c>
      <c r="G318" s="21">
        <v>13.4</v>
      </c>
      <c r="H318" s="16">
        <v>16</v>
      </c>
      <c r="I318" s="16">
        <v>2</v>
      </c>
      <c r="J318" s="17">
        <v>187.6</v>
      </c>
      <c r="K318" s="22"/>
      <c r="L318" s="23"/>
      <c r="M318" s="23">
        <v>0</v>
      </c>
      <c r="N318" s="19">
        <v>26.8</v>
      </c>
      <c r="O318" s="19">
        <v>-67</v>
      </c>
      <c r="P318" s="48">
        <v>67</v>
      </c>
      <c r="Q318" s="17">
        <v>0</v>
      </c>
      <c r="R318" s="24">
        <v>187.6</v>
      </c>
      <c r="S318" s="18" t="s">
        <v>28</v>
      </c>
      <c r="T318" s="25">
        <v>3</v>
      </c>
    </row>
    <row r="319" spans="1:20" s="26" customFormat="1" x14ac:dyDescent="0.25">
      <c r="A319" s="16">
        <v>232326</v>
      </c>
      <c r="B319" s="30" t="s">
        <v>885</v>
      </c>
      <c r="C319" s="20" t="s">
        <v>651</v>
      </c>
      <c r="D319" s="20" t="s">
        <v>719</v>
      </c>
      <c r="E319" s="20" t="s">
        <v>2165</v>
      </c>
      <c r="F319" s="20" t="s">
        <v>2166</v>
      </c>
      <c r="G319" s="21">
        <v>13.4</v>
      </c>
      <c r="H319" s="16">
        <v>16</v>
      </c>
      <c r="I319" s="16">
        <v>1</v>
      </c>
      <c r="J319" s="17">
        <v>201</v>
      </c>
      <c r="K319" s="22"/>
      <c r="L319" s="23"/>
      <c r="M319" s="23">
        <v>0</v>
      </c>
      <c r="N319" s="19">
        <v>26.8</v>
      </c>
      <c r="O319" s="19">
        <v>-67</v>
      </c>
      <c r="P319" s="48">
        <v>67</v>
      </c>
      <c r="Q319" s="17">
        <v>0</v>
      </c>
      <c r="R319" s="24">
        <v>201</v>
      </c>
      <c r="S319" s="18" t="s">
        <v>28</v>
      </c>
      <c r="T319" s="25">
        <v>3</v>
      </c>
    </row>
    <row r="320" spans="1:20" s="26" customFormat="1" x14ac:dyDescent="0.25">
      <c r="A320" s="16">
        <v>232670</v>
      </c>
      <c r="B320" s="30" t="s">
        <v>932</v>
      </c>
      <c r="C320" s="20" t="s">
        <v>651</v>
      </c>
      <c r="D320" s="20" t="s">
        <v>719</v>
      </c>
      <c r="E320" s="20" t="s">
        <v>2167</v>
      </c>
      <c r="F320" s="20" t="s">
        <v>2168</v>
      </c>
      <c r="G320" s="21">
        <v>18.8</v>
      </c>
      <c r="H320" s="16">
        <v>16</v>
      </c>
      <c r="I320" s="16"/>
      <c r="J320" s="17">
        <v>300.8</v>
      </c>
      <c r="K320" s="22"/>
      <c r="L320" s="23"/>
      <c r="M320" s="23">
        <v>0</v>
      </c>
      <c r="N320" s="19">
        <v>37.6</v>
      </c>
      <c r="O320" s="19">
        <v>-94</v>
      </c>
      <c r="P320" s="48">
        <v>94</v>
      </c>
      <c r="Q320" s="17">
        <v>0</v>
      </c>
      <c r="R320" s="24">
        <v>300.8</v>
      </c>
      <c r="S320" s="18" t="s">
        <v>28</v>
      </c>
      <c r="T320" s="25">
        <v>3</v>
      </c>
    </row>
    <row r="321" spans="1:20" s="26" customFormat="1" x14ac:dyDescent="0.25">
      <c r="A321" s="16">
        <v>233352</v>
      </c>
      <c r="B321" s="30" t="s">
        <v>1050</v>
      </c>
      <c r="C321" s="20" t="s">
        <v>651</v>
      </c>
      <c r="D321" s="20" t="s">
        <v>716</v>
      </c>
      <c r="E321" s="20" t="s">
        <v>2169</v>
      </c>
      <c r="F321" s="20" t="s">
        <v>2170</v>
      </c>
      <c r="G321" s="21">
        <v>18.8</v>
      </c>
      <c r="H321" s="16">
        <v>16</v>
      </c>
      <c r="I321" s="16">
        <v>1</v>
      </c>
      <c r="J321" s="17">
        <v>282</v>
      </c>
      <c r="K321" s="22"/>
      <c r="L321" s="23"/>
      <c r="M321" s="23">
        <v>0</v>
      </c>
      <c r="N321" s="19">
        <v>37.6</v>
      </c>
      <c r="O321" s="19">
        <v>-94</v>
      </c>
      <c r="P321" s="48">
        <v>94</v>
      </c>
      <c r="Q321" s="17">
        <v>0</v>
      </c>
      <c r="R321" s="24">
        <v>282</v>
      </c>
      <c r="S321" s="18" t="s">
        <v>28</v>
      </c>
      <c r="T321" s="25">
        <v>3</v>
      </c>
    </row>
    <row r="322" spans="1:20" s="26" customFormat="1" x14ac:dyDescent="0.25">
      <c r="A322" s="16">
        <v>233525</v>
      </c>
      <c r="B322" s="30" t="s">
        <v>1051</v>
      </c>
      <c r="C322" s="20" t="s">
        <v>651</v>
      </c>
      <c r="D322" s="20" t="s">
        <v>716</v>
      </c>
      <c r="E322" s="20" t="s">
        <v>2171</v>
      </c>
      <c r="F322" s="20" t="s">
        <v>2172</v>
      </c>
      <c r="G322" s="21">
        <v>13.4</v>
      </c>
      <c r="H322" s="16">
        <v>16</v>
      </c>
      <c r="I322" s="16">
        <v>4</v>
      </c>
      <c r="J322" s="17">
        <v>160.80000000000001</v>
      </c>
      <c r="K322" s="22"/>
      <c r="L322" s="23"/>
      <c r="M322" s="23">
        <v>0</v>
      </c>
      <c r="N322" s="19">
        <v>26.8</v>
      </c>
      <c r="O322" s="19">
        <v>-67</v>
      </c>
      <c r="P322" s="48">
        <v>67</v>
      </c>
      <c r="Q322" s="17">
        <v>0</v>
      </c>
      <c r="R322" s="24">
        <v>160.80000000000001</v>
      </c>
      <c r="S322" s="18" t="s">
        <v>28</v>
      </c>
      <c r="T322" s="25">
        <v>3</v>
      </c>
    </row>
    <row r="323" spans="1:20" s="26" customFormat="1" x14ac:dyDescent="0.25">
      <c r="A323" s="16">
        <v>234028</v>
      </c>
      <c r="B323" s="30" t="s">
        <v>1161</v>
      </c>
      <c r="C323" s="20" t="s">
        <v>651</v>
      </c>
      <c r="D323" s="20" t="s">
        <v>719</v>
      </c>
      <c r="E323" s="20" t="s">
        <v>2173</v>
      </c>
      <c r="F323" s="20" t="s">
        <v>2174</v>
      </c>
      <c r="G323" s="21">
        <v>13.4</v>
      </c>
      <c r="H323" s="16">
        <v>16</v>
      </c>
      <c r="I323" s="16"/>
      <c r="J323" s="17">
        <v>214.4</v>
      </c>
      <c r="K323" s="22"/>
      <c r="L323" s="23"/>
      <c r="M323" s="23">
        <v>0</v>
      </c>
      <c r="N323" s="19">
        <v>26.8</v>
      </c>
      <c r="O323" s="19">
        <v>-67</v>
      </c>
      <c r="P323" s="48">
        <v>67</v>
      </c>
      <c r="Q323" s="17">
        <v>0</v>
      </c>
      <c r="R323" s="24">
        <v>214.4</v>
      </c>
      <c r="S323" s="18" t="s">
        <v>28</v>
      </c>
      <c r="T323" s="25">
        <v>3</v>
      </c>
    </row>
    <row r="324" spans="1:20" s="26" customFormat="1" x14ac:dyDescent="0.25">
      <c r="A324" s="16">
        <v>234137</v>
      </c>
      <c r="B324" s="30" t="s">
        <v>1162</v>
      </c>
      <c r="C324" s="20" t="s">
        <v>651</v>
      </c>
      <c r="D324" s="20" t="s">
        <v>719</v>
      </c>
      <c r="E324" s="20" t="s">
        <v>2175</v>
      </c>
      <c r="F324" s="20" t="s">
        <v>2176</v>
      </c>
      <c r="G324" s="21">
        <v>13.4</v>
      </c>
      <c r="H324" s="16">
        <v>16</v>
      </c>
      <c r="I324" s="16"/>
      <c r="J324" s="17">
        <v>214.4</v>
      </c>
      <c r="K324" s="22"/>
      <c r="L324" s="23"/>
      <c r="M324" s="23">
        <v>0</v>
      </c>
      <c r="N324" s="19">
        <v>26.8</v>
      </c>
      <c r="O324" s="19">
        <v>-67</v>
      </c>
      <c r="P324" s="48">
        <v>67</v>
      </c>
      <c r="Q324" s="17">
        <v>0</v>
      </c>
      <c r="R324" s="24">
        <v>214.4</v>
      </c>
      <c r="S324" s="18" t="s">
        <v>28</v>
      </c>
      <c r="T324" s="25">
        <v>3</v>
      </c>
    </row>
    <row r="325" spans="1:20" s="26" customFormat="1" x14ac:dyDescent="0.25">
      <c r="A325" s="16">
        <v>234441</v>
      </c>
      <c r="B325" s="30" t="s">
        <v>1279</v>
      </c>
      <c r="C325" s="20" t="s">
        <v>651</v>
      </c>
      <c r="D325" s="20" t="s">
        <v>716</v>
      </c>
      <c r="E325" s="20" t="s">
        <v>2177</v>
      </c>
      <c r="F325" s="20" t="s">
        <v>2178</v>
      </c>
      <c r="G325" s="21">
        <v>18.8</v>
      </c>
      <c r="H325" s="16">
        <v>16</v>
      </c>
      <c r="I325" s="16">
        <v>1</v>
      </c>
      <c r="J325" s="17">
        <v>282</v>
      </c>
      <c r="K325" s="22"/>
      <c r="L325" s="23"/>
      <c r="M325" s="23">
        <v>0</v>
      </c>
      <c r="N325" s="19">
        <v>37.6</v>
      </c>
      <c r="O325" s="19">
        <v>-94</v>
      </c>
      <c r="P325" s="48">
        <v>94</v>
      </c>
      <c r="Q325" s="17">
        <v>0</v>
      </c>
      <c r="R325" s="24">
        <v>282</v>
      </c>
      <c r="S325" s="18" t="s">
        <v>28</v>
      </c>
      <c r="T325" s="25">
        <v>3</v>
      </c>
    </row>
    <row r="326" spans="1:20" s="26" customFormat="1" x14ac:dyDescent="0.25">
      <c r="A326" s="16">
        <v>234684</v>
      </c>
      <c r="B326" s="30" t="s">
        <v>1348</v>
      </c>
      <c r="C326" s="20" t="s">
        <v>651</v>
      </c>
      <c r="D326" s="20" t="s">
        <v>716</v>
      </c>
      <c r="E326" s="20" t="s">
        <v>2179</v>
      </c>
      <c r="F326" s="20" t="s">
        <v>2180</v>
      </c>
      <c r="G326" s="21">
        <v>13.4</v>
      </c>
      <c r="H326" s="16">
        <v>16</v>
      </c>
      <c r="I326" s="16"/>
      <c r="J326" s="17">
        <v>214.4</v>
      </c>
      <c r="K326" s="22"/>
      <c r="L326" s="23"/>
      <c r="M326" s="23">
        <v>0</v>
      </c>
      <c r="N326" s="19">
        <v>26.8</v>
      </c>
      <c r="O326" s="19">
        <v>-67</v>
      </c>
      <c r="P326" s="48">
        <v>67</v>
      </c>
      <c r="Q326" s="17">
        <v>0</v>
      </c>
      <c r="R326" s="24">
        <v>214.4</v>
      </c>
      <c r="S326" s="18" t="s">
        <v>28</v>
      </c>
      <c r="T326" s="25">
        <v>3</v>
      </c>
    </row>
    <row r="327" spans="1:20" s="26" customFormat="1" x14ac:dyDescent="0.25">
      <c r="A327" s="16">
        <v>201332</v>
      </c>
      <c r="B327" s="30" t="s">
        <v>196</v>
      </c>
      <c r="C327" s="20" t="s">
        <v>652</v>
      </c>
      <c r="D327" s="20" t="s">
        <v>739</v>
      </c>
      <c r="E327" s="20" t="s">
        <v>2181</v>
      </c>
      <c r="F327" s="20" t="s">
        <v>2182</v>
      </c>
      <c r="G327" s="21">
        <v>13.4</v>
      </c>
      <c r="H327" s="16">
        <v>26</v>
      </c>
      <c r="I327" s="16"/>
      <c r="J327" s="17">
        <v>348.40000000000003</v>
      </c>
      <c r="K327" s="22"/>
      <c r="L327" s="23">
        <v>23.8</v>
      </c>
      <c r="M327" s="23">
        <v>23.8</v>
      </c>
      <c r="N327" s="19">
        <v>26.8</v>
      </c>
      <c r="O327" s="19">
        <v>-43.2</v>
      </c>
      <c r="P327" s="48">
        <v>67</v>
      </c>
      <c r="Q327" s="17">
        <v>0</v>
      </c>
      <c r="R327" s="24">
        <v>348.40000000000003</v>
      </c>
      <c r="S327" s="18" t="s">
        <v>28</v>
      </c>
      <c r="T327" s="25">
        <v>3</v>
      </c>
    </row>
    <row r="328" spans="1:20" s="26" customFormat="1" x14ac:dyDescent="0.25">
      <c r="A328" s="16">
        <v>209023</v>
      </c>
      <c r="B328" s="30" t="s">
        <v>197</v>
      </c>
      <c r="C328" s="20" t="s">
        <v>652</v>
      </c>
      <c r="D328" s="20" t="s">
        <v>728</v>
      </c>
      <c r="E328" s="20" t="s">
        <v>2183</v>
      </c>
      <c r="F328" s="20" t="s">
        <v>2184</v>
      </c>
      <c r="G328" s="21">
        <v>26.8</v>
      </c>
      <c r="H328" s="16">
        <v>26</v>
      </c>
      <c r="I328" s="16"/>
      <c r="J328" s="17">
        <v>696.80000000000007</v>
      </c>
      <c r="K328" s="22"/>
      <c r="L328" s="23"/>
      <c r="M328" s="23">
        <v>0</v>
      </c>
      <c r="N328" s="19">
        <v>53.6</v>
      </c>
      <c r="O328" s="19">
        <v>-134</v>
      </c>
      <c r="P328" s="48">
        <v>134</v>
      </c>
      <c r="Q328" s="17">
        <v>0</v>
      </c>
      <c r="R328" s="24">
        <v>696.80000000000007</v>
      </c>
      <c r="S328" s="18" t="s">
        <v>28</v>
      </c>
      <c r="T328" s="25">
        <v>3</v>
      </c>
    </row>
    <row r="329" spans="1:20" s="26" customFormat="1" x14ac:dyDescent="0.25">
      <c r="A329" s="16">
        <v>224581</v>
      </c>
      <c r="B329" s="30" t="s">
        <v>248</v>
      </c>
      <c r="C329" s="20" t="s">
        <v>1388</v>
      </c>
      <c r="D329" s="20" t="s">
        <v>1389</v>
      </c>
      <c r="E329" s="20" t="s">
        <v>2185</v>
      </c>
      <c r="F329" s="20" t="s">
        <v>2186</v>
      </c>
      <c r="G329" s="21">
        <v>18.8</v>
      </c>
      <c r="H329" s="16">
        <v>26</v>
      </c>
      <c r="I329" s="16"/>
      <c r="J329" s="17">
        <v>488.8</v>
      </c>
      <c r="K329" s="22"/>
      <c r="L329" s="23"/>
      <c r="M329" s="23">
        <v>0</v>
      </c>
      <c r="N329" s="19">
        <v>37.6</v>
      </c>
      <c r="O329" s="19">
        <v>-94</v>
      </c>
      <c r="P329" s="48">
        <v>94</v>
      </c>
      <c r="Q329" s="17">
        <v>0</v>
      </c>
      <c r="R329" s="24">
        <v>488.8</v>
      </c>
      <c r="S329" s="18" t="s">
        <v>28</v>
      </c>
      <c r="T329" s="25">
        <v>3</v>
      </c>
    </row>
    <row r="330" spans="1:20" s="26" customFormat="1" x14ac:dyDescent="0.25">
      <c r="A330" s="16">
        <v>205755</v>
      </c>
      <c r="B330" s="30" t="s">
        <v>1052</v>
      </c>
      <c r="C330" s="20" t="s">
        <v>635</v>
      </c>
      <c r="D330" s="20" t="s">
        <v>698</v>
      </c>
      <c r="E330" s="20" t="s">
        <v>2187</v>
      </c>
      <c r="F330" s="20" t="s">
        <v>2188</v>
      </c>
      <c r="G330" s="21">
        <v>18.8</v>
      </c>
      <c r="H330" s="16">
        <v>26</v>
      </c>
      <c r="I330" s="16">
        <v>2</v>
      </c>
      <c r="J330" s="17">
        <v>451.20000000000005</v>
      </c>
      <c r="K330" s="22"/>
      <c r="L330" s="23"/>
      <c r="M330" s="23">
        <v>0</v>
      </c>
      <c r="N330" s="19">
        <v>37.6</v>
      </c>
      <c r="O330" s="19">
        <v>-94</v>
      </c>
      <c r="P330" s="48">
        <v>94</v>
      </c>
      <c r="Q330" s="17">
        <v>0</v>
      </c>
      <c r="R330" s="24">
        <v>451.20000000000005</v>
      </c>
      <c r="S330" s="18" t="s">
        <v>28</v>
      </c>
      <c r="T330" s="25">
        <v>3</v>
      </c>
    </row>
    <row r="331" spans="1:20" s="26" customFormat="1" x14ac:dyDescent="0.25">
      <c r="A331" s="16">
        <v>210446</v>
      </c>
      <c r="B331" s="30" t="s">
        <v>198</v>
      </c>
      <c r="C331" s="20" t="s">
        <v>635</v>
      </c>
      <c r="D331" s="20" t="s">
        <v>698</v>
      </c>
      <c r="E331" s="20" t="s">
        <v>2189</v>
      </c>
      <c r="F331" s="20" t="s">
        <v>2190</v>
      </c>
      <c r="G331" s="21">
        <v>13.4</v>
      </c>
      <c r="H331" s="16">
        <v>26</v>
      </c>
      <c r="I331" s="16"/>
      <c r="J331" s="17">
        <v>348.40000000000003</v>
      </c>
      <c r="K331" s="22"/>
      <c r="L331" s="23"/>
      <c r="M331" s="23">
        <v>0</v>
      </c>
      <c r="N331" s="19">
        <v>26.8</v>
      </c>
      <c r="O331" s="19">
        <v>-67</v>
      </c>
      <c r="P331" s="48">
        <v>67</v>
      </c>
      <c r="Q331" s="17">
        <v>0</v>
      </c>
      <c r="R331" s="24">
        <v>348.40000000000003</v>
      </c>
      <c r="S331" s="18" t="s">
        <v>28</v>
      </c>
      <c r="T331" s="25">
        <v>3</v>
      </c>
    </row>
    <row r="332" spans="1:20" s="26" customFormat="1" x14ac:dyDescent="0.25">
      <c r="A332" s="16">
        <v>229318</v>
      </c>
      <c r="B332" s="30" t="s">
        <v>1423</v>
      </c>
      <c r="C332" s="20" t="s">
        <v>636</v>
      </c>
      <c r="D332" s="20" t="s">
        <v>729</v>
      </c>
      <c r="E332" s="20" t="s">
        <v>2191</v>
      </c>
      <c r="F332" s="20" t="s">
        <v>2192</v>
      </c>
      <c r="G332" s="21">
        <v>13.4</v>
      </c>
      <c r="H332" s="16">
        <v>22</v>
      </c>
      <c r="I332" s="16">
        <v>3</v>
      </c>
      <c r="J332" s="17">
        <v>254.6</v>
      </c>
      <c r="K332" s="22"/>
      <c r="L332" s="23"/>
      <c r="M332" s="23">
        <v>0</v>
      </c>
      <c r="N332" s="19">
        <v>26.8</v>
      </c>
      <c r="O332" s="19">
        <v>-67</v>
      </c>
      <c r="P332" s="48">
        <v>67</v>
      </c>
      <c r="Q332" s="17">
        <v>0</v>
      </c>
      <c r="R332" s="24">
        <v>254.6</v>
      </c>
      <c r="S332" s="18" t="s">
        <v>28</v>
      </c>
      <c r="T332" s="25">
        <v>3</v>
      </c>
    </row>
    <row r="333" spans="1:20" s="26" customFormat="1" x14ac:dyDescent="0.25">
      <c r="A333" s="16">
        <v>233019</v>
      </c>
      <c r="B333" s="30" t="s">
        <v>964</v>
      </c>
      <c r="C333" s="20" t="s">
        <v>636</v>
      </c>
      <c r="D333" s="20" t="s">
        <v>730</v>
      </c>
      <c r="E333" s="20" t="s">
        <v>2193</v>
      </c>
      <c r="F333" s="20" t="s">
        <v>2194</v>
      </c>
      <c r="G333" s="21">
        <v>13.4</v>
      </c>
      <c r="H333" s="16">
        <v>22</v>
      </c>
      <c r="I333" s="16"/>
      <c r="J333" s="17">
        <v>294.8</v>
      </c>
      <c r="K333" s="22"/>
      <c r="L333" s="23"/>
      <c r="M333" s="23">
        <v>0</v>
      </c>
      <c r="N333" s="19">
        <v>26.8</v>
      </c>
      <c r="O333" s="19">
        <v>-67</v>
      </c>
      <c r="P333" s="48">
        <v>67</v>
      </c>
      <c r="Q333" s="17">
        <v>0</v>
      </c>
      <c r="R333" s="24">
        <v>294.8</v>
      </c>
      <c r="S333" s="18" t="s">
        <v>28</v>
      </c>
      <c r="T333" s="25">
        <v>3</v>
      </c>
    </row>
    <row r="334" spans="1:20" s="26" customFormat="1" x14ac:dyDescent="0.25">
      <c r="A334" s="16">
        <v>233020</v>
      </c>
      <c r="B334" s="30" t="s">
        <v>965</v>
      </c>
      <c r="C334" s="20" t="s">
        <v>636</v>
      </c>
      <c r="D334" s="20" t="s">
        <v>730</v>
      </c>
      <c r="E334" s="20" t="s">
        <v>2195</v>
      </c>
      <c r="F334" s="20" t="s">
        <v>2196</v>
      </c>
      <c r="G334" s="21">
        <v>13.4</v>
      </c>
      <c r="H334" s="16">
        <v>22</v>
      </c>
      <c r="I334" s="16">
        <v>20</v>
      </c>
      <c r="J334" s="17">
        <v>26.8</v>
      </c>
      <c r="K334" s="22"/>
      <c r="L334" s="23"/>
      <c r="M334" s="23">
        <v>0</v>
      </c>
      <c r="N334" s="19">
        <v>26.8</v>
      </c>
      <c r="O334" s="19">
        <v>-67</v>
      </c>
      <c r="P334" s="48">
        <v>67</v>
      </c>
      <c r="Q334" s="17">
        <v>0</v>
      </c>
      <c r="R334" s="24">
        <v>26.8</v>
      </c>
      <c r="S334" s="18" t="s">
        <v>28</v>
      </c>
      <c r="T334" s="25">
        <v>3</v>
      </c>
    </row>
    <row r="335" spans="1:20" s="26" customFormat="1" x14ac:dyDescent="0.25">
      <c r="A335" s="16">
        <v>233213</v>
      </c>
      <c r="B335" s="30" t="s">
        <v>966</v>
      </c>
      <c r="C335" s="20" t="s">
        <v>636</v>
      </c>
      <c r="D335" s="20" t="s">
        <v>729</v>
      </c>
      <c r="E335" s="20" t="s">
        <v>2197</v>
      </c>
      <c r="F335" s="20" t="s">
        <v>2198</v>
      </c>
      <c r="G335" s="21">
        <v>6.7</v>
      </c>
      <c r="H335" s="16">
        <v>22</v>
      </c>
      <c r="I335" s="16"/>
      <c r="J335" s="17">
        <v>147.4</v>
      </c>
      <c r="K335" s="22"/>
      <c r="L335" s="23"/>
      <c r="M335" s="23">
        <v>0</v>
      </c>
      <c r="N335" s="19">
        <v>13.4</v>
      </c>
      <c r="O335" s="19">
        <v>-33.5</v>
      </c>
      <c r="P335" s="48">
        <v>33.5</v>
      </c>
      <c r="Q335" s="17">
        <v>0</v>
      </c>
      <c r="R335" s="24">
        <v>147.4</v>
      </c>
      <c r="S335" s="18" t="s">
        <v>28</v>
      </c>
      <c r="T335" s="25">
        <v>3</v>
      </c>
    </row>
    <row r="336" spans="1:20" s="26" customFormat="1" x14ac:dyDescent="0.25">
      <c r="A336" s="16">
        <v>233214</v>
      </c>
      <c r="B336" s="30" t="s">
        <v>967</v>
      </c>
      <c r="C336" s="20" t="s">
        <v>636</v>
      </c>
      <c r="D336" s="20" t="s">
        <v>729</v>
      </c>
      <c r="E336" s="20" t="s">
        <v>2199</v>
      </c>
      <c r="F336" s="20" t="s">
        <v>2200</v>
      </c>
      <c r="G336" s="21">
        <v>6.7</v>
      </c>
      <c r="H336" s="16">
        <v>22</v>
      </c>
      <c r="I336" s="16">
        <v>3</v>
      </c>
      <c r="J336" s="17">
        <v>127.3</v>
      </c>
      <c r="K336" s="22"/>
      <c r="L336" s="23"/>
      <c r="M336" s="23">
        <v>0</v>
      </c>
      <c r="N336" s="19">
        <v>13.4</v>
      </c>
      <c r="O336" s="19">
        <v>-33.5</v>
      </c>
      <c r="P336" s="48">
        <v>33.5</v>
      </c>
      <c r="Q336" s="17">
        <v>0</v>
      </c>
      <c r="R336" s="24">
        <v>127.3</v>
      </c>
      <c r="S336" s="18" t="s">
        <v>28</v>
      </c>
      <c r="T336" s="25">
        <v>3</v>
      </c>
    </row>
    <row r="337" spans="1:20" s="26" customFormat="1" x14ac:dyDescent="0.25">
      <c r="A337" s="16">
        <v>233215</v>
      </c>
      <c r="B337" s="30" t="s">
        <v>968</v>
      </c>
      <c r="C337" s="20" t="s">
        <v>636</v>
      </c>
      <c r="D337" s="20" t="s">
        <v>729</v>
      </c>
      <c r="E337" s="20" t="s">
        <v>2201</v>
      </c>
      <c r="F337" s="20" t="s">
        <v>2202</v>
      </c>
      <c r="G337" s="21">
        <v>13.4</v>
      </c>
      <c r="H337" s="16">
        <v>22</v>
      </c>
      <c r="I337" s="16">
        <v>2</v>
      </c>
      <c r="J337" s="17">
        <v>268</v>
      </c>
      <c r="K337" s="22"/>
      <c r="L337" s="23"/>
      <c r="M337" s="23">
        <v>0</v>
      </c>
      <c r="N337" s="19">
        <v>26.8</v>
      </c>
      <c r="O337" s="19">
        <v>-67</v>
      </c>
      <c r="P337" s="48">
        <v>67</v>
      </c>
      <c r="Q337" s="17">
        <v>0</v>
      </c>
      <c r="R337" s="24">
        <v>268</v>
      </c>
      <c r="S337" s="18" t="s">
        <v>28</v>
      </c>
      <c r="T337" s="25">
        <v>3</v>
      </c>
    </row>
    <row r="338" spans="1:20" s="26" customFormat="1" x14ac:dyDescent="0.25">
      <c r="A338" s="16">
        <v>233216</v>
      </c>
      <c r="B338" s="30" t="s">
        <v>969</v>
      </c>
      <c r="C338" s="20" t="s">
        <v>636</v>
      </c>
      <c r="D338" s="20" t="s">
        <v>729</v>
      </c>
      <c r="E338" s="20" t="s">
        <v>2203</v>
      </c>
      <c r="F338" s="20" t="s">
        <v>2204</v>
      </c>
      <c r="G338" s="21">
        <v>6.7</v>
      </c>
      <c r="H338" s="16">
        <v>22</v>
      </c>
      <c r="I338" s="16"/>
      <c r="J338" s="17">
        <v>147.4</v>
      </c>
      <c r="K338" s="22"/>
      <c r="L338" s="23"/>
      <c r="M338" s="23">
        <v>0</v>
      </c>
      <c r="N338" s="19">
        <v>13.4</v>
      </c>
      <c r="O338" s="19">
        <v>-33.5</v>
      </c>
      <c r="P338" s="48">
        <v>33.5</v>
      </c>
      <c r="Q338" s="17">
        <v>0</v>
      </c>
      <c r="R338" s="24">
        <v>147.4</v>
      </c>
      <c r="S338" s="18" t="s">
        <v>28</v>
      </c>
      <c r="T338" s="25">
        <v>3</v>
      </c>
    </row>
    <row r="339" spans="1:20" s="26" customFormat="1" x14ac:dyDescent="0.25">
      <c r="A339" s="16">
        <v>233217</v>
      </c>
      <c r="B339" s="30" t="s">
        <v>970</v>
      </c>
      <c r="C339" s="20" t="s">
        <v>636</v>
      </c>
      <c r="D339" s="20" t="s">
        <v>729</v>
      </c>
      <c r="E339" s="20" t="s">
        <v>2205</v>
      </c>
      <c r="F339" s="20" t="s">
        <v>2206</v>
      </c>
      <c r="G339" s="21">
        <v>13.4</v>
      </c>
      <c r="H339" s="16">
        <v>22</v>
      </c>
      <c r="I339" s="16">
        <v>5</v>
      </c>
      <c r="J339" s="17">
        <v>227.8</v>
      </c>
      <c r="K339" s="22"/>
      <c r="L339" s="23"/>
      <c r="M339" s="23">
        <v>0</v>
      </c>
      <c r="N339" s="19">
        <v>26.8</v>
      </c>
      <c r="O339" s="19">
        <v>-67</v>
      </c>
      <c r="P339" s="48">
        <v>67</v>
      </c>
      <c r="Q339" s="17">
        <v>0</v>
      </c>
      <c r="R339" s="24">
        <v>227.8</v>
      </c>
      <c r="S339" s="18" t="s">
        <v>28</v>
      </c>
      <c r="T339" s="25">
        <v>3</v>
      </c>
    </row>
    <row r="340" spans="1:20" s="26" customFormat="1" x14ac:dyDescent="0.25">
      <c r="A340" s="16">
        <v>235110</v>
      </c>
      <c r="B340" s="30" t="s">
        <v>1546</v>
      </c>
      <c r="C340" s="20" t="s">
        <v>721</v>
      </c>
      <c r="D340" s="20" t="s">
        <v>721</v>
      </c>
      <c r="E340" s="20" t="s">
        <v>2207</v>
      </c>
      <c r="F340" s="20" t="s">
        <v>2208</v>
      </c>
      <c r="G340" s="21">
        <v>13.4</v>
      </c>
      <c r="H340" s="16"/>
      <c r="I340" s="16"/>
      <c r="J340" s="17">
        <v>0</v>
      </c>
      <c r="K340" s="22"/>
      <c r="L340" s="23"/>
      <c r="M340" s="23">
        <v>0</v>
      </c>
      <c r="N340" s="19">
        <v>26.8</v>
      </c>
      <c r="O340" s="19">
        <v>-67</v>
      </c>
      <c r="P340" s="48">
        <v>67</v>
      </c>
      <c r="Q340" s="17">
        <v>0</v>
      </c>
      <c r="R340" s="24">
        <v>0</v>
      </c>
      <c r="S340" s="18" t="s">
        <v>12</v>
      </c>
      <c r="T340" s="25">
        <v>3</v>
      </c>
    </row>
    <row r="341" spans="1:20" s="26" customFormat="1" x14ac:dyDescent="0.25">
      <c r="A341" s="16">
        <v>233218</v>
      </c>
      <c r="B341" s="30" t="s">
        <v>971</v>
      </c>
      <c r="C341" s="20" t="s">
        <v>636</v>
      </c>
      <c r="D341" s="20" t="s">
        <v>729</v>
      </c>
      <c r="E341" s="20" t="s">
        <v>2209</v>
      </c>
      <c r="F341" s="20" t="s">
        <v>2210</v>
      </c>
      <c r="G341" s="21">
        <v>6.7</v>
      </c>
      <c r="H341" s="16">
        <v>22</v>
      </c>
      <c r="I341" s="16">
        <v>6</v>
      </c>
      <c r="J341" s="17">
        <v>107.2</v>
      </c>
      <c r="K341" s="22"/>
      <c r="L341" s="23"/>
      <c r="M341" s="23">
        <v>0</v>
      </c>
      <c r="N341" s="19">
        <v>13.4</v>
      </c>
      <c r="O341" s="19">
        <v>-33.5</v>
      </c>
      <c r="P341" s="48">
        <v>33.5</v>
      </c>
      <c r="Q341" s="17">
        <v>0</v>
      </c>
      <c r="R341" s="24">
        <v>107.2</v>
      </c>
      <c r="S341" s="18" t="s">
        <v>28</v>
      </c>
      <c r="T341" s="25">
        <v>3</v>
      </c>
    </row>
    <row r="342" spans="1:20" s="26" customFormat="1" x14ac:dyDescent="0.25">
      <c r="A342" s="16">
        <v>3015</v>
      </c>
      <c r="B342" s="30" t="s">
        <v>1053</v>
      </c>
      <c r="C342" s="20" t="s">
        <v>653</v>
      </c>
      <c r="D342" s="20" t="s">
        <v>714</v>
      </c>
      <c r="E342" s="20" t="s">
        <v>2211</v>
      </c>
      <c r="F342" s="20" t="s">
        <v>2212</v>
      </c>
      <c r="G342" s="21">
        <v>10</v>
      </c>
      <c r="H342" s="16">
        <v>26</v>
      </c>
      <c r="I342" s="16"/>
      <c r="J342" s="17">
        <v>260</v>
      </c>
      <c r="K342" s="22"/>
      <c r="L342" s="23"/>
      <c r="M342" s="23">
        <v>0</v>
      </c>
      <c r="N342" s="19">
        <v>20</v>
      </c>
      <c r="O342" s="19">
        <v>-50</v>
      </c>
      <c r="P342" s="48">
        <v>50</v>
      </c>
      <c r="Q342" s="17">
        <v>0</v>
      </c>
      <c r="R342" s="24">
        <v>260</v>
      </c>
      <c r="S342" s="18" t="s">
        <v>28</v>
      </c>
      <c r="T342" s="25">
        <v>3</v>
      </c>
    </row>
    <row r="343" spans="1:20" s="26" customFormat="1" x14ac:dyDescent="0.25">
      <c r="A343" s="16">
        <v>215497</v>
      </c>
      <c r="B343" s="30" t="s">
        <v>1424</v>
      </c>
      <c r="C343" s="20" t="s">
        <v>653</v>
      </c>
      <c r="D343" s="20" t="s">
        <v>891</v>
      </c>
      <c r="E343" s="20" t="s">
        <v>2213</v>
      </c>
      <c r="F343" s="20" t="s">
        <v>2214</v>
      </c>
      <c r="G343" s="21">
        <v>13.4</v>
      </c>
      <c r="H343" s="16">
        <v>26</v>
      </c>
      <c r="I343" s="16"/>
      <c r="J343" s="17">
        <v>348.40000000000003</v>
      </c>
      <c r="K343" s="22"/>
      <c r="L343" s="23">
        <v>40.200000000000003</v>
      </c>
      <c r="M343" s="23">
        <v>40.200000000000003</v>
      </c>
      <c r="N343" s="19">
        <v>26.8</v>
      </c>
      <c r="O343" s="19">
        <v>-26.799999999999997</v>
      </c>
      <c r="P343" s="48">
        <v>67</v>
      </c>
      <c r="Q343" s="17">
        <v>0</v>
      </c>
      <c r="R343" s="24">
        <v>348.40000000000003</v>
      </c>
      <c r="S343" s="18" t="s">
        <v>28</v>
      </c>
      <c r="T343" s="25">
        <v>3</v>
      </c>
    </row>
    <row r="344" spans="1:20" s="26" customFormat="1" x14ac:dyDescent="0.25">
      <c r="A344" s="16">
        <v>216629</v>
      </c>
      <c r="B344" s="30" t="s">
        <v>1054</v>
      </c>
      <c r="C344" s="20" t="s">
        <v>653</v>
      </c>
      <c r="D344" s="20" t="s">
        <v>891</v>
      </c>
      <c r="E344" s="20" t="s">
        <v>2215</v>
      </c>
      <c r="F344" s="20" t="s">
        <v>2216</v>
      </c>
      <c r="G344" s="21">
        <v>18.8</v>
      </c>
      <c r="H344" s="16">
        <v>26</v>
      </c>
      <c r="I344" s="16"/>
      <c r="J344" s="17">
        <v>488.8</v>
      </c>
      <c r="K344" s="22"/>
      <c r="L344" s="23"/>
      <c r="M344" s="23">
        <v>0</v>
      </c>
      <c r="N344" s="19">
        <v>37.6</v>
      </c>
      <c r="O344" s="19">
        <v>-94</v>
      </c>
      <c r="P344" s="48">
        <v>94</v>
      </c>
      <c r="Q344" s="17">
        <v>0</v>
      </c>
      <c r="R344" s="24">
        <v>488.8</v>
      </c>
      <c r="S344" s="18" t="s">
        <v>28</v>
      </c>
      <c r="T344" s="25">
        <v>3</v>
      </c>
    </row>
    <row r="345" spans="1:20" s="26" customFormat="1" x14ac:dyDescent="0.25">
      <c r="A345" s="16">
        <v>218469</v>
      </c>
      <c r="B345" s="30" t="s">
        <v>199</v>
      </c>
      <c r="C345" s="20" t="s">
        <v>653</v>
      </c>
      <c r="D345" s="20" t="s">
        <v>714</v>
      </c>
      <c r="E345" s="20" t="s">
        <v>2217</v>
      </c>
      <c r="F345" s="20" t="s">
        <v>2218</v>
      </c>
      <c r="G345" s="21">
        <v>13.4</v>
      </c>
      <c r="H345" s="16">
        <v>26</v>
      </c>
      <c r="I345" s="16"/>
      <c r="J345" s="17">
        <v>348.40000000000003</v>
      </c>
      <c r="K345" s="22"/>
      <c r="L345" s="23"/>
      <c r="M345" s="23">
        <v>0</v>
      </c>
      <c r="N345" s="19">
        <v>26.8</v>
      </c>
      <c r="O345" s="19">
        <v>-67</v>
      </c>
      <c r="P345" s="48">
        <v>67</v>
      </c>
      <c r="Q345" s="17">
        <v>0</v>
      </c>
      <c r="R345" s="24">
        <v>348.40000000000003</v>
      </c>
      <c r="S345" s="18" t="s">
        <v>28</v>
      </c>
      <c r="T345" s="25">
        <v>3</v>
      </c>
    </row>
    <row r="346" spans="1:20" s="26" customFormat="1" x14ac:dyDescent="0.25">
      <c r="A346" s="16">
        <v>226799</v>
      </c>
      <c r="B346" s="30" t="s">
        <v>200</v>
      </c>
      <c r="C346" s="20" t="s">
        <v>653</v>
      </c>
      <c r="D346" s="20" t="s">
        <v>714</v>
      </c>
      <c r="E346" s="20" t="s">
        <v>2219</v>
      </c>
      <c r="F346" s="20" t="s">
        <v>2220</v>
      </c>
      <c r="G346" s="21">
        <v>18.8</v>
      </c>
      <c r="H346" s="16">
        <v>26</v>
      </c>
      <c r="I346" s="16"/>
      <c r="J346" s="17">
        <v>488.8</v>
      </c>
      <c r="K346" s="22"/>
      <c r="L346" s="23"/>
      <c r="M346" s="23">
        <v>0</v>
      </c>
      <c r="N346" s="19">
        <v>37.6</v>
      </c>
      <c r="O346" s="19">
        <v>-94</v>
      </c>
      <c r="P346" s="48">
        <v>94</v>
      </c>
      <c r="Q346" s="17">
        <v>0</v>
      </c>
      <c r="R346" s="24">
        <v>488.8</v>
      </c>
      <c r="S346" s="18" t="s">
        <v>28</v>
      </c>
      <c r="T346" s="25">
        <v>3</v>
      </c>
    </row>
    <row r="347" spans="1:20" s="26" customFormat="1" x14ac:dyDescent="0.25">
      <c r="A347" s="16">
        <v>211844</v>
      </c>
      <c r="B347" s="30" t="s">
        <v>201</v>
      </c>
      <c r="C347" s="20" t="s">
        <v>654</v>
      </c>
      <c r="D347" s="20" t="s">
        <v>715</v>
      </c>
      <c r="E347" s="20" t="s">
        <v>2221</v>
      </c>
      <c r="F347" s="20" t="s">
        <v>2222</v>
      </c>
      <c r="G347" s="21">
        <v>18.8</v>
      </c>
      <c r="H347" s="16">
        <v>26</v>
      </c>
      <c r="I347" s="16"/>
      <c r="J347" s="17">
        <v>488.8</v>
      </c>
      <c r="K347" s="22"/>
      <c r="L347" s="23"/>
      <c r="M347" s="23">
        <v>0</v>
      </c>
      <c r="N347" s="19">
        <v>37.6</v>
      </c>
      <c r="O347" s="19">
        <v>-94</v>
      </c>
      <c r="P347" s="48">
        <v>94</v>
      </c>
      <c r="Q347" s="17">
        <v>0</v>
      </c>
      <c r="R347" s="24">
        <v>488.8</v>
      </c>
      <c r="S347" s="18" t="s">
        <v>28</v>
      </c>
      <c r="T347" s="25">
        <v>3</v>
      </c>
    </row>
    <row r="348" spans="1:20" s="26" customFormat="1" x14ac:dyDescent="0.25">
      <c r="A348" s="16">
        <v>213013</v>
      </c>
      <c r="B348" s="30" t="s">
        <v>1425</v>
      </c>
      <c r="C348" s="20" t="s">
        <v>654</v>
      </c>
      <c r="D348" s="20" t="s">
        <v>715</v>
      </c>
      <c r="E348" s="20" t="s">
        <v>2223</v>
      </c>
      <c r="F348" s="20" t="s">
        <v>2224</v>
      </c>
      <c r="G348" s="21">
        <v>13.4</v>
      </c>
      <c r="H348" s="16">
        <v>26</v>
      </c>
      <c r="I348" s="16"/>
      <c r="J348" s="17">
        <v>348.40000000000003</v>
      </c>
      <c r="K348" s="22"/>
      <c r="L348" s="23"/>
      <c r="M348" s="23">
        <v>0</v>
      </c>
      <c r="N348" s="19">
        <v>26.8</v>
      </c>
      <c r="O348" s="19">
        <v>-67</v>
      </c>
      <c r="P348" s="48">
        <v>67</v>
      </c>
      <c r="Q348" s="17">
        <v>0</v>
      </c>
      <c r="R348" s="24">
        <v>348.40000000000003</v>
      </c>
      <c r="S348" s="18" t="s">
        <v>28</v>
      </c>
      <c r="T348" s="25">
        <v>3</v>
      </c>
    </row>
    <row r="349" spans="1:20" s="26" customFormat="1" x14ac:dyDescent="0.25">
      <c r="A349" s="16">
        <v>213076</v>
      </c>
      <c r="B349" s="30" t="s">
        <v>202</v>
      </c>
      <c r="C349" s="20" t="s">
        <v>654</v>
      </c>
      <c r="D349" s="20" t="s">
        <v>715</v>
      </c>
      <c r="E349" s="20" t="s">
        <v>2225</v>
      </c>
      <c r="F349" s="20" t="s">
        <v>2226</v>
      </c>
      <c r="G349" s="21">
        <v>13.4</v>
      </c>
      <c r="H349" s="16">
        <v>26</v>
      </c>
      <c r="I349" s="16"/>
      <c r="J349" s="17">
        <v>348.40000000000003</v>
      </c>
      <c r="K349" s="22"/>
      <c r="L349" s="23"/>
      <c r="M349" s="23">
        <v>0</v>
      </c>
      <c r="N349" s="19">
        <v>26.8</v>
      </c>
      <c r="O349" s="19">
        <v>-67</v>
      </c>
      <c r="P349" s="48">
        <v>67</v>
      </c>
      <c r="Q349" s="17">
        <v>0</v>
      </c>
      <c r="R349" s="24">
        <v>348.40000000000003</v>
      </c>
      <c r="S349" s="18" t="s">
        <v>28</v>
      </c>
      <c r="T349" s="25">
        <v>3</v>
      </c>
    </row>
    <row r="350" spans="1:20" s="26" customFormat="1" x14ac:dyDescent="0.25">
      <c r="A350" s="16">
        <v>215307</v>
      </c>
      <c r="B350" s="30" t="s">
        <v>203</v>
      </c>
      <c r="C350" s="20" t="s">
        <v>654</v>
      </c>
      <c r="D350" s="20" t="s">
        <v>715</v>
      </c>
      <c r="E350" s="20" t="s">
        <v>2227</v>
      </c>
      <c r="F350" s="20" t="s">
        <v>2228</v>
      </c>
      <c r="G350" s="21">
        <v>13.4</v>
      </c>
      <c r="H350" s="16">
        <v>26</v>
      </c>
      <c r="I350" s="16"/>
      <c r="J350" s="17">
        <v>348.40000000000003</v>
      </c>
      <c r="K350" s="22"/>
      <c r="L350" s="23"/>
      <c r="M350" s="23">
        <v>0</v>
      </c>
      <c r="N350" s="19">
        <v>26.8</v>
      </c>
      <c r="O350" s="19">
        <v>-67</v>
      </c>
      <c r="P350" s="48">
        <v>67</v>
      </c>
      <c r="Q350" s="17">
        <v>0</v>
      </c>
      <c r="R350" s="24">
        <v>348.40000000000003</v>
      </c>
      <c r="S350" s="18" t="s">
        <v>28</v>
      </c>
      <c r="T350" s="25">
        <v>3</v>
      </c>
    </row>
    <row r="351" spans="1:20" s="26" customFormat="1" x14ac:dyDescent="0.25">
      <c r="A351" s="16">
        <v>222466</v>
      </c>
      <c r="B351" s="30" t="s">
        <v>205</v>
      </c>
      <c r="C351" s="20" t="s">
        <v>654</v>
      </c>
      <c r="D351" s="20" t="s">
        <v>715</v>
      </c>
      <c r="E351" s="20" t="s">
        <v>2229</v>
      </c>
      <c r="F351" s="20" t="s">
        <v>2230</v>
      </c>
      <c r="G351" s="21">
        <v>18.8</v>
      </c>
      <c r="H351" s="16">
        <v>26</v>
      </c>
      <c r="I351" s="16"/>
      <c r="J351" s="17">
        <v>488.8</v>
      </c>
      <c r="K351" s="22"/>
      <c r="L351" s="23"/>
      <c r="M351" s="23">
        <v>0</v>
      </c>
      <c r="N351" s="19">
        <v>37.6</v>
      </c>
      <c r="O351" s="19">
        <v>-94</v>
      </c>
      <c r="P351" s="48">
        <v>94</v>
      </c>
      <c r="Q351" s="17">
        <v>0</v>
      </c>
      <c r="R351" s="24">
        <v>488.8</v>
      </c>
      <c r="S351" s="18" t="s">
        <v>28</v>
      </c>
      <c r="T351" s="25">
        <v>3</v>
      </c>
    </row>
    <row r="352" spans="1:20" s="26" customFormat="1" x14ac:dyDescent="0.25">
      <c r="A352" s="16">
        <v>223562</v>
      </c>
      <c r="B352" s="30" t="s">
        <v>206</v>
      </c>
      <c r="C352" s="20" t="s">
        <v>654</v>
      </c>
      <c r="D352" s="20" t="s">
        <v>715</v>
      </c>
      <c r="E352" s="20" t="s">
        <v>2231</v>
      </c>
      <c r="F352" s="20" t="s">
        <v>2232</v>
      </c>
      <c r="G352" s="21">
        <v>18.8</v>
      </c>
      <c r="H352" s="16">
        <v>26</v>
      </c>
      <c r="I352" s="16">
        <v>1</v>
      </c>
      <c r="J352" s="17">
        <v>470</v>
      </c>
      <c r="K352" s="22"/>
      <c r="L352" s="23"/>
      <c r="M352" s="23">
        <v>0</v>
      </c>
      <c r="N352" s="19">
        <v>37.6</v>
      </c>
      <c r="O352" s="19">
        <v>-94</v>
      </c>
      <c r="P352" s="48">
        <v>94</v>
      </c>
      <c r="Q352" s="17">
        <v>0</v>
      </c>
      <c r="R352" s="24">
        <v>470</v>
      </c>
      <c r="S352" s="18" t="s">
        <v>28</v>
      </c>
      <c r="T352" s="25">
        <v>3</v>
      </c>
    </row>
    <row r="353" spans="1:20" s="26" customFormat="1" x14ac:dyDescent="0.25">
      <c r="A353" s="16">
        <v>223864</v>
      </c>
      <c r="B353" s="30" t="s">
        <v>207</v>
      </c>
      <c r="C353" s="20" t="s">
        <v>654</v>
      </c>
      <c r="D353" s="20" t="s">
        <v>715</v>
      </c>
      <c r="E353" s="20" t="s">
        <v>2233</v>
      </c>
      <c r="F353" s="20" t="s">
        <v>2234</v>
      </c>
      <c r="G353" s="21">
        <v>13.4</v>
      </c>
      <c r="H353" s="16">
        <v>26</v>
      </c>
      <c r="I353" s="16"/>
      <c r="J353" s="17">
        <v>348.40000000000003</v>
      </c>
      <c r="K353" s="22"/>
      <c r="L353" s="23"/>
      <c r="M353" s="23">
        <v>0</v>
      </c>
      <c r="N353" s="19">
        <v>26.8</v>
      </c>
      <c r="O353" s="19">
        <v>-67</v>
      </c>
      <c r="P353" s="48">
        <v>67</v>
      </c>
      <c r="Q353" s="17">
        <v>0</v>
      </c>
      <c r="R353" s="24">
        <v>348.40000000000003</v>
      </c>
      <c r="S353" s="18" t="s">
        <v>28</v>
      </c>
      <c r="T353" s="25">
        <v>3</v>
      </c>
    </row>
    <row r="354" spans="1:20" s="26" customFormat="1" x14ac:dyDescent="0.25">
      <c r="A354" s="65">
        <v>225387</v>
      </c>
      <c r="B354" s="30" t="s">
        <v>1163</v>
      </c>
      <c r="C354" s="20" t="s">
        <v>654</v>
      </c>
      <c r="D354" s="20" t="s">
        <v>715</v>
      </c>
      <c r="E354" s="20" t="s">
        <v>2235</v>
      </c>
      <c r="F354" s="20" t="s">
        <v>2236</v>
      </c>
      <c r="G354" s="21">
        <v>13.4</v>
      </c>
      <c r="H354" s="16">
        <v>26</v>
      </c>
      <c r="I354" s="16"/>
      <c r="J354" s="17">
        <v>348.40000000000003</v>
      </c>
      <c r="K354" s="22"/>
      <c r="L354" s="23"/>
      <c r="M354" s="23">
        <v>0</v>
      </c>
      <c r="N354" s="19">
        <v>26.8</v>
      </c>
      <c r="O354" s="19">
        <v>-67</v>
      </c>
      <c r="P354" s="48">
        <v>67</v>
      </c>
      <c r="Q354" s="17">
        <v>0</v>
      </c>
      <c r="R354" s="24">
        <v>348.40000000000003</v>
      </c>
      <c r="S354" s="18" t="s">
        <v>28</v>
      </c>
      <c r="T354" s="25">
        <v>3</v>
      </c>
    </row>
    <row r="355" spans="1:20" s="26" customFormat="1" x14ac:dyDescent="0.25">
      <c r="A355" s="16">
        <v>230475</v>
      </c>
      <c r="B355" s="30" t="s">
        <v>208</v>
      </c>
      <c r="C355" s="20" t="s">
        <v>654</v>
      </c>
      <c r="D355" s="20" t="s">
        <v>715</v>
      </c>
      <c r="E355" s="20" t="s">
        <v>2237</v>
      </c>
      <c r="F355" s="20" t="s">
        <v>2238</v>
      </c>
      <c r="G355" s="21">
        <v>13.4</v>
      </c>
      <c r="H355" s="16">
        <v>26</v>
      </c>
      <c r="I355" s="16"/>
      <c r="J355" s="17">
        <v>348.40000000000003</v>
      </c>
      <c r="K355" s="22"/>
      <c r="L355" s="23"/>
      <c r="M355" s="23">
        <v>0</v>
      </c>
      <c r="N355" s="19">
        <v>26.8</v>
      </c>
      <c r="O355" s="19">
        <v>-67</v>
      </c>
      <c r="P355" s="48">
        <v>67</v>
      </c>
      <c r="Q355" s="17">
        <v>0</v>
      </c>
      <c r="R355" s="24">
        <v>348.40000000000003</v>
      </c>
      <c r="S355" s="18" t="s">
        <v>28</v>
      </c>
      <c r="T355" s="25">
        <v>3</v>
      </c>
    </row>
    <row r="356" spans="1:20" s="26" customFormat="1" x14ac:dyDescent="0.25">
      <c r="A356" s="16">
        <v>231485</v>
      </c>
      <c r="B356" s="30" t="s">
        <v>786</v>
      </c>
      <c r="C356" s="20" t="s">
        <v>654</v>
      </c>
      <c r="D356" s="20" t="s">
        <v>715</v>
      </c>
      <c r="E356" s="20" t="s">
        <v>2239</v>
      </c>
      <c r="F356" s="20" t="s">
        <v>2240</v>
      </c>
      <c r="G356" s="21">
        <v>13.4</v>
      </c>
      <c r="H356" s="16">
        <v>26</v>
      </c>
      <c r="I356" s="16">
        <v>3</v>
      </c>
      <c r="J356" s="17">
        <v>308.2</v>
      </c>
      <c r="K356" s="22"/>
      <c r="L356" s="23"/>
      <c r="M356" s="23">
        <v>0</v>
      </c>
      <c r="N356" s="19">
        <v>26.8</v>
      </c>
      <c r="O356" s="19">
        <v>-67</v>
      </c>
      <c r="P356" s="48">
        <v>67</v>
      </c>
      <c r="Q356" s="17">
        <v>0</v>
      </c>
      <c r="R356" s="24">
        <v>308.2</v>
      </c>
      <c r="S356" s="18" t="s">
        <v>28</v>
      </c>
      <c r="T356" s="25">
        <v>3</v>
      </c>
    </row>
    <row r="357" spans="1:20" s="26" customFormat="1" x14ac:dyDescent="0.25">
      <c r="A357" s="16">
        <v>232380</v>
      </c>
      <c r="B357" s="30" t="s">
        <v>899</v>
      </c>
      <c r="C357" s="20" t="s">
        <v>654</v>
      </c>
      <c r="D357" s="20" t="s">
        <v>715</v>
      </c>
      <c r="E357" s="20" t="s">
        <v>2241</v>
      </c>
      <c r="F357" s="20" t="s">
        <v>2242</v>
      </c>
      <c r="G357" s="21">
        <v>13.4</v>
      </c>
      <c r="H357" s="16">
        <v>26</v>
      </c>
      <c r="I357" s="16"/>
      <c r="J357" s="17">
        <v>348.40000000000003</v>
      </c>
      <c r="K357" s="22"/>
      <c r="L357" s="23"/>
      <c r="M357" s="23">
        <v>0</v>
      </c>
      <c r="N357" s="19">
        <v>26.8</v>
      </c>
      <c r="O357" s="19">
        <v>-67</v>
      </c>
      <c r="P357" s="48">
        <v>67</v>
      </c>
      <c r="Q357" s="17">
        <v>0</v>
      </c>
      <c r="R357" s="24">
        <v>348.40000000000003</v>
      </c>
      <c r="S357" s="18" t="s">
        <v>28</v>
      </c>
      <c r="T357" s="25">
        <v>3</v>
      </c>
    </row>
    <row r="358" spans="1:20" s="26" customFormat="1" x14ac:dyDescent="0.25">
      <c r="A358" s="16">
        <v>232499</v>
      </c>
      <c r="B358" s="30" t="s">
        <v>900</v>
      </c>
      <c r="C358" s="20" t="s">
        <v>654</v>
      </c>
      <c r="D358" s="20" t="s">
        <v>715</v>
      </c>
      <c r="E358" s="20" t="s">
        <v>2243</v>
      </c>
      <c r="F358" s="20" t="s">
        <v>2244</v>
      </c>
      <c r="G358" s="21">
        <v>18.8</v>
      </c>
      <c r="H358" s="16">
        <v>26</v>
      </c>
      <c r="I358" s="16"/>
      <c r="J358" s="17">
        <v>488.8</v>
      </c>
      <c r="K358" s="22"/>
      <c r="L358" s="23"/>
      <c r="M358" s="23">
        <v>0</v>
      </c>
      <c r="N358" s="19">
        <v>37.6</v>
      </c>
      <c r="O358" s="19">
        <v>-94</v>
      </c>
      <c r="P358" s="48">
        <v>94</v>
      </c>
      <c r="Q358" s="17">
        <v>0</v>
      </c>
      <c r="R358" s="24">
        <v>488.8</v>
      </c>
      <c r="S358" s="18" t="s">
        <v>28</v>
      </c>
      <c r="T358" s="25">
        <v>3</v>
      </c>
    </row>
    <row r="359" spans="1:20" s="26" customFormat="1" x14ac:dyDescent="0.25">
      <c r="A359" s="16">
        <v>234473</v>
      </c>
      <c r="B359" s="30" t="s">
        <v>1280</v>
      </c>
      <c r="C359" s="20" t="s">
        <v>654</v>
      </c>
      <c r="D359" s="20" t="s">
        <v>715</v>
      </c>
      <c r="E359" s="20" t="s">
        <v>2245</v>
      </c>
      <c r="F359" s="20" t="s">
        <v>2246</v>
      </c>
      <c r="G359" s="21">
        <v>13.4</v>
      </c>
      <c r="H359" s="16">
        <v>26</v>
      </c>
      <c r="I359" s="16"/>
      <c r="J359" s="17">
        <v>348.40000000000003</v>
      </c>
      <c r="K359" s="22"/>
      <c r="L359" s="23">
        <v>11.25</v>
      </c>
      <c r="M359" s="23">
        <v>11.25</v>
      </c>
      <c r="N359" s="19">
        <v>26.8</v>
      </c>
      <c r="O359" s="19">
        <v>-55.75</v>
      </c>
      <c r="P359" s="48">
        <v>67</v>
      </c>
      <c r="Q359" s="17">
        <v>0</v>
      </c>
      <c r="R359" s="24">
        <v>348.40000000000003</v>
      </c>
      <c r="S359" s="18" t="s">
        <v>28</v>
      </c>
      <c r="T359" s="25">
        <v>3</v>
      </c>
    </row>
    <row r="360" spans="1:20" s="26" customFormat="1" x14ac:dyDescent="0.25">
      <c r="A360" s="16">
        <v>224116</v>
      </c>
      <c r="B360" s="30" t="s">
        <v>210</v>
      </c>
      <c r="C360" s="20" t="s">
        <v>640</v>
      </c>
      <c r="D360" s="20" t="s">
        <v>701</v>
      </c>
      <c r="E360" s="20" t="s">
        <v>2247</v>
      </c>
      <c r="F360" s="20" t="s">
        <v>2248</v>
      </c>
      <c r="G360" s="21">
        <v>13.4</v>
      </c>
      <c r="H360" s="16">
        <v>26</v>
      </c>
      <c r="I360" s="16"/>
      <c r="J360" s="17">
        <v>348.40000000000003</v>
      </c>
      <c r="K360" s="22"/>
      <c r="L360" s="23"/>
      <c r="M360" s="23">
        <v>0</v>
      </c>
      <c r="N360" s="19">
        <v>26.8</v>
      </c>
      <c r="O360" s="19">
        <v>-67</v>
      </c>
      <c r="P360" s="48">
        <v>67</v>
      </c>
      <c r="Q360" s="17">
        <v>0</v>
      </c>
      <c r="R360" s="24">
        <v>348.40000000000003</v>
      </c>
      <c r="S360" s="18" t="s">
        <v>28</v>
      </c>
      <c r="T360" s="25">
        <v>3</v>
      </c>
    </row>
    <row r="361" spans="1:20" s="26" customFormat="1" x14ac:dyDescent="0.25">
      <c r="A361" s="16">
        <v>232379</v>
      </c>
      <c r="B361" s="30" t="s">
        <v>901</v>
      </c>
      <c r="C361" s="20" t="s">
        <v>640</v>
      </c>
      <c r="D361" s="20" t="s">
        <v>702</v>
      </c>
      <c r="E361" s="20" t="s">
        <v>2249</v>
      </c>
      <c r="F361" s="20" t="s">
        <v>2250</v>
      </c>
      <c r="G361" s="21">
        <v>13.4</v>
      </c>
      <c r="H361" s="16">
        <v>26</v>
      </c>
      <c r="I361" s="16"/>
      <c r="J361" s="17">
        <v>348.40000000000003</v>
      </c>
      <c r="K361" s="22"/>
      <c r="L361" s="23"/>
      <c r="M361" s="23">
        <v>0</v>
      </c>
      <c r="N361" s="19">
        <v>26.8</v>
      </c>
      <c r="O361" s="19">
        <v>-67</v>
      </c>
      <c r="P361" s="48">
        <v>67</v>
      </c>
      <c r="Q361" s="17">
        <v>0</v>
      </c>
      <c r="R361" s="24">
        <v>348.40000000000003</v>
      </c>
      <c r="S361" s="18" t="s">
        <v>28</v>
      </c>
      <c r="T361" s="25">
        <v>3</v>
      </c>
    </row>
    <row r="362" spans="1:20" s="26" customFormat="1" x14ac:dyDescent="0.25">
      <c r="A362" s="16">
        <v>222344</v>
      </c>
      <c r="B362" s="30" t="s">
        <v>1426</v>
      </c>
      <c r="C362" s="20" t="s">
        <v>655</v>
      </c>
      <c r="D362" s="20" t="s">
        <v>734</v>
      </c>
      <c r="E362" s="20" t="s">
        <v>2251</v>
      </c>
      <c r="F362" s="20" t="s">
        <v>2252</v>
      </c>
      <c r="G362" s="21">
        <v>13.4</v>
      </c>
      <c r="H362" s="16">
        <v>26</v>
      </c>
      <c r="I362" s="16"/>
      <c r="J362" s="17">
        <v>348.40000000000003</v>
      </c>
      <c r="K362" s="22"/>
      <c r="L362" s="23">
        <v>40.200000000000003</v>
      </c>
      <c r="M362" s="23">
        <v>40.200000000000003</v>
      </c>
      <c r="N362" s="19">
        <v>26.8</v>
      </c>
      <c r="O362" s="19">
        <v>-26.799999999999997</v>
      </c>
      <c r="P362" s="48">
        <v>67</v>
      </c>
      <c r="Q362" s="17">
        <v>0</v>
      </c>
      <c r="R362" s="24">
        <v>348.40000000000003</v>
      </c>
      <c r="S362" s="18" t="s">
        <v>28</v>
      </c>
      <c r="T362" s="25">
        <v>3</v>
      </c>
    </row>
    <row r="363" spans="1:20" s="26" customFormat="1" x14ac:dyDescent="0.25">
      <c r="A363" s="16">
        <v>230336</v>
      </c>
      <c r="B363" s="30" t="s">
        <v>211</v>
      </c>
      <c r="C363" s="20" t="s">
        <v>655</v>
      </c>
      <c r="D363" s="20" t="s">
        <v>734</v>
      </c>
      <c r="E363" s="20" t="s">
        <v>2253</v>
      </c>
      <c r="F363" s="20" t="s">
        <v>2254</v>
      </c>
      <c r="G363" s="21">
        <v>13.4</v>
      </c>
      <c r="H363" s="16">
        <v>26</v>
      </c>
      <c r="I363" s="16"/>
      <c r="J363" s="17">
        <v>348.40000000000003</v>
      </c>
      <c r="K363" s="22"/>
      <c r="L363" s="23">
        <v>10</v>
      </c>
      <c r="M363" s="23">
        <v>10</v>
      </c>
      <c r="N363" s="19">
        <v>26.8</v>
      </c>
      <c r="O363" s="19">
        <v>-57</v>
      </c>
      <c r="P363" s="48">
        <v>67</v>
      </c>
      <c r="Q363" s="17">
        <v>0</v>
      </c>
      <c r="R363" s="24">
        <v>348.40000000000003</v>
      </c>
      <c r="S363" s="18" t="s">
        <v>28</v>
      </c>
      <c r="T363" s="25">
        <v>3</v>
      </c>
    </row>
    <row r="364" spans="1:20" s="26" customFormat="1" x14ac:dyDescent="0.25">
      <c r="A364" s="16">
        <v>231885</v>
      </c>
      <c r="B364" s="30" t="s">
        <v>819</v>
      </c>
      <c r="C364" s="20" t="s">
        <v>655</v>
      </c>
      <c r="D364" s="20" t="s">
        <v>734</v>
      </c>
      <c r="E364" s="20" t="s">
        <v>2255</v>
      </c>
      <c r="F364" s="20" t="s">
        <v>2256</v>
      </c>
      <c r="G364" s="21">
        <v>18.8</v>
      </c>
      <c r="H364" s="16">
        <v>26</v>
      </c>
      <c r="I364" s="16"/>
      <c r="J364" s="17">
        <v>488.8</v>
      </c>
      <c r="K364" s="22"/>
      <c r="L364" s="23"/>
      <c r="M364" s="23">
        <v>0</v>
      </c>
      <c r="N364" s="19">
        <v>37.6</v>
      </c>
      <c r="O364" s="19">
        <v>-94</v>
      </c>
      <c r="P364" s="48">
        <v>94</v>
      </c>
      <c r="Q364" s="17">
        <v>0</v>
      </c>
      <c r="R364" s="24">
        <v>488.8</v>
      </c>
      <c r="S364" s="18" t="s">
        <v>28</v>
      </c>
      <c r="T364" s="25">
        <v>3</v>
      </c>
    </row>
    <row r="365" spans="1:20" s="26" customFormat="1" x14ac:dyDescent="0.25">
      <c r="A365" s="16">
        <v>213678</v>
      </c>
      <c r="B365" s="30" t="s">
        <v>371</v>
      </c>
      <c r="C365" s="20" t="s">
        <v>641</v>
      </c>
      <c r="D365" s="20" t="s">
        <v>735</v>
      </c>
      <c r="E365" s="20" t="s">
        <v>2257</v>
      </c>
      <c r="F365" s="20" t="s">
        <v>4182</v>
      </c>
      <c r="G365" s="21">
        <v>32.200000000000003</v>
      </c>
      <c r="H365" s="16">
        <v>26</v>
      </c>
      <c r="I365" s="16"/>
      <c r="J365" s="17">
        <v>837.2</v>
      </c>
      <c r="K365" s="22"/>
      <c r="L365" s="23"/>
      <c r="M365" s="23">
        <v>0</v>
      </c>
      <c r="N365" s="19">
        <v>64.400000000000006</v>
      </c>
      <c r="O365" s="19">
        <v>-161</v>
      </c>
      <c r="P365" s="48">
        <v>161</v>
      </c>
      <c r="Q365" s="17">
        <v>0</v>
      </c>
      <c r="R365" s="24">
        <v>837.2</v>
      </c>
      <c r="S365" s="18" t="s">
        <v>28</v>
      </c>
      <c r="T365" s="25">
        <v>3</v>
      </c>
    </row>
    <row r="366" spans="1:20" s="26" customFormat="1" x14ac:dyDescent="0.25">
      <c r="A366" s="16">
        <v>216620</v>
      </c>
      <c r="B366" s="30" t="s">
        <v>212</v>
      </c>
      <c r="C366" s="20" t="s">
        <v>641</v>
      </c>
      <c r="D366" s="20" t="s">
        <v>705</v>
      </c>
      <c r="E366" s="20" t="s">
        <v>2258</v>
      </c>
      <c r="F366" s="20" t="s">
        <v>2259</v>
      </c>
      <c r="G366" s="21">
        <v>18.8</v>
      </c>
      <c r="H366" s="16">
        <v>26</v>
      </c>
      <c r="I366" s="16">
        <v>1</v>
      </c>
      <c r="J366" s="17">
        <v>470</v>
      </c>
      <c r="K366" s="22"/>
      <c r="L366" s="23"/>
      <c r="M366" s="23">
        <v>0</v>
      </c>
      <c r="N366" s="19">
        <v>37.6</v>
      </c>
      <c r="O366" s="19">
        <v>-94</v>
      </c>
      <c r="P366" s="48">
        <v>94</v>
      </c>
      <c r="Q366" s="17">
        <v>0</v>
      </c>
      <c r="R366" s="24">
        <v>470</v>
      </c>
      <c r="S366" s="18" t="s">
        <v>28</v>
      </c>
      <c r="T366" s="25">
        <v>3</v>
      </c>
    </row>
    <row r="367" spans="1:20" s="26" customFormat="1" x14ac:dyDescent="0.25">
      <c r="A367" s="16">
        <v>224578</v>
      </c>
      <c r="B367" s="30" t="s">
        <v>1427</v>
      </c>
      <c r="C367" s="20" t="s">
        <v>641</v>
      </c>
      <c r="D367" s="20" t="s">
        <v>704</v>
      </c>
      <c r="E367" s="20" t="s">
        <v>2260</v>
      </c>
      <c r="F367" s="20" t="s">
        <v>2261</v>
      </c>
      <c r="G367" s="21">
        <v>18.8</v>
      </c>
      <c r="H367" s="16">
        <v>26</v>
      </c>
      <c r="I367" s="16"/>
      <c r="J367" s="17">
        <v>488.8</v>
      </c>
      <c r="K367" s="22"/>
      <c r="L367" s="23"/>
      <c r="M367" s="23">
        <v>0</v>
      </c>
      <c r="N367" s="19">
        <v>37.6</v>
      </c>
      <c r="O367" s="19">
        <v>-94</v>
      </c>
      <c r="P367" s="48">
        <v>94</v>
      </c>
      <c r="Q367" s="17">
        <v>0</v>
      </c>
      <c r="R367" s="24">
        <v>488.8</v>
      </c>
      <c r="S367" s="18" t="s">
        <v>28</v>
      </c>
      <c r="T367" s="25">
        <v>3</v>
      </c>
    </row>
    <row r="368" spans="1:20" s="26" customFormat="1" x14ac:dyDescent="0.25">
      <c r="A368" s="16">
        <v>224579</v>
      </c>
      <c r="B368" s="30" t="s">
        <v>213</v>
      </c>
      <c r="C368" s="20" t="s">
        <v>641</v>
      </c>
      <c r="D368" s="20" t="s">
        <v>704</v>
      </c>
      <c r="E368" s="20" t="s">
        <v>2262</v>
      </c>
      <c r="F368" s="20" t="s">
        <v>2263</v>
      </c>
      <c r="G368" s="21">
        <v>13.4</v>
      </c>
      <c r="H368" s="16">
        <v>26</v>
      </c>
      <c r="I368" s="16"/>
      <c r="J368" s="17">
        <v>348.40000000000003</v>
      </c>
      <c r="K368" s="22"/>
      <c r="L368" s="23"/>
      <c r="M368" s="23">
        <v>0</v>
      </c>
      <c r="N368" s="19">
        <v>26.8</v>
      </c>
      <c r="O368" s="19">
        <v>-67</v>
      </c>
      <c r="P368" s="48">
        <v>67</v>
      </c>
      <c r="Q368" s="17">
        <v>0</v>
      </c>
      <c r="R368" s="24">
        <v>348.40000000000003</v>
      </c>
      <c r="S368" s="18" t="s">
        <v>28</v>
      </c>
      <c r="T368" s="25">
        <v>3</v>
      </c>
    </row>
    <row r="369" spans="1:20" s="26" customFormat="1" x14ac:dyDescent="0.25">
      <c r="A369" s="16">
        <v>226680</v>
      </c>
      <c r="B369" s="30" t="s">
        <v>1349</v>
      </c>
      <c r="C369" s="20" t="s">
        <v>641</v>
      </c>
      <c r="D369" s="20" t="s">
        <v>704</v>
      </c>
      <c r="E369" s="20" t="s">
        <v>2264</v>
      </c>
      <c r="F369" s="20" t="s">
        <v>2265</v>
      </c>
      <c r="G369" s="21">
        <v>26.8</v>
      </c>
      <c r="H369" s="16">
        <v>26</v>
      </c>
      <c r="I369" s="16"/>
      <c r="J369" s="17">
        <v>696.80000000000007</v>
      </c>
      <c r="K369" s="22"/>
      <c r="L369" s="23"/>
      <c r="M369" s="23">
        <v>0</v>
      </c>
      <c r="N369" s="19">
        <v>53.6</v>
      </c>
      <c r="O369" s="19">
        <v>-134</v>
      </c>
      <c r="P369" s="48">
        <v>134</v>
      </c>
      <c r="Q369" s="17">
        <v>0</v>
      </c>
      <c r="R369" s="24">
        <v>696.80000000000007</v>
      </c>
      <c r="S369" s="18" t="s">
        <v>28</v>
      </c>
      <c r="T369" s="25">
        <v>3</v>
      </c>
    </row>
    <row r="370" spans="1:20" s="26" customFormat="1" x14ac:dyDescent="0.25">
      <c r="A370" s="16">
        <v>233175</v>
      </c>
      <c r="B370" s="30" t="s">
        <v>972</v>
      </c>
      <c r="C370" s="20" t="s">
        <v>641</v>
      </c>
      <c r="D370" s="20" t="s">
        <v>704</v>
      </c>
      <c r="E370" s="20" t="s">
        <v>2266</v>
      </c>
      <c r="F370" s="20" t="s">
        <v>2267</v>
      </c>
      <c r="G370" s="21">
        <v>13.4</v>
      </c>
      <c r="H370" s="16">
        <v>26</v>
      </c>
      <c r="I370" s="16">
        <v>1</v>
      </c>
      <c r="J370" s="17">
        <v>335</v>
      </c>
      <c r="K370" s="22"/>
      <c r="L370" s="23"/>
      <c r="M370" s="23">
        <v>0</v>
      </c>
      <c r="N370" s="19">
        <v>26.8</v>
      </c>
      <c r="O370" s="19">
        <v>-67</v>
      </c>
      <c r="P370" s="48">
        <v>67</v>
      </c>
      <c r="Q370" s="17">
        <v>0</v>
      </c>
      <c r="R370" s="24">
        <v>335</v>
      </c>
      <c r="S370" s="18" t="s">
        <v>28</v>
      </c>
      <c r="T370" s="25">
        <v>3</v>
      </c>
    </row>
    <row r="371" spans="1:20" s="26" customFormat="1" x14ac:dyDescent="0.25">
      <c r="A371" s="16">
        <v>234138</v>
      </c>
      <c r="B371" s="30" t="s">
        <v>1164</v>
      </c>
      <c r="C371" s="20" t="s">
        <v>641</v>
      </c>
      <c r="D371" s="20" t="s">
        <v>704</v>
      </c>
      <c r="E371" s="20" t="s">
        <v>2268</v>
      </c>
      <c r="F371" s="20" t="s">
        <v>2269</v>
      </c>
      <c r="G371" s="21">
        <v>18.8</v>
      </c>
      <c r="H371" s="16">
        <v>26</v>
      </c>
      <c r="I371" s="16">
        <v>1</v>
      </c>
      <c r="J371" s="17">
        <v>470</v>
      </c>
      <c r="K371" s="22"/>
      <c r="L371" s="23"/>
      <c r="M371" s="23">
        <v>0</v>
      </c>
      <c r="N371" s="19">
        <v>37.6</v>
      </c>
      <c r="O371" s="19">
        <v>-94</v>
      </c>
      <c r="P371" s="48">
        <v>94</v>
      </c>
      <c r="Q371" s="17">
        <v>0</v>
      </c>
      <c r="R371" s="24">
        <v>470</v>
      </c>
      <c r="S371" s="18" t="s">
        <v>28</v>
      </c>
      <c r="T371" s="25">
        <v>3</v>
      </c>
    </row>
    <row r="372" spans="1:20" s="26" customFormat="1" x14ac:dyDescent="0.25">
      <c r="A372" s="16">
        <v>234722</v>
      </c>
      <c r="B372" s="30" t="s">
        <v>1350</v>
      </c>
      <c r="C372" s="20" t="s">
        <v>641</v>
      </c>
      <c r="D372" s="20" t="s">
        <v>704</v>
      </c>
      <c r="E372" s="20" t="s">
        <v>2270</v>
      </c>
      <c r="F372" s="20" t="s">
        <v>2271</v>
      </c>
      <c r="G372" s="21">
        <v>13.4</v>
      </c>
      <c r="H372" s="16">
        <v>26</v>
      </c>
      <c r="I372" s="16"/>
      <c r="J372" s="17">
        <v>348.40000000000003</v>
      </c>
      <c r="K372" s="22"/>
      <c r="L372" s="23"/>
      <c r="M372" s="23">
        <v>0</v>
      </c>
      <c r="N372" s="19">
        <v>26.8</v>
      </c>
      <c r="O372" s="19">
        <v>-67</v>
      </c>
      <c r="P372" s="48">
        <v>67</v>
      </c>
      <c r="Q372" s="17">
        <v>0</v>
      </c>
      <c r="R372" s="24">
        <v>348.40000000000003</v>
      </c>
      <c r="S372" s="18" t="s">
        <v>28</v>
      </c>
      <c r="T372" s="25">
        <v>3</v>
      </c>
    </row>
    <row r="373" spans="1:20" s="26" customFormat="1" x14ac:dyDescent="0.25">
      <c r="A373" s="16">
        <v>234979</v>
      </c>
      <c r="B373" s="30" t="s">
        <v>1428</v>
      </c>
      <c r="C373" s="20" t="s">
        <v>645</v>
      </c>
      <c r="D373" s="20" t="s">
        <v>711</v>
      </c>
      <c r="E373" s="20">
        <v>0</v>
      </c>
      <c r="F373" s="20" t="s">
        <v>4181</v>
      </c>
      <c r="G373" s="21">
        <v>13.4</v>
      </c>
      <c r="H373" s="16">
        <v>0</v>
      </c>
      <c r="I373" s="16"/>
      <c r="J373" s="17">
        <v>0</v>
      </c>
      <c r="K373" s="22"/>
      <c r="L373" s="23"/>
      <c r="M373" s="23">
        <v>0</v>
      </c>
      <c r="N373" s="19">
        <v>26.8</v>
      </c>
      <c r="O373" s="19">
        <v>-67</v>
      </c>
      <c r="P373" s="48">
        <v>67</v>
      </c>
      <c r="Q373" s="17">
        <v>0</v>
      </c>
      <c r="R373" s="24">
        <v>0</v>
      </c>
      <c r="S373" s="18" t="s">
        <v>12</v>
      </c>
      <c r="T373" s="25">
        <v>3</v>
      </c>
    </row>
    <row r="374" spans="1:20" s="26" customFormat="1" x14ac:dyDescent="0.25">
      <c r="A374" s="16">
        <v>234740</v>
      </c>
      <c r="B374" s="30" t="s">
        <v>1343</v>
      </c>
      <c r="C374" s="20" t="s">
        <v>637</v>
      </c>
      <c r="D374" s="20" t="s">
        <v>696</v>
      </c>
      <c r="E374" s="20" t="s">
        <v>1949</v>
      </c>
      <c r="F374" s="20" t="s">
        <v>1950</v>
      </c>
      <c r="G374" s="21">
        <v>18.8</v>
      </c>
      <c r="H374" s="16">
        <v>24</v>
      </c>
      <c r="I374" s="16"/>
      <c r="J374" s="17">
        <v>451.20000000000005</v>
      </c>
      <c r="K374" s="22"/>
      <c r="L374" s="23"/>
      <c r="M374" s="23">
        <v>0</v>
      </c>
      <c r="N374" s="19">
        <v>37.6</v>
      </c>
      <c r="O374" s="19">
        <v>-94</v>
      </c>
      <c r="P374" s="48">
        <v>94</v>
      </c>
      <c r="Q374" s="17">
        <v>0</v>
      </c>
      <c r="R374" s="24">
        <v>451.20000000000005</v>
      </c>
      <c r="S374" s="18" t="s">
        <v>28</v>
      </c>
      <c r="T374" s="25">
        <v>3</v>
      </c>
    </row>
    <row r="375" spans="1:20" s="26" customFormat="1" x14ac:dyDescent="0.25">
      <c r="A375" s="16">
        <v>208051</v>
      </c>
      <c r="B375" s="30" t="s">
        <v>214</v>
      </c>
      <c r="C375" s="20" t="s">
        <v>647</v>
      </c>
      <c r="D375" s="20" t="s">
        <v>720</v>
      </c>
      <c r="E375" s="20" t="s">
        <v>2272</v>
      </c>
      <c r="F375" s="20" t="s">
        <v>2273</v>
      </c>
      <c r="G375" s="21">
        <v>13.4</v>
      </c>
      <c r="H375" s="16">
        <v>26</v>
      </c>
      <c r="I375" s="16"/>
      <c r="J375" s="17">
        <v>348.40000000000003</v>
      </c>
      <c r="K375" s="22"/>
      <c r="L375" s="23"/>
      <c r="M375" s="23">
        <v>0</v>
      </c>
      <c r="N375" s="19">
        <v>26.8</v>
      </c>
      <c r="O375" s="19">
        <v>-67</v>
      </c>
      <c r="P375" s="48">
        <v>67</v>
      </c>
      <c r="Q375" s="17">
        <v>0</v>
      </c>
      <c r="R375" s="24">
        <v>348.40000000000003</v>
      </c>
      <c r="S375" s="18" t="s">
        <v>28</v>
      </c>
      <c r="T375" s="25">
        <v>4</v>
      </c>
    </row>
    <row r="376" spans="1:20" s="26" customFormat="1" x14ac:dyDescent="0.25">
      <c r="A376" s="16">
        <v>212000</v>
      </c>
      <c r="B376" s="30" t="s">
        <v>1165</v>
      </c>
      <c r="C376" s="20" t="s">
        <v>647</v>
      </c>
      <c r="D376" s="20" t="s">
        <v>720</v>
      </c>
      <c r="E376" s="20" t="s">
        <v>2274</v>
      </c>
      <c r="F376" s="20" t="s">
        <v>2275</v>
      </c>
      <c r="G376" s="21">
        <v>18.8</v>
      </c>
      <c r="H376" s="16">
        <v>26</v>
      </c>
      <c r="I376" s="16"/>
      <c r="J376" s="17">
        <v>488.8</v>
      </c>
      <c r="K376" s="22"/>
      <c r="L376" s="23"/>
      <c r="M376" s="23">
        <v>0</v>
      </c>
      <c r="N376" s="19">
        <v>37.6</v>
      </c>
      <c r="O376" s="19">
        <v>-94</v>
      </c>
      <c r="P376" s="48">
        <v>94</v>
      </c>
      <c r="Q376" s="17">
        <v>0</v>
      </c>
      <c r="R376" s="24">
        <v>488.8</v>
      </c>
      <c r="S376" s="18" t="s">
        <v>28</v>
      </c>
      <c r="T376" s="25">
        <v>4</v>
      </c>
    </row>
    <row r="377" spans="1:20" s="26" customFormat="1" x14ac:dyDescent="0.25">
      <c r="A377" s="16">
        <v>218725</v>
      </c>
      <c r="B377" s="30" t="s">
        <v>1166</v>
      </c>
      <c r="C377" s="20" t="s">
        <v>647</v>
      </c>
      <c r="D377" s="20" t="s">
        <v>720</v>
      </c>
      <c r="E377" s="20" t="s">
        <v>2276</v>
      </c>
      <c r="F377" s="20" t="s">
        <v>2277</v>
      </c>
      <c r="G377" s="21">
        <v>14.2</v>
      </c>
      <c r="H377" s="16">
        <v>26</v>
      </c>
      <c r="I377" s="16"/>
      <c r="J377" s="17">
        <v>369.2</v>
      </c>
      <c r="K377" s="22"/>
      <c r="L377" s="23"/>
      <c r="M377" s="23">
        <v>0</v>
      </c>
      <c r="N377" s="19">
        <v>28.4</v>
      </c>
      <c r="O377" s="19">
        <v>-71</v>
      </c>
      <c r="P377" s="48">
        <v>71</v>
      </c>
      <c r="Q377" s="17">
        <v>0</v>
      </c>
      <c r="R377" s="24">
        <v>369.2</v>
      </c>
      <c r="S377" s="18" t="s">
        <v>28</v>
      </c>
      <c r="T377" s="25">
        <v>4</v>
      </c>
    </row>
    <row r="378" spans="1:20" s="26" customFormat="1" x14ac:dyDescent="0.25">
      <c r="A378" s="16">
        <v>218757</v>
      </c>
      <c r="B378" s="30" t="s">
        <v>215</v>
      </c>
      <c r="C378" s="20" t="s">
        <v>647</v>
      </c>
      <c r="D378" s="20" t="s">
        <v>720</v>
      </c>
      <c r="E378" s="20" t="s">
        <v>2278</v>
      </c>
      <c r="F378" s="20" t="s">
        <v>2279</v>
      </c>
      <c r="G378" s="21">
        <v>18.8</v>
      </c>
      <c r="H378" s="16">
        <v>26</v>
      </c>
      <c r="I378" s="16"/>
      <c r="J378" s="17">
        <v>488.8</v>
      </c>
      <c r="K378" s="22"/>
      <c r="L378" s="23"/>
      <c r="M378" s="23">
        <v>0</v>
      </c>
      <c r="N378" s="19">
        <v>37.6</v>
      </c>
      <c r="O378" s="19">
        <v>-94</v>
      </c>
      <c r="P378" s="48">
        <v>94</v>
      </c>
      <c r="Q378" s="17">
        <v>0</v>
      </c>
      <c r="R378" s="24">
        <v>488.8</v>
      </c>
      <c r="S378" s="18" t="s">
        <v>28</v>
      </c>
      <c r="T378" s="25">
        <v>4</v>
      </c>
    </row>
    <row r="379" spans="1:20" s="26" customFormat="1" x14ac:dyDescent="0.25">
      <c r="A379" s="16">
        <v>221852</v>
      </c>
      <c r="B379" s="30" t="s">
        <v>1429</v>
      </c>
      <c r="C379" s="20" t="s">
        <v>647</v>
      </c>
      <c r="D379" s="20" t="s">
        <v>720</v>
      </c>
      <c r="E379" s="20" t="s">
        <v>2280</v>
      </c>
      <c r="F379" s="20" t="s">
        <v>2281</v>
      </c>
      <c r="G379" s="21">
        <v>13.4</v>
      </c>
      <c r="H379" s="16">
        <v>26</v>
      </c>
      <c r="I379" s="16">
        <v>3</v>
      </c>
      <c r="J379" s="17">
        <v>308.2</v>
      </c>
      <c r="K379" s="22"/>
      <c r="L379" s="23"/>
      <c r="M379" s="23">
        <v>0</v>
      </c>
      <c r="N379" s="19">
        <v>26.8</v>
      </c>
      <c r="O379" s="19">
        <v>-67</v>
      </c>
      <c r="P379" s="48">
        <v>67</v>
      </c>
      <c r="Q379" s="17">
        <v>0</v>
      </c>
      <c r="R379" s="24">
        <v>308.2</v>
      </c>
      <c r="S379" s="18" t="s">
        <v>28</v>
      </c>
      <c r="T379" s="25">
        <v>4</v>
      </c>
    </row>
    <row r="380" spans="1:20" s="26" customFormat="1" x14ac:dyDescent="0.25">
      <c r="A380" s="16">
        <v>226424</v>
      </c>
      <c r="B380" s="30" t="s">
        <v>217</v>
      </c>
      <c r="C380" s="20" t="s">
        <v>647</v>
      </c>
      <c r="D380" s="20" t="s">
        <v>721</v>
      </c>
      <c r="E380" s="20" t="s">
        <v>2282</v>
      </c>
      <c r="F380" s="20" t="s">
        <v>2283</v>
      </c>
      <c r="G380" s="21">
        <v>18.8</v>
      </c>
      <c r="H380" s="16">
        <v>26</v>
      </c>
      <c r="I380" s="16"/>
      <c r="J380" s="17">
        <v>488.8</v>
      </c>
      <c r="K380" s="22"/>
      <c r="L380" s="23"/>
      <c r="M380" s="23">
        <v>0</v>
      </c>
      <c r="N380" s="19">
        <v>37.6</v>
      </c>
      <c r="O380" s="19">
        <v>-94</v>
      </c>
      <c r="P380" s="48">
        <v>94</v>
      </c>
      <c r="Q380" s="17">
        <v>0</v>
      </c>
      <c r="R380" s="24">
        <v>488.8</v>
      </c>
      <c r="S380" s="18" t="s">
        <v>28</v>
      </c>
      <c r="T380" s="25">
        <v>4</v>
      </c>
    </row>
    <row r="381" spans="1:20" s="26" customFormat="1" x14ac:dyDescent="0.25">
      <c r="A381" s="16">
        <v>230909</v>
      </c>
      <c r="B381" s="30" t="s">
        <v>529</v>
      </c>
      <c r="C381" s="20" t="s">
        <v>647</v>
      </c>
      <c r="D381" s="20" t="s">
        <v>720</v>
      </c>
      <c r="E381" s="20" t="s">
        <v>2284</v>
      </c>
      <c r="F381" s="20" t="s">
        <v>2285</v>
      </c>
      <c r="G381" s="21">
        <v>13.4</v>
      </c>
      <c r="H381" s="16">
        <v>26</v>
      </c>
      <c r="I381" s="16">
        <v>3</v>
      </c>
      <c r="J381" s="17">
        <v>308.2</v>
      </c>
      <c r="K381" s="22"/>
      <c r="L381" s="23"/>
      <c r="M381" s="23">
        <v>0</v>
      </c>
      <c r="N381" s="19">
        <v>26.8</v>
      </c>
      <c r="O381" s="19">
        <v>-67</v>
      </c>
      <c r="P381" s="48">
        <v>67</v>
      </c>
      <c r="Q381" s="17">
        <v>0</v>
      </c>
      <c r="R381" s="24">
        <v>308.2</v>
      </c>
      <c r="S381" s="18" t="s">
        <v>28</v>
      </c>
      <c r="T381" s="25">
        <v>4</v>
      </c>
    </row>
    <row r="382" spans="1:20" s="26" customFormat="1" x14ac:dyDescent="0.25">
      <c r="A382" s="16">
        <v>232621</v>
      </c>
      <c r="B382" s="30" t="s">
        <v>1430</v>
      </c>
      <c r="C382" s="20" t="s">
        <v>647</v>
      </c>
      <c r="D382" s="20" t="s">
        <v>721</v>
      </c>
      <c r="E382" s="20" t="s">
        <v>2286</v>
      </c>
      <c r="F382" s="20" t="s">
        <v>2287</v>
      </c>
      <c r="G382" s="21">
        <v>18.8</v>
      </c>
      <c r="H382" s="16">
        <v>26</v>
      </c>
      <c r="I382" s="16"/>
      <c r="J382" s="17">
        <v>488.8</v>
      </c>
      <c r="K382" s="22"/>
      <c r="L382" s="23"/>
      <c r="M382" s="23">
        <v>0</v>
      </c>
      <c r="N382" s="19">
        <v>37.6</v>
      </c>
      <c r="O382" s="19">
        <v>-94</v>
      </c>
      <c r="P382" s="48">
        <v>94</v>
      </c>
      <c r="Q382" s="17">
        <v>0</v>
      </c>
      <c r="R382" s="24">
        <v>488.8</v>
      </c>
      <c r="S382" s="18" t="s">
        <v>28</v>
      </c>
      <c r="T382" s="25">
        <v>4</v>
      </c>
    </row>
    <row r="383" spans="1:20" s="26" customFormat="1" x14ac:dyDescent="0.25">
      <c r="A383" s="16">
        <v>232622</v>
      </c>
      <c r="B383" s="30" t="s">
        <v>933</v>
      </c>
      <c r="C383" s="20" t="s">
        <v>647</v>
      </c>
      <c r="D383" s="20" t="s">
        <v>721</v>
      </c>
      <c r="E383" s="20" t="s">
        <v>2288</v>
      </c>
      <c r="F383" s="20" t="s">
        <v>2289</v>
      </c>
      <c r="G383" s="21">
        <v>13.4</v>
      </c>
      <c r="H383" s="16">
        <v>26</v>
      </c>
      <c r="I383" s="16"/>
      <c r="J383" s="17">
        <v>348.40000000000003</v>
      </c>
      <c r="K383" s="22"/>
      <c r="L383" s="23"/>
      <c r="M383" s="23">
        <v>0</v>
      </c>
      <c r="N383" s="19">
        <v>26.8</v>
      </c>
      <c r="O383" s="19">
        <v>-67</v>
      </c>
      <c r="P383" s="48">
        <v>67</v>
      </c>
      <c r="Q383" s="17">
        <v>0</v>
      </c>
      <c r="R383" s="24">
        <v>348.40000000000003</v>
      </c>
      <c r="S383" s="18" t="s">
        <v>28</v>
      </c>
      <c r="T383" s="25">
        <v>4</v>
      </c>
    </row>
    <row r="384" spans="1:20" s="26" customFormat="1" x14ac:dyDescent="0.25">
      <c r="A384" s="16">
        <v>232671</v>
      </c>
      <c r="B384" s="30" t="s">
        <v>934</v>
      </c>
      <c r="C384" s="20" t="s">
        <v>647</v>
      </c>
      <c r="D384" s="20" t="s">
        <v>720</v>
      </c>
      <c r="E384" s="20" t="s">
        <v>2290</v>
      </c>
      <c r="F384" s="20" t="s">
        <v>2291</v>
      </c>
      <c r="G384" s="21">
        <v>18.8</v>
      </c>
      <c r="H384" s="16">
        <v>26</v>
      </c>
      <c r="I384" s="16"/>
      <c r="J384" s="17">
        <v>488.8</v>
      </c>
      <c r="K384" s="22"/>
      <c r="L384" s="23"/>
      <c r="M384" s="23">
        <v>0</v>
      </c>
      <c r="N384" s="19">
        <v>37.6</v>
      </c>
      <c r="O384" s="19">
        <v>-94</v>
      </c>
      <c r="P384" s="48">
        <v>94</v>
      </c>
      <c r="Q384" s="17">
        <v>0</v>
      </c>
      <c r="R384" s="24">
        <v>488.8</v>
      </c>
      <c r="S384" s="18" t="s">
        <v>28</v>
      </c>
      <c r="T384" s="25">
        <v>4</v>
      </c>
    </row>
    <row r="385" spans="1:20" s="26" customFormat="1" x14ac:dyDescent="0.25">
      <c r="A385" s="16">
        <v>233527</v>
      </c>
      <c r="B385" s="30" t="s">
        <v>1055</v>
      </c>
      <c r="C385" s="20" t="s">
        <v>647</v>
      </c>
      <c r="D385" s="20" t="s">
        <v>721</v>
      </c>
      <c r="E385" s="20" t="s">
        <v>2292</v>
      </c>
      <c r="F385" s="20" t="s">
        <v>2293</v>
      </c>
      <c r="G385" s="21">
        <v>18.8</v>
      </c>
      <c r="H385" s="16">
        <v>26</v>
      </c>
      <c r="I385" s="16"/>
      <c r="J385" s="17">
        <v>488.8</v>
      </c>
      <c r="K385" s="22"/>
      <c r="L385" s="23"/>
      <c r="M385" s="23">
        <v>0</v>
      </c>
      <c r="N385" s="19">
        <v>37.6</v>
      </c>
      <c r="O385" s="19">
        <v>-94</v>
      </c>
      <c r="P385" s="48">
        <v>94</v>
      </c>
      <c r="Q385" s="17">
        <v>0</v>
      </c>
      <c r="R385" s="24">
        <v>488.8</v>
      </c>
      <c r="S385" s="18" t="s">
        <v>28</v>
      </c>
      <c r="T385" s="25">
        <v>4</v>
      </c>
    </row>
    <row r="386" spans="1:20" s="26" customFormat="1" x14ac:dyDescent="0.25">
      <c r="A386" s="16">
        <v>234100</v>
      </c>
      <c r="B386" s="30" t="s">
        <v>1167</v>
      </c>
      <c r="C386" s="20" t="s">
        <v>647</v>
      </c>
      <c r="D386" s="20" t="s">
        <v>721</v>
      </c>
      <c r="E386" s="20" t="s">
        <v>2294</v>
      </c>
      <c r="F386" s="20" t="s">
        <v>2295</v>
      </c>
      <c r="G386" s="21">
        <v>13.4</v>
      </c>
      <c r="H386" s="16">
        <v>26</v>
      </c>
      <c r="I386" s="16"/>
      <c r="J386" s="17">
        <v>348.40000000000003</v>
      </c>
      <c r="K386" s="22"/>
      <c r="L386" s="23"/>
      <c r="M386" s="23">
        <v>0</v>
      </c>
      <c r="N386" s="19">
        <v>26.8</v>
      </c>
      <c r="O386" s="19">
        <v>-67</v>
      </c>
      <c r="P386" s="48">
        <v>67</v>
      </c>
      <c r="Q386" s="17">
        <v>0</v>
      </c>
      <c r="R386" s="24">
        <v>348.40000000000003</v>
      </c>
      <c r="S386" s="18" t="s">
        <v>28</v>
      </c>
      <c r="T386" s="25">
        <v>4</v>
      </c>
    </row>
    <row r="387" spans="1:20" s="26" customFormat="1" x14ac:dyDescent="0.25">
      <c r="A387" s="16">
        <v>234969</v>
      </c>
      <c r="B387" s="30" t="s">
        <v>1431</v>
      </c>
      <c r="C387" s="20" t="s">
        <v>647</v>
      </c>
      <c r="D387" s="20" t="s">
        <v>721</v>
      </c>
      <c r="E387" s="20" t="s">
        <v>2296</v>
      </c>
      <c r="F387" s="20" t="s">
        <v>2297</v>
      </c>
      <c r="G387" s="21">
        <v>13.4</v>
      </c>
      <c r="H387" s="16">
        <v>26</v>
      </c>
      <c r="I387" s="16"/>
      <c r="J387" s="17">
        <v>348.40000000000003</v>
      </c>
      <c r="K387" s="22"/>
      <c r="L387" s="23"/>
      <c r="M387" s="23">
        <v>0</v>
      </c>
      <c r="N387" s="19">
        <v>26.8</v>
      </c>
      <c r="O387" s="19">
        <v>-67</v>
      </c>
      <c r="P387" s="48">
        <v>67</v>
      </c>
      <c r="Q387" s="17">
        <v>0</v>
      </c>
      <c r="R387" s="24">
        <v>348.40000000000003</v>
      </c>
      <c r="S387" s="18" t="s">
        <v>28</v>
      </c>
      <c r="T387" s="25">
        <v>4</v>
      </c>
    </row>
    <row r="388" spans="1:20" s="26" customFormat="1" x14ac:dyDescent="0.25">
      <c r="A388" s="16">
        <v>234981</v>
      </c>
      <c r="B388" s="30" t="s">
        <v>1432</v>
      </c>
      <c r="C388" s="20" t="s">
        <v>647</v>
      </c>
      <c r="D388" s="20" t="s">
        <v>724</v>
      </c>
      <c r="E388" s="20" t="s">
        <v>2298</v>
      </c>
      <c r="F388" s="20" t="s">
        <v>2299</v>
      </c>
      <c r="G388" s="21">
        <v>13.4</v>
      </c>
      <c r="H388" s="16">
        <v>26</v>
      </c>
      <c r="I388" s="16"/>
      <c r="J388" s="17">
        <v>348.40000000000003</v>
      </c>
      <c r="K388" s="22"/>
      <c r="L388" s="23"/>
      <c r="M388" s="23">
        <v>0</v>
      </c>
      <c r="N388" s="19">
        <v>26.8</v>
      </c>
      <c r="O388" s="19">
        <v>-67</v>
      </c>
      <c r="P388" s="48">
        <v>67</v>
      </c>
      <c r="Q388" s="17">
        <v>0</v>
      </c>
      <c r="R388" s="24">
        <v>348.40000000000003</v>
      </c>
      <c r="S388" s="18" t="s">
        <v>28</v>
      </c>
      <c r="T388" s="25">
        <v>4</v>
      </c>
    </row>
    <row r="389" spans="1:20" s="26" customFormat="1" x14ac:dyDescent="0.25">
      <c r="A389" s="16">
        <v>219941</v>
      </c>
      <c r="B389" s="30" t="s">
        <v>365</v>
      </c>
      <c r="C389" s="20" t="s">
        <v>630</v>
      </c>
      <c r="D389" s="20" t="s">
        <v>736</v>
      </c>
      <c r="E389" s="20" t="s">
        <v>2300</v>
      </c>
      <c r="F389" s="20" t="s">
        <v>2301</v>
      </c>
      <c r="G389" s="21">
        <v>18.8</v>
      </c>
      <c r="H389" s="16">
        <v>22</v>
      </c>
      <c r="I389" s="16"/>
      <c r="J389" s="17">
        <v>413.6</v>
      </c>
      <c r="K389" s="22"/>
      <c r="L389" s="23"/>
      <c r="M389" s="23">
        <v>0</v>
      </c>
      <c r="N389" s="19">
        <v>37.6</v>
      </c>
      <c r="O389" s="19">
        <v>-94</v>
      </c>
      <c r="P389" s="48">
        <v>94</v>
      </c>
      <c r="Q389" s="17">
        <v>0</v>
      </c>
      <c r="R389" s="24">
        <v>413.6</v>
      </c>
      <c r="S389" s="18" t="s">
        <v>28</v>
      </c>
      <c r="T389" s="25">
        <v>4</v>
      </c>
    </row>
    <row r="390" spans="1:20" s="26" customFormat="1" x14ac:dyDescent="0.25">
      <c r="A390" s="16">
        <v>220524</v>
      </c>
      <c r="B390" s="30" t="s">
        <v>1433</v>
      </c>
      <c r="C390" s="20" t="s">
        <v>648</v>
      </c>
      <c r="D390" s="20" t="s">
        <v>718</v>
      </c>
      <c r="E390" s="20" t="s">
        <v>2302</v>
      </c>
      <c r="F390" s="20" t="s">
        <v>2303</v>
      </c>
      <c r="G390" s="21">
        <v>18.8</v>
      </c>
      <c r="H390" s="16">
        <v>26</v>
      </c>
      <c r="I390" s="16">
        <v>4</v>
      </c>
      <c r="J390" s="17">
        <v>413.6</v>
      </c>
      <c r="K390" s="22"/>
      <c r="L390" s="23"/>
      <c r="M390" s="23">
        <v>0</v>
      </c>
      <c r="N390" s="19">
        <v>37.6</v>
      </c>
      <c r="O390" s="19">
        <v>-94</v>
      </c>
      <c r="P390" s="48">
        <v>94</v>
      </c>
      <c r="Q390" s="17">
        <v>0</v>
      </c>
      <c r="R390" s="24">
        <v>413.6</v>
      </c>
      <c r="S390" s="18" t="s">
        <v>28</v>
      </c>
      <c r="T390" s="25">
        <v>4</v>
      </c>
    </row>
    <row r="391" spans="1:20" s="26" customFormat="1" x14ac:dyDescent="0.25">
      <c r="A391" s="16">
        <v>222513</v>
      </c>
      <c r="B391" s="30" t="s">
        <v>216</v>
      </c>
      <c r="C391" s="20" t="s">
        <v>648</v>
      </c>
      <c r="D391" s="20" t="s">
        <v>718</v>
      </c>
      <c r="E391" s="20" t="s">
        <v>2304</v>
      </c>
      <c r="F391" s="20" t="s">
        <v>2305</v>
      </c>
      <c r="G391" s="21">
        <v>18.8</v>
      </c>
      <c r="H391" s="16">
        <v>17</v>
      </c>
      <c r="I391" s="16"/>
      <c r="J391" s="17">
        <v>319.60000000000002</v>
      </c>
      <c r="K391" s="22"/>
      <c r="L391" s="23"/>
      <c r="M391" s="23">
        <v>0</v>
      </c>
      <c r="N391" s="19">
        <v>37.6</v>
      </c>
      <c r="O391" s="19">
        <v>-94</v>
      </c>
      <c r="P391" s="48">
        <v>94</v>
      </c>
      <c r="Q391" s="17">
        <v>0</v>
      </c>
      <c r="R391" s="24">
        <v>319.60000000000002</v>
      </c>
      <c r="S391" s="18" t="s">
        <v>28</v>
      </c>
      <c r="T391" s="25">
        <v>4</v>
      </c>
    </row>
    <row r="392" spans="1:20" s="26" customFormat="1" x14ac:dyDescent="0.25">
      <c r="A392" s="16">
        <v>223742</v>
      </c>
      <c r="B392" s="30" t="s">
        <v>1168</v>
      </c>
      <c r="C392" s="20" t="s">
        <v>648</v>
      </c>
      <c r="D392" s="20" t="s">
        <v>718</v>
      </c>
      <c r="E392" s="20" t="s">
        <v>2306</v>
      </c>
      <c r="F392" s="20" t="s">
        <v>2307</v>
      </c>
      <c r="G392" s="21">
        <v>13.4</v>
      </c>
      <c r="H392" s="16">
        <v>26</v>
      </c>
      <c r="I392" s="16"/>
      <c r="J392" s="17">
        <v>348.40000000000003</v>
      </c>
      <c r="K392" s="22"/>
      <c r="L392" s="23"/>
      <c r="M392" s="23">
        <v>0</v>
      </c>
      <c r="N392" s="19">
        <v>26.8</v>
      </c>
      <c r="O392" s="19">
        <v>-67</v>
      </c>
      <c r="P392" s="48">
        <v>67</v>
      </c>
      <c r="Q392" s="17">
        <v>0</v>
      </c>
      <c r="R392" s="24">
        <v>348.40000000000003</v>
      </c>
      <c r="S392" s="18" t="s">
        <v>28</v>
      </c>
      <c r="T392" s="25">
        <v>4</v>
      </c>
    </row>
    <row r="393" spans="1:20" s="26" customFormat="1" x14ac:dyDescent="0.25">
      <c r="A393" s="16">
        <v>226081</v>
      </c>
      <c r="B393" s="30" t="s">
        <v>181</v>
      </c>
      <c r="C393" s="20" t="s">
        <v>648</v>
      </c>
      <c r="D393" s="20" t="s">
        <v>737</v>
      </c>
      <c r="E393" s="20" t="s">
        <v>2308</v>
      </c>
      <c r="F393" s="20" t="s">
        <v>2309</v>
      </c>
      <c r="G393" s="21">
        <v>18.8</v>
      </c>
      <c r="H393" s="16">
        <v>26</v>
      </c>
      <c r="I393" s="16"/>
      <c r="J393" s="17">
        <v>488.8</v>
      </c>
      <c r="K393" s="22"/>
      <c r="L393" s="23"/>
      <c r="M393" s="23">
        <v>0</v>
      </c>
      <c r="N393" s="19">
        <v>37.6</v>
      </c>
      <c r="O393" s="19">
        <v>-94</v>
      </c>
      <c r="P393" s="48">
        <v>94</v>
      </c>
      <c r="Q393" s="17">
        <v>0</v>
      </c>
      <c r="R393" s="24">
        <v>488.8</v>
      </c>
      <c r="S393" s="18" t="s">
        <v>28</v>
      </c>
      <c r="T393" s="25">
        <v>4</v>
      </c>
    </row>
    <row r="394" spans="1:20" s="26" customFormat="1" x14ac:dyDescent="0.25">
      <c r="A394" s="16">
        <v>228923</v>
      </c>
      <c r="B394" s="30" t="s">
        <v>218</v>
      </c>
      <c r="C394" s="20" t="s">
        <v>648</v>
      </c>
      <c r="D394" s="20" t="s">
        <v>718</v>
      </c>
      <c r="E394" s="20" t="s">
        <v>2310</v>
      </c>
      <c r="F394" s="20" t="s">
        <v>2311</v>
      </c>
      <c r="G394" s="21">
        <v>13.4</v>
      </c>
      <c r="H394" s="16">
        <v>26</v>
      </c>
      <c r="I394" s="16"/>
      <c r="J394" s="17">
        <v>348.40000000000003</v>
      </c>
      <c r="K394" s="22"/>
      <c r="L394" s="23"/>
      <c r="M394" s="23">
        <v>0</v>
      </c>
      <c r="N394" s="19">
        <v>26.8</v>
      </c>
      <c r="O394" s="19">
        <v>-67</v>
      </c>
      <c r="P394" s="48">
        <v>67</v>
      </c>
      <c r="Q394" s="17">
        <v>0</v>
      </c>
      <c r="R394" s="24">
        <v>348.40000000000003</v>
      </c>
      <c r="S394" s="18" t="s">
        <v>28</v>
      </c>
      <c r="T394" s="25">
        <v>4</v>
      </c>
    </row>
    <row r="395" spans="1:20" s="26" customFormat="1" x14ac:dyDescent="0.25">
      <c r="A395" s="16">
        <v>233453</v>
      </c>
      <c r="B395" s="30" t="s">
        <v>1351</v>
      </c>
      <c r="C395" s="20" t="s">
        <v>648</v>
      </c>
      <c r="D395" s="20" t="s">
        <v>718</v>
      </c>
      <c r="E395" s="20" t="s">
        <v>2312</v>
      </c>
      <c r="F395" s="20" t="s">
        <v>2313</v>
      </c>
      <c r="G395" s="21">
        <v>13.4</v>
      </c>
      <c r="H395" s="16">
        <v>26</v>
      </c>
      <c r="I395" s="16"/>
      <c r="J395" s="17">
        <v>348.40000000000003</v>
      </c>
      <c r="K395" s="22"/>
      <c r="L395" s="23">
        <v>261.8</v>
      </c>
      <c r="M395" s="23">
        <v>261.8</v>
      </c>
      <c r="N395" s="19">
        <v>26.8</v>
      </c>
      <c r="O395" s="19">
        <v>194.8</v>
      </c>
      <c r="P395" s="48">
        <v>67</v>
      </c>
      <c r="Q395" s="17">
        <v>194.8</v>
      </c>
      <c r="R395" s="24">
        <v>153.60000000000002</v>
      </c>
      <c r="S395" s="18" t="s">
        <v>11</v>
      </c>
      <c r="T395" s="25">
        <v>4</v>
      </c>
    </row>
    <row r="396" spans="1:20" s="26" customFormat="1" x14ac:dyDescent="0.25">
      <c r="A396" s="16">
        <v>215216</v>
      </c>
      <c r="B396" s="30" t="s">
        <v>219</v>
      </c>
      <c r="C396" s="20" t="s">
        <v>650</v>
      </c>
      <c r="D396" s="20" t="s">
        <v>726</v>
      </c>
      <c r="E396" s="20" t="s">
        <v>2314</v>
      </c>
      <c r="F396" s="20" t="s">
        <v>2315</v>
      </c>
      <c r="G396" s="21">
        <v>18.8</v>
      </c>
      <c r="H396" s="16">
        <v>26</v>
      </c>
      <c r="I396" s="16"/>
      <c r="J396" s="17">
        <v>488.8</v>
      </c>
      <c r="K396" s="22"/>
      <c r="L396" s="23"/>
      <c r="M396" s="23">
        <v>0</v>
      </c>
      <c r="N396" s="19">
        <v>37.6</v>
      </c>
      <c r="O396" s="19">
        <v>-94</v>
      </c>
      <c r="P396" s="48">
        <v>94</v>
      </c>
      <c r="Q396" s="17">
        <v>0</v>
      </c>
      <c r="R396" s="24">
        <v>488.8</v>
      </c>
      <c r="S396" s="18" t="s">
        <v>28</v>
      </c>
      <c r="T396" s="25">
        <v>4</v>
      </c>
    </row>
    <row r="397" spans="1:20" s="26" customFormat="1" x14ac:dyDescent="0.25">
      <c r="A397" s="16">
        <v>219926</v>
      </c>
      <c r="B397" s="30" t="s">
        <v>1056</v>
      </c>
      <c r="C397" s="20" t="s">
        <v>650</v>
      </c>
      <c r="D397" s="20" t="s">
        <v>726</v>
      </c>
      <c r="E397" s="20" t="s">
        <v>2316</v>
      </c>
      <c r="F397" s="20" t="s">
        <v>2317</v>
      </c>
      <c r="G397" s="21">
        <v>13.4</v>
      </c>
      <c r="H397" s="16">
        <v>26</v>
      </c>
      <c r="I397" s="16"/>
      <c r="J397" s="17">
        <v>348.40000000000003</v>
      </c>
      <c r="K397" s="22"/>
      <c r="L397" s="23"/>
      <c r="M397" s="23">
        <v>0</v>
      </c>
      <c r="N397" s="19">
        <v>26.8</v>
      </c>
      <c r="O397" s="19">
        <v>-67</v>
      </c>
      <c r="P397" s="48">
        <v>67</v>
      </c>
      <c r="Q397" s="17">
        <v>0</v>
      </c>
      <c r="R397" s="24">
        <v>348.40000000000003</v>
      </c>
      <c r="S397" s="18" t="s">
        <v>28</v>
      </c>
      <c r="T397" s="25">
        <v>4</v>
      </c>
    </row>
    <row r="398" spans="1:20" s="26" customFormat="1" x14ac:dyDescent="0.25">
      <c r="A398" s="16">
        <v>220714</v>
      </c>
      <c r="B398" s="30" t="s">
        <v>1169</v>
      </c>
      <c r="C398" s="20" t="s">
        <v>650</v>
      </c>
      <c r="D398" s="20" t="s">
        <v>726</v>
      </c>
      <c r="E398" s="20" t="s">
        <v>2318</v>
      </c>
      <c r="F398" s="20" t="s">
        <v>2319</v>
      </c>
      <c r="G398" s="21">
        <v>13.4</v>
      </c>
      <c r="H398" s="16">
        <v>26</v>
      </c>
      <c r="I398" s="16"/>
      <c r="J398" s="17">
        <v>348.40000000000003</v>
      </c>
      <c r="K398" s="22"/>
      <c r="L398" s="23"/>
      <c r="M398" s="23">
        <v>0</v>
      </c>
      <c r="N398" s="19">
        <v>26.8</v>
      </c>
      <c r="O398" s="19">
        <v>-67</v>
      </c>
      <c r="P398" s="48">
        <v>67</v>
      </c>
      <c r="Q398" s="17">
        <v>0</v>
      </c>
      <c r="R398" s="24">
        <v>348.40000000000003</v>
      </c>
      <c r="S398" s="18" t="s">
        <v>28</v>
      </c>
      <c r="T398" s="25">
        <v>4</v>
      </c>
    </row>
    <row r="399" spans="1:20" s="26" customFormat="1" x14ac:dyDescent="0.25">
      <c r="A399" s="16">
        <v>232712</v>
      </c>
      <c r="B399" s="30" t="s">
        <v>935</v>
      </c>
      <c r="C399" s="20" t="s">
        <v>650</v>
      </c>
      <c r="D399" s="20" t="s">
        <v>726</v>
      </c>
      <c r="E399" s="20" t="s">
        <v>2320</v>
      </c>
      <c r="F399" s="20" t="s">
        <v>2321</v>
      </c>
      <c r="G399" s="21">
        <v>13.4</v>
      </c>
      <c r="H399" s="16">
        <v>26</v>
      </c>
      <c r="I399" s="16"/>
      <c r="J399" s="17">
        <v>348.40000000000003</v>
      </c>
      <c r="K399" s="22"/>
      <c r="L399" s="23"/>
      <c r="M399" s="23">
        <v>0</v>
      </c>
      <c r="N399" s="19">
        <v>26.8</v>
      </c>
      <c r="O399" s="19">
        <v>-67</v>
      </c>
      <c r="P399" s="48">
        <v>67</v>
      </c>
      <c r="Q399" s="17">
        <v>0</v>
      </c>
      <c r="R399" s="24">
        <v>348.40000000000003</v>
      </c>
      <c r="S399" s="18" t="s">
        <v>28</v>
      </c>
      <c r="T399" s="25">
        <v>4</v>
      </c>
    </row>
    <row r="400" spans="1:20" s="26" customFormat="1" x14ac:dyDescent="0.25">
      <c r="A400" s="16">
        <v>210740</v>
      </c>
      <c r="B400" s="30" t="s">
        <v>187</v>
      </c>
      <c r="C400" s="20" t="s">
        <v>651</v>
      </c>
      <c r="D400" s="20" t="s">
        <v>727</v>
      </c>
      <c r="E400" s="20" t="s">
        <v>2322</v>
      </c>
      <c r="F400" s="20" t="s">
        <v>2323</v>
      </c>
      <c r="G400" s="21">
        <v>18.8</v>
      </c>
      <c r="H400" s="16">
        <v>26</v>
      </c>
      <c r="I400" s="16"/>
      <c r="J400" s="17">
        <v>488.8</v>
      </c>
      <c r="K400" s="22"/>
      <c r="L400" s="23">
        <v>38.5</v>
      </c>
      <c r="M400" s="23">
        <v>38.5</v>
      </c>
      <c r="N400" s="19">
        <v>37.6</v>
      </c>
      <c r="O400" s="19">
        <v>-55.5</v>
      </c>
      <c r="P400" s="48">
        <v>94</v>
      </c>
      <c r="Q400" s="17">
        <v>0</v>
      </c>
      <c r="R400" s="24">
        <v>488.8</v>
      </c>
      <c r="S400" s="18" t="s">
        <v>28</v>
      </c>
      <c r="T400" s="25">
        <v>4</v>
      </c>
    </row>
    <row r="401" spans="1:20" s="26" customFormat="1" x14ac:dyDescent="0.25">
      <c r="A401" s="16">
        <v>211040</v>
      </c>
      <c r="B401" s="30" t="s">
        <v>1057</v>
      </c>
      <c r="C401" s="20" t="s">
        <v>651</v>
      </c>
      <c r="D401" s="20" t="s">
        <v>717</v>
      </c>
      <c r="E401" s="20" t="s">
        <v>2324</v>
      </c>
      <c r="F401" s="20" t="s">
        <v>2325</v>
      </c>
      <c r="G401" s="21">
        <v>18.8</v>
      </c>
      <c r="H401" s="16">
        <v>16</v>
      </c>
      <c r="I401" s="16"/>
      <c r="J401" s="17">
        <v>300.8</v>
      </c>
      <c r="K401" s="22"/>
      <c r="L401" s="23"/>
      <c r="M401" s="23">
        <v>0</v>
      </c>
      <c r="N401" s="19">
        <v>37.6</v>
      </c>
      <c r="O401" s="19">
        <v>-94</v>
      </c>
      <c r="P401" s="48">
        <v>94</v>
      </c>
      <c r="Q401" s="17">
        <v>0</v>
      </c>
      <c r="R401" s="24">
        <v>300.8</v>
      </c>
      <c r="S401" s="18" t="s">
        <v>28</v>
      </c>
      <c r="T401" s="25">
        <v>4</v>
      </c>
    </row>
    <row r="402" spans="1:20" s="26" customFormat="1" x14ac:dyDescent="0.25">
      <c r="A402" s="16">
        <v>216391</v>
      </c>
      <c r="B402" s="30" t="s">
        <v>1434</v>
      </c>
      <c r="C402" s="20" t="s">
        <v>651</v>
      </c>
      <c r="D402" s="20" t="s">
        <v>719</v>
      </c>
      <c r="E402" s="20" t="s">
        <v>2326</v>
      </c>
      <c r="F402" s="20" t="s">
        <v>2327</v>
      </c>
      <c r="G402" s="21">
        <v>18.8</v>
      </c>
      <c r="H402" s="16">
        <v>16</v>
      </c>
      <c r="I402" s="16"/>
      <c r="J402" s="17">
        <v>300.8</v>
      </c>
      <c r="K402" s="22"/>
      <c r="L402" s="23"/>
      <c r="M402" s="23">
        <v>0</v>
      </c>
      <c r="N402" s="19">
        <v>37.6</v>
      </c>
      <c r="O402" s="19">
        <v>-94</v>
      </c>
      <c r="P402" s="48">
        <v>94</v>
      </c>
      <c r="Q402" s="17">
        <v>0</v>
      </c>
      <c r="R402" s="24">
        <v>300.8</v>
      </c>
      <c r="S402" s="18" t="s">
        <v>28</v>
      </c>
      <c r="T402" s="25">
        <v>4</v>
      </c>
    </row>
    <row r="403" spans="1:20" s="26" customFormat="1" x14ac:dyDescent="0.25">
      <c r="A403" s="16">
        <v>219403</v>
      </c>
      <c r="B403" s="30" t="s">
        <v>1170</v>
      </c>
      <c r="C403" s="20" t="s">
        <v>651</v>
      </c>
      <c r="D403" s="20" t="s">
        <v>717</v>
      </c>
      <c r="E403" s="20" t="s">
        <v>2328</v>
      </c>
      <c r="F403" s="20" t="s">
        <v>2329</v>
      </c>
      <c r="G403" s="21">
        <v>18.8</v>
      </c>
      <c r="H403" s="16">
        <v>16</v>
      </c>
      <c r="I403" s="16"/>
      <c r="J403" s="17">
        <v>300.8</v>
      </c>
      <c r="K403" s="22"/>
      <c r="L403" s="23"/>
      <c r="M403" s="23">
        <v>0</v>
      </c>
      <c r="N403" s="19">
        <v>37.6</v>
      </c>
      <c r="O403" s="19">
        <v>-94</v>
      </c>
      <c r="P403" s="48">
        <v>94</v>
      </c>
      <c r="Q403" s="17">
        <v>0</v>
      </c>
      <c r="R403" s="24">
        <v>300.8</v>
      </c>
      <c r="S403" s="18" t="s">
        <v>28</v>
      </c>
      <c r="T403" s="25">
        <v>4</v>
      </c>
    </row>
    <row r="404" spans="1:20" s="26" customFormat="1" x14ac:dyDescent="0.25">
      <c r="A404" s="16">
        <v>220674</v>
      </c>
      <c r="B404" s="30" t="s">
        <v>220</v>
      </c>
      <c r="C404" s="20" t="s">
        <v>651</v>
      </c>
      <c r="D404" s="20" t="s">
        <v>719</v>
      </c>
      <c r="E404" s="20" t="s">
        <v>2330</v>
      </c>
      <c r="F404" s="20" t="s">
        <v>2331</v>
      </c>
      <c r="G404" s="21">
        <v>13.4</v>
      </c>
      <c r="H404" s="16">
        <v>16</v>
      </c>
      <c r="I404" s="16"/>
      <c r="J404" s="17">
        <v>214.4</v>
      </c>
      <c r="K404" s="22"/>
      <c r="L404" s="23"/>
      <c r="M404" s="23">
        <v>0</v>
      </c>
      <c r="N404" s="19">
        <v>26.8</v>
      </c>
      <c r="O404" s="19">
        <v>-67</v>
      </c>
      <c r="P404" s="48">
        <v>67</v>
      </c>
      <c r="Q404" s="17">
        <v>0</v>
      </c>
      <c r="R404" s="24">
        <v>214.4</v>
      </c>
      <c r="S404" s="18" t="s">
        <v>28</v>
      </c>
      <c r="T404" s="25">
        <v>4</v>
      </c>
    </row>
    <row r="405" spans="1:20" s="26" customFormat="1" x14ac:dyDescent="0.25">
      <c r="A405" s="16">
        <v>222049</v>
      </c>
      <c r="B405" s="30" t="s">
        <v>221</v>
      </c>
      <c r="C405" s="20" t="s">
        <v>651</v>
      </c>
      <c r="D405" s="20" t="s">
        <v>717</v>
      </c>
      <c r="E405" s="20" t="s">
        <v>2332</v>
      </c>
      <c r="F405" s="20" t="s">
        <v>2333</v>
      </c>
      <c r="G405" s="21">
        <v>18.8</v>
      </c>
      <c r="H405" s="16">
        <v>16</v>
      </c>
      <c r="I405" s="16"/>
      <c r="J405" s="17">
        <v>300.8</v>
      </c>
      <c r="K405" s="22"/>
      <c r="L405" s="23"/>
      <c r="M405" s="23">
        <v>0</v>
      </c>
      <c r="N405" s="19">
        <v>37.6</v>
      </c>
      <c r="O405" s="19">
        <v>-94</v>
      </c>
      <c r="P405" s="48">
        <v>94</v>
      </c>
      <c r="Q405" s="17">
        <v>0</v>
      </c>
      <c r="R405" s="24">
        <v>300.8</v>
      </c>
      <c r="S405" s="18" t="s">
        <v>28</v>
      </c>
      <c r="T405" s="25">
        <v>4</v>
      </c>
    </row>
    <row r="406" spans="1:20" s="26" customFormat="1" x14ac:dyDescent="0.25">
      <c r="A406" s="65">
        <v>223411</v>
      </c>
      <c r="B406" s="30" t="s">
        <v>1058</v>
      </c>
      <c r="C406" s="20" t="s">
        <v>651</v>
      </c>
      <c r="D406" s="20" t="s">
        <v>719</v>
      </c>
      <c r="E406" s="20" t="s">
        <v>2334</v>
      </c>
      <c r="F406" s="20" t="s">
        <v>2335</v>
      </c>
      <c r="G406" s="21">
        <v>18.8</v>
      </c>
      <c r="H406" s="16">
        <v>16</v>
      </c>
      <c r="I406" s="16"/>
      <c r="J406" s="17">
        <v>300.8</v>
      </c>
      <c r="K406" s="22"/>
      <c r="L406" s="23"/>
      <c r="M406" s="23">
        <v>0</v>
      </c>
      <c r="N406" s="19">
        <v>37.6</v>
      </c>
      <c r="O406" s="19">
        <v>-94</v>
      </c>
      <c r="P406" s="48">
        <v>94</v>
      </c>
      <c r="Q406" s="17">
        <v>0</v>
      </c>
      <c r="R406" s="24">
        <v>300.8</v>
      </c>
      <c r="S406" s="18" t="s">
        <v>28</v>
      </c>
      <c r="T406" s="25">
        <v>4</v>
      </c>
    </row>
    <row r="407" spans="1:20" s="26" customFormat="1" x14ac:dyDescent="0.25">
      <c r="A407" s="16">
        <v>225965</v>
      </c>
      <c r="B407" s="30" t="s">
        <v>222</v>
      </c>
      <c r="C407" s="20" t="s">
        <v>651</v>
      </c>
      <c r="D407" s="20" t="s">
        <v>719</v>
      </c>
      <c r="E407" s="20" t="s">
        <v>2336</v>
      </c>
      <c r="F407" s="20" t="s">
        <v>2337</v>
      </c>
      <c r="G407" s="21">
        <v>18.8</v>
      </c>
      <c r="H407" s="16">
        <v>16</v>
      </c>
      <c r="I407" s="16">
        <v>3</v>
      </c>
      <c r="J407" s="17">
        <v>244.4</v>
      </c>
      <c r="K407" s="22"/>
      <c r="L407" s="23"/>
      <c r="M407" s="23">
        <v>0</v>
      </c>
      <c r="N407" s="19">
        <v>37.6</v>
      </c>
      <c r="O407" s="19">
        <v>-94</v>
      </c>
      <c r="P407" s="48">
        <v>94</v>
      </c>
      <c r="Q407" s="17">
        <v>0</v>
      </c>
      <c r="R407" s="24">
        <v>244.4</v>
      </c>
      <c r="S407" s="18" t="s">
        <v>28</v>
      </c>
      <c r="T407" s="25">
        <v>4</v>
      </c>
    </row>
    <row r="408" spans="1:20" s="26" customFormat="1" x14ac:dyDescent="0.25">
      <c r="A408" s="16">
        <v>226557</v>
      </c>
      <c r="B408" s="30" t="s">
        <v>1435</v>
      </c>
      <c r="C408" s="20" t="s">
        <v>651</v>
      </c>
      <c r="D408" s="20" t="s">
        <v>719</v>
      </c>
      <c r="E408" s="20" t="s">
        <v>2338</v>
      </c>
      <c r="F408" s="20" t="s">
        <v>2339</v>
      </c>
      <c r="G408" s="21">
        <v>18.8</v>
      </c>
      <c r="H408" s="16">
        <v>16</v>
      </c>
      <c r="I408" s="16"/>
      <c r="J408" s="17">
        <v>300.8</v>
      </c>
      <c r="K408" s="22"/>
      <c r="L408" s="23"/>
      <c r="M408" s="23">
        <v>0</v>
      </c>
      <c r="N408" s="19">
        <v>37.6</v>
      </c>
      <c r="O408" s="19">
        <v>-94</v>
      </c>
      <c r="P408" s="48">
        <v>94</v>
      </c>
      <c r="Q408" s="17">
        <v>0</v>
      </c>
      <c r="R408" s="24">
        <v>300.8</v>
      </c>
      <c r="S408" s="18" t="s">
        <v>28</v>
      </c>
      <c r="T408" s="25">
        <v>4</v>
      </c>
    </row>
    <row r="409" spans="1:20" s="26" customFormat="1" x14ac:dyDescent="0.25">
      <c r="A409" s="16">
        <v>228128</v>
      </c>
      <c r="B409" s="30" t="s">
        <v>223</v>
      </c>
      <c r="C409" s="20" t="s">
        <v>651</v>
      </c>
      <c r="D409" s="20" t="s">
        <v>716</v>
      </c>
      <c r="E409" s="20" t="s">
        <v>2340</v>
      </c>
      <c r="F409" s="20" t="s">
        <v>2341</v>
      </c>
      <c r="G409" s="21">
        <v>13.4</v>
      </c>
      <c r="H409" s="16">
        <v>16</v>
      </c>
      <c r="I409" s="16"/>
      <c r="J409" s="17">
        <v>214.4</v>
      </c>
      <c r="K409" s="22"/>
      <c r="L409" s="23"/>
      <c r="M409" s="23">
        <v>0</v>
      </c>
      <c r="N409" s="19">
        <v>26.8</v>
      </c>
      <c r="O409" s="19">
        <v>-67</v>
      </c>
      <c r="P409" s="48">
        <v>67</v>
      </c>
      <c r="Q409" s="17">
        <v>0</v>
      </c>
      <c r="R409" s="24">
        <v>214.4</v>
      </c>
      <c r="S409" s="18" t="s">
        <v>28</v>
      </c>
      <c r="T409" s="25">
        <v>4</v>
      </c>
    </row>
    <row r="410" spans="1:20" s="26" customFormat="1" x14ac:dyDescent="0.25">
      <c r="A410" s="16">
        <v>228129</v>
      </c>
      <c r="B410" s="30" t="s">
        <v>224</v>
      </c>
      <c r="C410" s="20" t="s">
        <v>651</v>
      </c>
      <c r="D410" s="20" t="s">
        <v>719</v>
      </c>
      <c r="E410" s="20" t="s">
        <v>2342</v>
      </c>
      <c r="F410" s="20" t="s">
        <v>2343</v>
      </c>
      <c r="G410" s="21">
        <v>18.8</v>
      </c>
      <c r="H410" s="16">
        <v>10</v>
      </c>
      <c r="I410" s="16">
        <v>4</v>
      </c>
      <c r="J410" s="17">
        <v>112.80000000000001</v>
      </c>
      <c r="K410" s="22"/>
      <c r="L410" s="23"/>
      <c r="M410" s="23">
        <v>0</v>
      </c>
      <c r="N410" s="19">
        <v>37.6</v>
      </c>
      <c r="O410" s="19">
        <v>-94</v>
      </c>
      <c r="P410" s="48">
        <v>94</v>
      </c>
      <c r="Q410" s="17">
        <v>0</v>
      </c>
      <c r="R410" s="24">
        <v>112.80000000000001</v>
      </c>
      <c r="S410" s="18" t="s">
        <v>28</v>
      </c>
      <c r="T410" s="25">
        <v>4</v>
      </c>
    </row>
    <row r="411" spans="1:20" s="26" customFormat="1" x14ac:dyDescent="0.25">
      <c r="A411" s="16">
        <v>228657</v>
      </c>
      <c r="B411" s="30" t="s">
        <v>226</v>
      </c>
      <c r="C411" s="20" t="s">
        <v>651</v>
      </c>
      <c r="D411" s="20" t="s">
        <v>719</v>
      </c>
      <c r="E411" s="20" t="s">
        <v>2344</v>
      </c>
      <c r="F411" s="20" t="s">
        <v>2345</v>
      </c>
      <c r="G411" s="21">
        <v>13.4</v>
      </c>
      <c r="H411" s="16">
        <v>16</v>
      </c>
      <c r="I411" s="16">
        <v>3</v>
      </c>
      <c r="J411" s="17">
        <v>174.20000000000002</v>
      </c>
      <c r="K411" s="22"/>
      <c r="L411" s="23"/>
      <c r="M411" s="23">
        <v>0</v>
      </c>
      <c r="N411" s="19">
        <v>26.8</v>
      </c>
      <c r="O411" s="19">
        <v>-67</v>
      </c>
      <c r="P411" s="48">
        <v>67</v>
      </c>
      <c r="Q411" s="17">
        <v>0</v>
      </c>
      <c r="R411" s="24">
        <v>174.20000000000002</v>
      </c>
      <c r="S411" s="18" t="s">
        <v>28</v>
      </c>
      <c r="T411" s="25">
        <v>4</v>
      </c>
    </row>
    <row r="412" spans="1:20" s="26" customFormat="1" x14ac:dyDescent="0.25">
      <c r="A412" s="16">
        <v>229142</v>
      </c>
      <c r="B412" s="30" t="s">
        <v>227</v>
      </c>
      <c r="C412" s="20" t="s">
        <v>651</v>
      </c>
      <c r="D412" s="20" t="s">
        <v>719</v>
      </c>
      <c r="E412" s="20" t="s">
        <v>2346</v>
      </c>
      <c r="F412" s="20" t="s">
        <v>2347</v>
      </c>
      <c r="G412" s="21">
        <v>13.4</v>
      </c>
      <c r="H412" s="16">
        <v>16</v>
      </c>
      <c r="I412" s="16"/>
      <c r="J412" s="17">
        <v>214.4</v>
      </c>
      <c r="K412" s="22"/>
      <c r="L412" s="23"/>
      <c r="M412" s="23">
        <v>0</v>
      </c>
      <c r="N412" s="19">
        <v>26.8</v>
      </c>
      <c r="O412" s="19">
        <v>-67</v>
      </c>
      <c r="P412" s="48">
        <v>67</v>
      </c>
      <c r="Q412" s="17">
        <v>0</v>
      </c>
      <c r="R412" s="24">
        <v>214.4</v>
      </c>
      <c r="S412" s="18" t="s">
        <v>28</v>
      </c>
      <c r="T412" s="25">
        <v>4</v>
      </c>
    </row>
    <row r="413" spans="1:20" s="26" customFormat="1" x14ac:dyDescent="0.25">
      <c r="A413" s="16">
        <v>229166</v>
      </c>
      <c r="B413" s="30" t="s">
        <v>228</v>
      </c>
      <c r="C413" s="20" t="s">
        <v>651</v>
      </c>
      <c r="D413" s="20" t="s">
        <v>719</v>
      </c>
      <c r="E413" s="20" t="s">
        <v>2348</v>
      </c>
      <c r="F413" s="20" t="s">
        <v>2349</v>
      </c>
      <c r="G413" s="21">
        <v>13.4</v>
      </c>
      <c r="H413" s="16">
        <v>16</v>
      </c>
      <c r="I413" s="16"/>
      <c r="J413" s="17">
        <v>214.4</v>
      </c>
      <c r="K413" s="22"/>
      <c r="L413" s="23"/>
      <c r="M413" s="23">
        <v>0</v>
      </c>
      <c r="N413" s="19">
        <v>26.8</v>
      </c>
      <c r="O413" s="19">
        <v>-67</v>
      </c>
      <c r="P413" s="48">
        <v>67</v>
      </c>
      <c r="Q413" s="17">
        <v>0</v>
      </c>
      <c r="R413" s="24">
        <v>214.4</v>
      </c>
      <c r="S413" s="18" t="s">
        <v>28</v>
      </c>
      <c r="T413" s="25">
        <v>4</v>
      </c>
    </row>
    <row r="414" spans="1:20" s="26" customFormat="1" x14ac:dyDescent="0.25">
      <c r="A414" s="16">
        <v>229250</v>
      </c>
      <c r="B414" s="30" t="s">
        <v>1059</v>
      </c>
      <c r="C414" s="20" t="s">
        <v>651</v>
      </c>
      <c r="D414" s="20" t="s">
        <v>719</v>
      </c>
      <c r="E414" s="20" t="s">
        <v>2350</v>
      </c>
      <c r="F414" s="20" t="s">
        <v>2351</v>
      </c>
      <c r="G414" s="21">
        <v>18.8</v>
      </c>
      <c r="H414" s="16">
        <v>16</v>
      </c>
      <c r="I414" s="16"/>
      <c r="J414" s="17">
        <v>300.8</v>
      </c>
      <c r="K414" s="22"/>
      <c r="L414" s="23"/>
      <c r="M414" s="23">
        <v>0</v>
      </c>
      <c r="N414" s="19">
        <v>37.6</v>
      </c>
      <c r="O414" s="19">
        <v>-94</v>
      </c>
      <c r="P414" s="48">
        <v>94</v>
      </c>
      <c r="Q414" s="17">
        <v>0</v>
      </c>
      <c r="R414" s="24">
        <v>300.8</v>
      </c>
      <c r="S414" s="18" t="s">
        <v>28</v>
      </c>
      <c r="T414" s="25">
        <v>4</v>
      </c>
    </row>
    <row r="415" spans="1:20" s="26" customFormat="1" x14ac:dyDescent="0.25">
      <c r="A415" s="16">
        <v>229408</v>
      </c>
      <c r="B415" s="30" t="s">
        <v>229</v>
      </c>
      <c r="C415" s="20" t="s">
        <v>651</v>
      </c>
      <c r="D415" s="20" t="s">
        <v>719</v>
      </c>
      <c r="E415" s="20" t="s">
        <v>2352</v>
      </c>
      <c r="F415" s="20" t="s">
        <v>2353</v>
      </c>
      <c r="G415" s="21">
        <v>13.4</v>
      </c>
      <c r="H415" s="16">
        <v>16</v>
      </c>
      <c r="I415" s="16"/>
      <c r="J415" s="17">
        <v>214.4</v>
      </c>
      <c r="K415" s="22"/>
      <c r="L415" s="23"/>
      <c r="M415" s="23">
        <v>0</v>
      </c>
      <c r="N415" s="19">
        <v>26.8</v>
      </c>
      <c r="O415" s="19">
        <v>-67</v>
      </c>
      <c r="P415" s="48">
        <v>67</v>
      </c>
      <c r="Q415" s="17">
        <v>0</v>
      </c>
      <c r="R415" s="24">
        <v>214.4</v>
      </c>
      <c r="S415" s="18" t="s">
        <v>28</v>
      </c>
      <c r="T415" s="25">
        <v>4</v>
      </c>
    </row>
    <row r="416" spans="1:20" s="26" customFormat="1" x14ac:dyDescent="0.25">
      <c r="A416" s="16">
        <v>229434</v>
      </c>
      <c r="B416" s="30" t="s">
        <v>230</v>
      </c>
      <c r="C416" s="20" t="s">
        <v>651</v>
      </c>
      <c r="D416" s="20" t="s">
        <v>719</v>
      </c>
      <c r="E416" s="20" t="s">
        <v>2354</v>
      </c>
      <c r="F416" s="20" t="s">
        <v>2355</v>
      </c>
      <c r="G416" s="21">
        <v>13.4</v>
      </c>
      <c r="H416" s="16">
        <v>16</v>
      </c>
      <c r="I416" s="16">
        <v>1</v>
      </c>
      <c r="J416" s="17">
        <v>201</v>
      </c>
      <c r="K416" s="22"/>
      <c r="L416" s="23"/>
      <c r="M416" s="23">
        <v>0</v>
      </c>
      <c r="N416" s="19">
        <v>26.8</v>
      </c>
      <c r="O416" s="19">
        <v>-67</v>
      </c>
      <c r="P416" s="48">
        <v>67</v>
      </c>
      <c r="Q416" s="17">
        <v>0</v>
      </c>
      <c r="R416" s="24">
        <v>201</v>
      </c>
      <c r="S416" s="18" t="s">
        <v>28</v>
      </c>
      <c r="T416" s="25">
        <v>4</v>
      </c>
    </row>
    <row r="417" spans="1:20" s="26" customFormat="1" x14ac:dyDescent="0.25">
      <c r="A417" s="16">
        <v>229510</v>
      </c>
      <c r="B417" s="30" t="s">
        <v>231</v>
      </c>
      <c r="C417" s="20" t="s">
        <v>651</v>
      </c>
      <c r="D417" s="20" t="s">
        <v>719</v>
      </c>
      <c r="E417" s="20" t="s">
        <v>2356</v>
      </c>
      <c r="F417" s="20" t="s">
        <v>2357</v>
      </c>
      <c r="G417" s="21">
        <v>18.8</v>
      </c>
      <c r="H417" s="16">
        <v>16</v>
      </c>
      <c r="I417" s="16"/>
      <c r="J417" s="17">
        <v>300.8</v>
      </c>
      <c r="K417" s="22"/>
      <c r="L417" s="23"/>
      <c r="M417" s="23">
        <v>0</v>
      </c>
      <c r="N417" s="19">
        <v>37.6</v>
      </c>
      <c r="O417" s="19">
        <v>-94</v>
      </c>
      <c r="P417" s="48">
        <v>94</v>
      </c>
      <c r="Q417" s="17">
        <v>0</v>
      </c>
      <c r="R417" s="24">
        <v>300.8</v>
      </c>
      <c r="S417" s="18" t="s">
        <v>28</v>
      </c>
      <c r="T417" s="25">
        <v>4</v>
      </c>
    </row>
    <row r="418" spans="1:20" s="26" customFormat="1" x14ac:dyDescent="0.25">
      <c r="A418" s="16">
        <v>229531</v>
      </c>
      <c r="B418" s="30" t="s">
        <v>232</v>
      </c>
      <c r="C418" s="20" t="s">
        <v>651</v>
      </c>
      <c r="D418" s="20" t="s">
        <v>719</v>
      </c>
      <c r="E418" s="20" t="s">
        <v>2358</v>
      </c>
      <c r="F418" s="20" t="s">
        <v>2359</v>
      </c>
      <c r="G418" s="21">
        <v>13.4</v>
      </c>
      <c r="H418" s="16">
        <v>10</v>
      </c>
      <c r="I418" s="16">
        <v>1</v>
      </c>
      <c r="J418" s="17">
        <v>120.60000000000001</v>
      </c>
      <c r="K418" s="22"/>
      <c r="L418" s="23"/>
      <c r="M418" s="23">
        <v>0</v>
      </c>
      <c r="N418" s="19">
        <v>26.8</v>
      </c>
      <c r="O418" s="19">
        <v>-67</v>
      </c>
      <c r="P418" s="48">
        <v>67</v>
      </c>
      <c r="Q418" s="17">
        <v>0</v>
      </c>
      <c r="R418" s="24">
        <v>120.60000000000001</v>
      </c>
      <c r="S418" s="18" t="s">
        <v>28</v>
      </c>
      <c r="T418" s="25">
        <v>4</v>
      </c>
    </row>
    <row r="419" spans="1:20" s="26" customFormat="1" x14ac:dyDescent="0.25">
      <c r="A419" s="16">
        <v>229591</v>
      </c>
      <c r="B419" s="30" t="s">
        <v>234</v>
      </c>
      <c r="C419" s="20" t="s">
        <v>651</v>
      </c>
      <c r="D419" s="20" t="s">
        <v>719</v>
      </c>
      <c r="E419" s="20" t="s">
        <v>2360</v>
      </c>
      <c r="F419" s="20" t="s">
        <v>2361</v>
      </c>
      <c r="G419" s="21">
        <v>18.8</v>
      </c>
      <c r="H419" s="16">
        <v>16</v>
      </c>
      <c r="I419" s="16"/>
      <c r="J419" s="17">
        <v>300.8</v>
      </c>
      <c r="K419" s="22"/>
      <c r="L419" s="23"/>
      <c r="M419" s="23">
        <v>0</v>
      </c>
      <c r="N419" s="19">
        <v>37.6</v>
      </c>
      <c r="O419" s="19">
        <v>-94</v>
      </c>
      <c r="P419" s="48">
        <v>94</v>
      </c>
      <c r="Q419" s="17">
        <v>0</v>
      </c>
      <c r="R419" s="24">
        <v>300.8</v>
      </c>
      <c r="S419" s="18" t="s">
        <v>28</v>
      </c>
      <c r="T419" s="25">
        <v>4</v>
      </c>
    </row>
    <row r="420" spans="1:20" s="26" customFormat="1" x14ac:dyDescent="0.25">
      <c r="A420" s="16">
        <v>229593</v>
      </c>
      <c r="B420" s="30" t="s">
        <v>1436</v>
      </c>
      <c r="C420" s="20" t="s">
        <v>651</v>
      </c>
      <c r="D420" s="20" t="s">
        <v>717</v>
      </c>
      <c r="E420" s="20" t="s">
        <v>2362</v>
      </c>
      <c r="F420" s="20" t="s">
        <v>2363</v>
      </c>
      <c r="G420" s="21">
        <v>13.4</v>
      </c>
      <c r="H420" s="16">
        <v>16</v>
      </c>
      <c r="I420" s="16"/>
      <c r="J420" s="17">
        <v>214.4</v>
      </c>
      <c r="K420" s="22"/>
      <c r="L420" s="23"/>
      <c r="M420" s="23">
        <v>0</v>
      </c>
      <c r="N420" s="19">
        <v>26.8</v>
      </c>
      <c r="O420" s="19">
        <v>-67</v>
      </c>
      <c r="P420" s="48">
        <v>67</v>
      </c>
      <c r="Q420" s="17">
        <v>0</v>
      </c>
      <c r="R420" s="24">
        <v>214.4</v>
      </c>
      <c r="S420" s="18" t="s">
        <v>28</v>
      </c>
      <c r="T420" s="25">
        <v>4</v>
      </c>
    </row>
    <row r="421" spans="1:20" s="26" customFormat="1" x14ac:dyDescent="0.25">
      <c r="A421" s="16">
        <v>230791</v>
      </c>
      <c r="B421" s="30" t="s">
        <v>235</v>
      </c>
      <c r="C421" s="20" t="s">
        <v>651</v>
      </c>
      <c r="D421" s="20" t="s">
        <v>716</v>
      </c>
      <c r="E421" s="20" t="s">
        <v>2364</v>
      </c>
      <c r="F421" s="20" t="s">
        <v>2365</v>
      </c>
      <c r="G421" s="21">
        <v>13.4</v>
      </c>
      <c r="H421" s="16">
        <v>16</v>
      </c>
      <c r="I421" s="16"/>
      <c r="J421" s="17">
        <v>214.4</v>
      </c>
      <c r="K421" s="22"/>
      <c r="L421" s="23"/>
      <c r="M421" s="23">
        <v>0</v>
      </c>
      <c r="N421" s="19">
        <v>26.8</v>
      </c>
      <c r="O421" s="19">
        <v>-67</v>
      </c>
      <c r="P421" s="48">
        <v>67</v>
      </c>
      <c r="Q421" s="17">
        <v>0</v>
      </c>
      <c r="R421" s="24">
        <v>214.4</v>
      </c>
      <c r="S421" s="18" t="s">
        <v>28</v>
      </c>
      <c r="T421" s="25">
        <v>4</v>
      </c>
    </row>
    <row r="422" spans="1:20" s="26" customFormat="1" x14ac:dyDescent="0.25">
      <c r="A422" s="16">
        <v>230883</v>
      </c>
      <c r="B422" s="30" t="s">
        <v>237</v>
      </c>
      <c r="C422" s="20" t="s">
        <v>651</v>
      </c>
      <c r="D422" s="20" t="s">
        <v>719</v>
      </c>
      <c r="E422" s="20" t="s">
        <v>2366</v>
      </c>
      <c r="F422" s="20" t="s">
        <v>2367</v>
      </c>
      <c r="G422" s="21">
        <v>13.4</v>
      </c>
      <c r="H422" s="16">
        <v>16</v>
      </c>
      <c r="I422" s="16"/>
      <c r="J422" s="17">
        <v>214.4</v>
      </c>
      <c r="K422" s="22"/>
      <c r="L422" s="23"/>
      <c r="M422" s="23">
        <v>0</v>
      </c>
      <c r="N422" s="19">
        <v>26.8</v>
      </c>
      <c r="O422" s="19">
        <v>-67</v>
      </c>
      <c r="P422" s="48">
        <v>67</v>
      </c>
      <c r="Q422" s="17">
        <v>0</v>
      </c>
      <c r="R422" s="24">
        <v>214.4</v>
      </c>
      <c r="S422" s="18" t="s">
        <v>28</v>
      </c>
      <c r="T422" s="25">
        <v>4</v>
      </c>
    </row>
    <row r="423" spans="1:20" s="26" customFormat="1" x14ac:dyDescent="0.25">
      <c r="A423" s="16">
        <v>230884</v>
      </c>
      <c r="B423" s="30" t="s">
        <v>238</v>
      </c>
      <c r="C423" s="20" t="s">
        <v>651</v>
      </c>
      <c r="D423" s="20" t="s">
        <v>719</v>
      </c>
      <c r="E423" s="20" t="s">
        <v>2368</v>
      </c>
      <c r="F423" s="20" t="s">
        <v>2369</v>
      </c>
      <c r="G423" s="21">
        <v>18.8</v>
      </c>
      <c r="H423" s="16">
        <v>16</v>
      </c>
      <c r="I423" s="16"/>
      <c r="J423" s="17">
        <v>300.8</v>
      </c>
      <c r="K423" s="22"/>
      <c r="L423" s="23"/>
      <c r="M423" s="23">
        <v>0</v>
      </c>
      <c r="N423" s="19">
        <v>37.6</v>
      </c>
      <c r="O423" s="19">
        <v>-94</v>
      </c>
      <c r="P423" s="48">
        <v>94</v>
      </c>
      <c r="Q423" s="17">
        <v>0</v>
      </c>
      <c r="R423" s="24">
        <v>300.8</v>
      </c>
      <c r="S423" s="18" t="s">
        <v>28</v>
      </c>
      <c r="T423" s="25">
        <v>4</v>
      </c>
    </row>
    <row r="424" spans="1:20" s="26" customFormat="1" x14ac:dyDescent="0.25">
      <c r="A424" s="16">
        <v>230919</v>
      </c>
      <c r="B424" s="30" t="s">
        <v>1437</v>
      </c>
      <c r="C424" s="20" t="s">
        <v>651</v>
      </c>
      <c r="D424" s="20" t="s">
        <v>719</v>
      </c>
      <c r="E424" s="20" t="s">
        <v>2370</v>
      </c>
      <c r="F424" s="20" t="s">
        <v>2371</v>
      </c>
      <c r="G424" s="21">
        <v>13.4</v>
      </c>
      <c r="H424" s="16">
        <v>16</v>
      </c>
      <c r="I424" s="16"/>
      <c r="J424" s="17">
        <v>214.4</v>
      </c>
      <c r="K424" s="22"/>
      <c r="L424" s="23"/>
      <c r="M424" s="23">
        <v>0</v>
      </c>
      <c r="N424" s="19">
        <v>26.8</v>
      </c>
      <c r="O424" s="19">
        <v>-67</v>
      </c>
      <c r="P424" s="48">
        <v>67</v>
      </c>
      <c r="Q424" s="17">
        <v>0</v>
      </c>
      <c r="R424" s="24">
        <v>214.4</v>
      </c>
      <c r="S424" s="18" t="s">
        <v>28</v>
      </c>
      <c r="T424" s="25">
        <v>4</v>
      </c>
    </row>
    <row r="425" spans="1:20" s="26" customFormat="1" x14ac:dyDescent="0.25">
      <c r="A425" s="16">
        <v>231059</v>
      </c>
      <c r="B425" s="30" t="s">
        <v>765</v>
      </c>
      <c r="C425" s="20" t="s">
        <v>651</v>
      </c>
      <c r="D425" s="20" t="s">
        <v>719</v>
      </c>
      <c r="E425" s="20" t="s">
        <v>2372</v>
      </c>
      <c r="F425" s="20" t="s">
        <v>2373</v>
      </c>
      <c r="G425" s="21">
        <v>18.8</v>
      </c>
      <c r="H425" s="16">
        <v>16</v>
      </c>
      <c r="I425" s="16">
        <v>7</v>
      </c>
      <c r="J425" s="17">
        <v>169.20000000000002</v>
      </c>
      <c r="K425" s="22"/>
      <c r="L425" s="23"/>
      <c r="M425" s="23">
        <v>0</v>
      </c>
      <c r="N425" s="19">
        <v>37.6</v>
      </c>
      <c r="O425" s="19">
        <v>-94</v>
      </c>
      <c r="P425" s="48">
        <v>94</v>
      </c>
      <c r="Q425" s="17">
        <v>0</v>
      </c>
      <c r="R425" s="24">
        <v>169.20000000000002</v>
      </c>
      <c r="S425" s="18" t="s">
        <v>28</v>
      </c>
      <c r="T425" s="25">
        <v>4</v>
      </c>
    </row>
    <row r="426" spans="1:20" s="26" customFormat="1" x14ac:dyDescent="0.25">
      <c r="A426" s="16">
        <v>231060</v>
      </c>
      <c r="B426" s="30" t="s">
        <v>1438</v>
      </c>
      <c r="C426" s="20" t="s">
        <v>651</v>
      </c>
      <c r="D426" s="20" t="s">
        <v>716</v>
      </c>
      <c r="E426" s="20" t="s">
        <v>2374</v>
      </c>
      <c r="F426" s="20" t="s">
        <v>2375</v>
      </c>
      <c r="G426" s="21">
        <v>13.4</v>
      </c>
      <c r="H426" s="16">
        <v>16</v>
      </c>
      <c r="I426" s="16"/>
      <c r="J426" s="17">
        <v>214.4</v>
      </c>
      <c r="K426" s="22"/>
      <c r="L426" s="23"/>
      <c r="M426" s="23">
        <v>0</v>
      </c>
      <c r="N426" s="19">
        <v>26.8</v>
      </c>
      <c r="O426" s="19">
        <v>-67</v>
      </c>
      <c r="P426" s="48">
        <v>67</v>
      </c>
      <c r="Q426" s="17">
        <v>0</v>
      </c>
      <c r="R426" s="24">
        <v>214.4</v>
      </c>
      <c r="S426" s="18" t="s">
        <v>28</v>
      </c>
      <c r="T426" s="25">
        <v>4</v>
      </c>
    </row>
    <row r="427" spans="1:20" s="26" customFormat="1" x14ac:dyDescent="0.25">
      <c r="A427" s="16">
        <v>231104</v>
      </c>
      <c r="B427" s="30" t="s">
        <v>766</v>
      </c>
      <c r="C427" s="20" t="s">
        <v>651</v>
      </c>
      <c r="D427" s="20" t="s">
        <v>719</v>
      </c>
      <c r="E427" s="20" t="s">
        <v>2376</v>
      </c>
      <c r="F427" s="20" t="s">
        <v>2377</v>
      </c>
      <c r="G427" s="21">
        <v>18.8</v>
      </c>
      <c r="H427" s="16">
        <v>16</v>
      </c>
      <c r="I427" s="16"/>
      <c r="J427" s="17">
        <v>300.8</v>
      </c>
      <c r="K427" s="22"/>
      <c r="L427" s="23"/>
      <c r="M427" s="23">
        <v>0</v>
      </c>
      <c r="N427" s="19">
        <v>37.6</v>
      </c>
      <c r="O427" s="19">
        <v>-94</v>
      </c>
      <c r="P427" s="48">
        <v>94</v>
      </c>
      <c r="Q427" s="17">
        <v>0</v>
      </c>
      <c r="R427" s="24">
        <v>300.8</v>
      </c>
      <c r="S427" s="18" t="s">
        <v>28</v>
      </c>
      <c r="T427" s="25">
        <v>4</v>
      </c>
    </row>
    <row r="428" spans="1:20" s="26" customFormat="1" x14ac:dyDescent="0.25">
      <c r="A428" s="16">
        <v>231105</v>
      </c>
      <c r="B428" s="30" t="s">
        <v>767</v>
      </c>
      <c r="C428" s="20" t="s">
        <v>651</v>
      </c>
      <c r="D428" s="20" t="s">
        <v>716</v>
      </c>
      <c r="E428" s="20" t="s">
        <v>2378</v>
      </c>
      <c r="F428" s="20" t="s">
        <v>2379</v>
      </c>
      <c r="G428" s="21">
        <v>13.4</v>
      </c>
      <c r="H428" s="16">
        <v>16</v>
      </c>
      <c r="I428" s="16"/>
      <c r="J428" s="17">
        <v>214.4</v>
      </c>
      <c r="K428" s="22"/>
      <c r="L428" s="23"/>
      <c r="M428" s="23">
        <v>0</v>
      </c>
      <c r="N428" s="19">
        <v>26.8</v>
      </c>
      <c r="O428" s="19">
        <v>-67</v>
      </c>
      <c r="P428" s="48">
        <v>67</v>
      </c>
      <c r="Q428" s="17">
        <v>0</v>
      </c>
      <c r="R428" s="24">
        <v>214.4</v>
      </c>
      <c r="S428" s="18" t="s">
        <v>28</v>
      </c>
      <c r="T428" s="25">
        <v>4</v>
      </c>
    </row>
    <row r="429" spans="1:20" s="26" customFormat="1" x14ac:dyDescent="0.25">
      <c r="A429" s="16">
        <v>231148</v>
      </c>
      <c r="B429" s="30" t="s">
        <v>768</v>
      </c>
      <c r="C429" s="20" t="s">
        <v>651</v>
      </c>
      <c r="D429" s="20" t="s">
        <v>719</v>
      </c>
      <c r="E429" s="20" t="s">
        <v>2380</v>
      </c>
      <c r="F429" s="20" t="s">
        <v>2381</v>
      </c>
      <c r="G429" s="21">
        <v>13.4</v>
      </c>
      <c r="H429" s="16">
        <v>16</v>
      </c>
      <c r="I429" s="16"/>
      <c r="J429" s="17">
        <v>214.4</v>
      </c>
      <c r="K429" s="22"/>
      <c r="L429" s="23"/>
      <c r="M429" s="23">
        <v>0</v>
      </c>
      <c r="N429" s="19">
        <v>26.8</v>
      </c>
      <c r="O429" s="19">
        <v>-67</v>
      </c>
      <c r="P429" s="48">
        <v>67</v>
      </c>
      <c r="Q429" s="17">
        <v>0</v>
      </c>
      <c r="R429" s="24">
        <v>214.4</v>
      </c>
      <c r="S429" s="18" t="s">
        <v>28</v>
      </c>
      <c r="T429" s="25">
        <v>4</v>
      </c>
    </row>
    <row r="430" spans="1:20" s="26" customFormat="1" x14ac:dyDescent="0.25">
      <c r="A430" s="16">
        <v>231327</v>
      </c>
      <c r="B430" s="30" t="s">
        <v>787</v>
      </c>
      <c r="C430" s="20" t="s">
        <v>651</v>
      </c>
      <c r="D430" s="20" t="s">
        <v>719</v>
      </c>
      <c r="E430" s="20" t="s">
        <v>2382</v>
      </c>
      <c r="F430" s="20" t="s">
        <v>2383</v>
      </c>
      <c r="G430" s="21">
        <v>13.4</v>
      </c>
      <c r="H430" s="16">
        <v>16</v>
      </c>
      <c r="I430" s="16"/>
      <c r="J430" s="17">
        <v>214.4</v>
      </c>
      <c r="K430" s="22"/>
      <c r="L430" s="23"/>
      <c r="M430" s="23">
        <v>0</v>
      </c>
      <c r="N430" s="19">
        <v>26.8</v>
      </c>
      <c r="O430" s="19">
        <v>-67</v>
      </c>
      <c r="P430" s="48">
        <v>67</v>
      </c>
      <c r="Q430" s="17">
        <v>0</v>
      </c>
      <c r="R430" s="24">
        <v>214.4</v>
      </c>
      <c r="S430" s="18" t="s">
        <v>28</v>
      </c>
      <c r="T430" s="25">
        <v>4</v>
      </c>
    </row>
    <row r="431" spans="1:20" s="26" customFormat="1" x14ac:dyDescent="0.25">
      <c r="A431" s="16">
        <v>231573</v>
      </c>
      <c r="B431" s="30" t="s">
        <v>839</v>
      </c>
      <c r="C431" s="20" t="s">
        <v>651</v>
      </c>
      <c r="D431" s="20" t="s">
        <v>719</v>
      </c>
      <c r="E431" s="20" t="s">
        <v>2384</v>
      </c>
      <c r="F431" s="20" t="s">
        <v>2385</v>
      </c>
      <c r="G431" s="21">
        <v>18.8</v>
      </c>
      <c r="H431" s="16">
        <v>16</v>
      </c>
      <c r="I431" s="16"/>
      <c r="J431" s="17">
        <v>300.8</v>
      </c>
      <c r="K431" s="22"/>
      <c r="L431" s="23"/>
      <c r="M431" s="23">
        <v>0</v>
      </c>
      <c r="N431" s="19">
        <v>37.6</v>
      </c>
      <c r="O431" s="19">
        <v>-94</v>
      </c>
      <c r="P431" s="48">
        <v>94</v>
      </c>
      <c r="Q431" s="17">
        <v>0</v>
      </c>
      <c r="R431" s="24">
        <v>300.8</v>
      </c>
      <c r="S431" s="18" t="s">
        <v>28</v>
      </c>
      <c r="T431" s="25">
        <v>4</v>
      </c>
    </row>
    <row r="432" spans="1:20" s="26" customFormat="1" x14ac:dyDescent="0.25">
      <c r="A432" s="16">
        <v>232557</v>
      </c>
      <c r="B432" s="30" t="s">
        <v>902</v>
      </c>
      <c r="C432" s="20" t="s">
        <v>651</v>
      </c>
      <c r="D432" s="20" t="s">
        <v>716</v>
      </c>
      <c r="E432" s="20" t="s">
        <v>2386</v>
      </c>
      <c r="F432" s="20" t="s">
        <v>2387</v>
      </c>
      <c r="G432" s="21">
        <v>20.100000000000001</v>
      </c>
      <c r="H432" s="16">
        <v>16</v>
      </c>
      <c r="I432" s="16"/>
      <c r="J432" s="17">
        <v>321.60000000000002</v>
      </c>
      <c r="K432" s="22"/>
      <c r="L432" s="23">
        <v>71.400000000000006</v>
      </c>
      <c r="M432" s="23">
        <v>71.400000000000006</v>
      </c>
      <c r="N432" s="19">
        <v>40.200000000000003</v>
      </c>
      <c r="O432" s="19">
        <v>-29.099999999999994</v>
      </c>
      <c r="P432" s="48">
        <v>100.5</v>
      </c>
      <c r="Q432" s="17">
        <v>0</v>
      </c>
      <c r="R432" s="24">
        <v>321.60000000000002</v>
      </c>
      <c r="S432" s="18" t="s">
        <v>28</v>
      </c>
      <c r="T432" s="25">
        <v>4</v>
      </c>
    </row>
    <row r="433" spans="1:20" s="26" customFormat="1" x14ac:dyDescent="0.25">
      <c r="A433" s="16">
        <v>232848</v>
      </c>
      <c r="B433" s="30" t="s">
        <v>936</v>
      </c>
      <c r="C433" s="20" t="s">
        <v>651</v>
      </c>
      <c r="D433" s="20" t="s">
        <v>716</v>
      </c>
      <c r="E433" s="20" t="s">
        <v>2388</v>
      </c>
      <c r="F433" s="20" t="s">
        <v>2389</v>
      </c>
      <c r="G433" s="21">
        <v>18.8</v>
      </c>
      <c r="H433" s="16">
        <v>16</v>
      </c>
      <c r="I433" s="16"/>
      <c r="J433" s="17">
        <v>300.8</v>
      </c>
      <c r="K433" s="22"/>
      <c r="L433" s="23"/>
      <c r="M433" s="23">
        <v>0</v>
      </c>
      <c r="N433" s="19">
        <v>37.6</v>
      </c>
      <c r="O433" s="19">
        <v>-94</v>
      </c>
      <c r="P433" s="48">
        <v>94</v>
      </c>
      <c r="Q433" s="17">
        <v>0</v>
      </c>
      <c r="R433" s="24">
        <v>300.8</v>
      </c>
      <c r="S433" s="18" t="s">
        <v>28</v>
      </c>
      <c r="T433" s="25">
        <v>4</v>
      </c>
    </row>
    <row r="434" spans="1:20" s="26" customFormat="1" x14ac:dyDescent="0.25">
      <c r="A434" s="16">
        <v>232849</v>
      </c>
      <c r="B434" s="30" t="s">
        <v>937</v>
      </c>
      <c r="C434" s="20" t="s">
        <v>651</v>
      </c>
      <c r="D434" s="20" t="s">
        <v>716</v>
      </c>
      <c r="E434" s="20" t="s">
        <v>2390</v>
      </c>
      <c r="F434" s="20" t="s">
        <v>2391</v>
      </c>
      <c r="G434" s="21">
        <v>13.4</v>
      </c>
      <c r="H434" s="16">
        <v>16</v>
      </c>
      <c r="I434" s="16"/>
      <c r="J434" s="17">
        <v>214.4</v>
      </c>
      <c r="K434" s="22"/>
      <c r="L434" s="23"/>
      <c r="M434" s="23">
        <v>0</v>
      </c>
      <c r="N434" s="19">
        <v>26.8</v>
      </c>
      <c r="O434" s="19">
        <v>-67</v>
      </c>
      <c r="P434" s="48">
        <v>67</v>
      </c>
      <c r="Q434" s="17">
        <v>0</v>
      </c>
      <c r="R434" s="24">
        <v>214.4</v>
      </c>
      <c r="S434" s="18" t="s">
        <v>28</v>
      </c>
      <c r="T434" s="25">
        <v>4</v>
      </c>
    </row>
    <row r="435" spans="1:20" s="26" customFormat="1" x14ac:dyDescent="0.25">
      <c r="A435" s="16">
        <v>233059</v>
      </c>
      <c r="B435" s="30" t="s">
        <v>973</v>
      </c>
      <c r="C435" s="20" t="s">
        <v>651</v>
      </c>
      <c r="D435" s="20" t="s">
        <v>716</v>
      </c>
      <c r="E435" s="20" t="s">
        <v>2392</v>
      </c>
      <c r="F435" s="20" t="s">
        <v>2393</v>
      </c>
      <c r="G435" s="21">
        <v>18.8</v>
      </c>
      <c r="H435" s="16">
        <v>16</v>
      </c>
      <c r="I435" s="16"/>
      <c r="J435" s="17">
        <v>300.8</v>
      </c>
      <c r="K435" s="22"/>
      <c r="L435" s="23"/>
      <c r="M435" s="23">
        <v>0</v>
      </c>
      <c r="N435" s="19">
        <v>37.6</v>
      </c>
      <c r="O435" s="19">
        <v>-94</v>
      </c>
      <c r="P435" s="48">
        <v>94</v>
      </c>
      <c r="Q435" s="17">
        <v>0</v>
      </c>
      <c r="R435" s="24">
        <v>300.8</v>
      </c>
      <c r="S435" s="18" t="s">
        <v>28</v>
      </c>
      <c r="T435" s="25">
        <v>4</v>
      </c>
    </row>
    <row r="436" spans="1:20" s="26" customFormat="1" x14ac:dyDescent="0.25">
      <c r="A436" s="16">
        <v>233061</v>
      </c>
      <c r="B436" s="30" t="s">
        <v>974</v>
      </c>
      <c r="C436" s="20" t="s">
        <v>651</v>
      </c>
      <c r="D436" s="20" t="s">
        <v>716</v>
      </c>
      <c r="E436" s="20" t="s">
        <v>2394</v>
      </c>
      <c r="F436" s="20" t="s">
        <v>2395</v>
      </c>
      <c r="G436" s="21">
        <v>18.8</v>
      </c>
      <c r="H436" s="16">
        <v>16</v>
      </c>
      <c r="I436" s="16">
        <v>1</v>
      </c>
      <c r="J436" s="17">
        <v>282</v>
      </c>
      <c r="K436" s="22"/>
      <c r="L436" s="23"/>
      <c r="M436" s="23">
        <v>0</v>
      </c>
      <c r="N436" s="19">
        <v>37.6</v>
      </c>
      <c r="O436" s="19">
        <v>-94</v>
      </c>
      <c r="P436" s="48">
        <v>94</v>
      </c>
      <c r="Q436" s="17">
        <v>0</v>
      </c>
      <c r="R436" s="24">
        <v>282</v>
      </c>
      <c r="S436" s="18" t="s">
        <v>28</v>
      </c>
      <c r="T436" s="25">
        <v>4</v>
      </c>
    </row>
    <row r="437" spans="1:20" s="26" customFormat="1" x14ac:dyDescent="0.25">
      <c r="A437" s="16">
        <v>233178</v>
      </c>
      <c r="B437" s="30" t="s">
        <v>975</v>
      </c>
      <c r="C437" s="20" t="s">
        <v>651</v>
      </c>
      <c r="D437" s="20" t="s">
        <v>716</v>
      </c>
      <c r="E437" s="20" t="s">
        <v>2396</v>
      </c>
      <c r="F437" s="20" t="s">
        <v>2397</v>
      </c>
      <c r="G437" s="21">
        <v>13.4</v>
      </c>
      <c r="H437" s="16">
        <v>16</v>
      </c>
      <c r="I437" s="16"/>
      <c r="J437" s="17">
        <v>214.4</v>
      </c>
      <c r="K437" s="22"/>
      <c r="L437" s="23"/>
      <c r="M437" s="23">
        <v>0</v>
      </c>
      <c r="N437" s="19">
        <v>26.8</v>
      </c>
      <c r="O437" s="19">
        <v>-67</v>
      </c>
      <c r="P437" s="48">
        <v>67</v>
      </c>
      <c r="Q437" s="17">
        <v>0</v>
      </c>
      <c r="R437" s="24">
        <v>214.4</v>
      </c>
      <c r="S437" s="18" t="s">
        <v>28</v>
      </c>
      <c r="T437" s="25">
        <v>4</v>
      </c>
    </row>
    <row r="438" spans="1:20" s="26" customFormat="1" x14ac:dyDescent="0.25">
      <c r="A438" s="16">
        <v>233245</v>
      </c>
      <c r="B438" s="30" t="s">
        <v>976</v>
      </c>
      <c r="C438" s="20" t="s">
        <v>651</v>
      </c>
      <c r="D438" s="20" t="s">
        <v>716</v>
      </c>
      <c r="E438" s="20" t="s">
        <v>2398</v>
      </c>
      <c r="F438" s="20" t="s">
        <v>2399</v>
      </c>
      <c r="G438" s="21">
        <v>13.4</v>
      </c>
      <c r="H438" s="16">
        <v>16</v>
      </c>
      <c r="I438" s="16">
        <v>1</v>
      </c>
      <c r="J438" s="17">
        <v>201</v>
      </c>
      <c r="K438" s="22"/>
      <c r="L438" s="23"/>
      <c r="M438" s="23">
        <v>0</v>
      </c>
      <c r="N438" s="19">
        <v>26.8</v>
      </c>
      <c r="O438" s="19">
        <v>-67</v>
      </c>
      <c r="P438" s="48">
        <v>67</v>
      </c>
      <c r="Q438" s="17">
        <v>0</v>
      </c>
      <c r="R438" s="24">
        <v>201</v>
      </c>
      <c r="S438" s="18" t="s">
        <v>28</v>
      </c>
      <c r="T438" s="25">
        <v>4</v>
      </c>
    </row>
    <row r="439" spans="1:20" s="26" customFormat="1" x14ac:dyDescent="0.25">
      <c r="A439" s="16">
        <v>233246</v>
      </c>
      <c r="B439" s="30" t="s">
        <v>977</v>
      </c>
      <c r="C439" s="20" t="s">
        <v>651</v>
      </c>
      <c r="D439" s="20" t="s">
        <v>716</v>
      </c>
      <c r="E439" s="20" t="s">
        <v>2400</v>
      </c>
      <c r="F439" s="20" t="s">
        <v>2401</v>
      </c>
      <c r="G439" s="21">
        <v>18.8</v>
      </c>
      <c r="H439" s="16">
        <v>16</v>
      </c>
      <c r="I439" s="16">
        <v>1</v>
      </c>
      <c r="J439" s="17">
        <v>282</v>
      </c>
      <c r="K439" s="22"/>
      <c r="L439" s="23"/>
      <c r="M439" s="23">
        <v>0</v>
      </c>
      <c r="N439" s="19">
        <v>37.6</v>
      </c>
      <c r="O439" s="19">
        <v>-94</v>
      </c>
      <c r="P439" s="48">
        <v>94</v>
      </c>
      <c r="Q439" s="17">
        <v>0</v>
      </c>
      <c r="R439" s="24">
        <v>282</v>
      </c>
      <c r="S439" s="18" t="s">
        <v>28</v>
      </c>
      <c r="T439" s="25">
        <v>4</v>
      </c>
    </row>
    <row r="440" spans="1:20" s="26" customFormat="1" x14ac:dyDescent="0.25">
      <c r="A440" s="16">
        <v>233317</v>
      </c>
      <c r="B440" s="30" t="s">
        <v>1060</v>
      </c>
      <c r="C440" s="20" t="s">
        <v>651</v>
      </c>
      <c r="D440" s="20" t="s">
        <v>716</v>
      </c>
      <c r="E440" s="20" t="s">
        <v>2402</v>
      </c>
      <c r="F440" s="20" t="s">
        <v>2403</v>
      </c>
      <c r="G440" s="21">
        <v>18.8</v>
      </c>
      <c r="H440" s="16">
        <v>16</v>
      </c>
      <c r="I440" s="16"/>
      <c r="J440" s="17">
        <v>300.8</v>
      </c>
      <c r="K440" s="22"/>
      <c r="L440" s="23"/>
      <c r="M440" s="23">
        <v>0</v>
      </c>
      <c r="N440" s="19">
        <v>37.6</v>
      </c>
      <c r="O440" s="19">
        <v>-94</v>
      </c>
      <c r="P440" s="48">
        <v>94</v>
      </c>
      <c r="Q440" s="17">
        <v>0</v>
      </c>
      <c r="R440" s="24">
        <v>300.8</v>
      </c>
      <c r="S440" s="18" t="s">
        <v>28</v>
      </c>
      <c r="T440" s="25">
        <v>4</v>
      </c>
    </row>
    <row r="441" spans="1:20" s="26" customFormat="1" x14ac:dyDescent="0.25">
      <c r="A441" s="16">
        <v>233353</v>
      </c>
      <c r="B441" s="30" t="s">
        <v>1439</v>
      </c>
      <c r="C441" s="20" t="s">
        <v>651</v>
      </c>
      <c r="D441" s="20" t="s">
        <v>716</v>
      </c>
      <c r="E441" s="20" t="s">
        <v>2404</v>
      </c>
      <c r="F441" s="20" t="s">
        <v>2405</v>
      </c>
      <c r="G441" s="21">
        <v>18.8</v>
      </c>
      <c r="H441" s="16">
        <v>16</v>
      </c>
      <c r="I441" s="16">
        <v>1</v>
      </c>
      <c r="J441" s="17">
        <v>282</v>
      </c>
      <c r="K441" s="22"/>
      <c r="L441" s="23"/>
      <c r="M441" s="23">
        <v>0</v>
      </c>
      <c r="N441" s="19">
        <v>37.6</v>
      </c>
      <c r="O441" s="19">
        <v>-94</v>
      </c>
      <c r="P441" s="48">
        <v>94</v>
      </c>
      <c r="Q441" s="17">
        <v>0</v>
      </c>
      <c r="R441" s="24">
        <v>282</v>
      </c>
      <c r="S441" s="18" t="s">
        <v>28</v>
      </c>
      <c r="T441" s="25">
        <v>4</v>
      </c>
    </row>
    <row r="442" spans="1:20" s="26" customFormat="1" x14ac:dyDescent="0.25">
      <c r="A442" s="16">
        <v>233565</v>
      </c>
      <c r="B442" s="30" t="s">
        <v>1061</v>
      </c>
      <c r="C442" s="20" t="s">
        <v>651</v>
      </c>
      <c r="D442" s="20" t="s">
        <v>719</v>
      </c>
      <c r="E442" s="20" t="s">
        <v>2406</v>
      </c>
      <c r="F442" s="20" t="s">
        <v>2407</v>
      </c>
      <c r="G442" s="21">
        <v>18.8</v>
      </c>
      <c r="H442" s="16">
        <v>16</v>
      </c>
      <c r="I442" s="16"/>
      <c r="J442" s="17">
        <v>300.8</v>
      </c>
      <c r="K442" s="22"/>
      <c r="L442" s="23"/>
      <c r="M442" s="23">
        <v>0</v>
      </c>
      <c r="N442" s="19">
        <v>37.6</v>
      </c>
      <c r="O442" s="19">
        <v>-94</v>
      </c>
      <c r="P442" s="48">
        <v>94</v>
      </c>
      <c r="Q442" s="17">
        <v>0</v>
      </c>
      <c r="R442" s="24">
        <v>300.8</v>
      </c>
      <c r="S442" s="18" t="s">
        <v>28</v>
      </c>
      <c r="T442" s="25">
        <v>4</v>
      </c>
    </row>
    <row r="443" spans="1:20" s="26" customFormat="1" x14ac:dyDescent="0.25">
      <c r="A443" s="16">
        <v>233961</v>
      </c>
      <c r="B443" s="30" t="s">
        <v>1171</v>
      </c>
      <c r="C443" s="20" t="s">
        <v>651</v>
      </c>
      <c r="D443" s="20" t="s">
        <v>716</v>
      </c>
      <c r="E443" s="20" t="s">
        <v>2408</v>
      </c>
      <c r="F443" s="20" t="s">
        <v>2409</v>
      </c>
      <c r="G443" s="21">
        <v>18.8</v>
      </c>
      <c r="H443" s="16">
        <v>16</v>
      </c>
      <c r="I443" s="16"/>
      <c r="J443" s="17">
        <v>300.8</v>
      </c>
      <c r="K443" s="22"/>
      <c r="L443" s="23"/>
      <c r="M443" s="23">
        <v>0</v>
      </c>
      <c r="N443" s="19">
        <v>37.6</v>
      </c>
      <c r="O443" s="19">
        <v>-94</v>
      </c>
      <c r="P443" s="48">
        <v>94</v>
      </c>
      <c r="Q443" s="17">
        <v>0</v>
      </c>
      <c r="R443" s="24">
        <v>300.8</v>
      </c>
      <c r="S443" s="18" t="s">
        <v>28</v>
      </c>
      <c r="T443" s="25">
        <v>4</v>
      </c>
    </row>
    <row r="444" spans="1:20" s="26" customFormat="1" x14ac:dyDescent="0.25">
      <c r="A444" s="16">
        <v>234020</v>
      </c>
      <c r="B444" s="30" t="s">
        <v>1172</v>
      </c>
      <c r="C444" s="20" t="s">
        <v>651</v>
      </c>
      <c r="D444" s="20" t="s">
        <v>716</v>
      </c>
      <c r="E444" s="20" t="s">
        <v>2410</v>
      </c>
      <c r="F444" s="20" t="s">
        <v>2411</v>
      </c>
      <c r="G444" s="21">
        <v>13.4</v>
      </c>
      <c r="H444" s="16">
        <v>16</v>
      </c>
      <c r="I444" s="16"/>
      <c r="J444" s="17">
        <v>214.4</v>
      </c>
      <c r="K444" s="22"/>
      <c r="L444" s="23"/>
      <c r="M444" s="23">
        <v>0</v>
      </c>
      <c r="N444" s="19">
        <v>26.8</v>
      </c>
      <c r="O444" s="19">
        <v>-67</v>
      </c>
      <c r="P444" s="48">
        <v>67</v>
      </c>
      <c r="Q444" s="17">
        <v>0</v>
      </c>
      <c r="R444" s="24">
        <v>214.4</v>
      </c>
      <c r="S444" s="18" t="s">
        <v>28</v>
      </c>
      <c r="T444" s="25">
        <v>4</v>
      </c>
    </row>
    <row r="445" spans="1:20" s="26" customFormat="1" x14ac:dyDescent="0.25">
      <c r="A445" s="16">
        <v>234442</v>
      </c>
      <c r="B445" s="30" t="s">
        <v>1281</v>
      </c>
      <c r="C445" s="20" t="s">
        <v>651</v>
      </c>
      <c r="D445" s="20" t="s">
        <v>716</v>
      </c>
      <c r="E445" s="20" t="s">
        <v>2412</v>
      </c>
      <c r="F445" s="20" t="s">
        <v>2413</v>
      </c>
      <c r="G445" s="21">
        <v>13.4</v>
      </c>
      <c r="H445" s="16">
        <v>16</v>
      </c>
      <c r="I445" s="16"/>
      <c r="J445" s="17">
        <v>214.4</v>
      </c>
      <c r="K445" s="22"/>
      <c r="L445" s="23"/>
      <c r="M445" s="23">
        <v>0</v>
      </c>
      <c r="N445" s="19">
        <v>26.8</v>
      </c>
      <c r="O445" s="19">
        <v>-67</v>
      </c>
      <c r="P445" s="48">
        <v>67</v>
      </c>
      <c r="Q445" s="17">
        <v>0</v>
      </c>
      <c r="R445" s="24">
        <v>214.4</v>
      </c>
      <c r="S445" s="18" t="s">
        <v>28</v>
      </c>
      <c r="T445" s="25">
        <v>4</v>
      </c>
    </row>
    <row r="446" spans="1:20" s="26" customFormat="1" x14ac:dyDescent="0.25">
      <c r="A446" s="16">
        <v>234486</v>
      </c>
      <c r="B446" s="30" t="s">
        <v>1282</v>
      </c>
      <c r="C446" s="20" t="s">
        <v>651</v>
      </c>
      <c r="D446" s="20" t="s">
        <v>719</v>
      </c>
      <c r="E446" s="20" t="s">
        <v>2414</v>
      </c>
      <c r="F446" s="20" t="s">
        <v>2415</v>
      </c>
      <c r="G446" s="21">
        <v>18.8</v>
      </c>
      <c r="H446" s="16">
        <v>16</v>
      </c>
      <c r="I446" s="16"/>
      <c r="J446" s="17">
        <v>300.8</v>
      </c>
      <c r="K446" s="22"/>
      <c r="L446" s="23"/>
      <c r="M446" s="23">
        <v>0</v>
      </c>
      <c r="N446" s="19">
        <v>37.6</v>
      </c>
      <c r="O446" s="19">
        <v>-94</v>
      </c>
      <c r="P446" s="48">
        <v>94</v>
      </c>
      <c r="Q446" s="17">
        <v>0</v>
      </c>
      <c r="R446" s="24">
        <v>300.8</v>
      </c>
      <c r="S446" s="18" t="s">
        <v>28</v>
      </c>
      <c r="T446" s="25">
        <v>4</v>
      </c>
    </row>
    <row r="447" spans="1:20" s="26" customFormat="1" x14ac:dyDescent="0.25">
      <c r="A447" s="16">
        <v>234491</v>
      </c>
      <c r="B447" s="30" t="s">
        <v>1283</v>
      </c>
      <c r="C447" s="20" t="s">
        <v>651</v>
      </c>
      <c r="D447" s="20" t="s">
        <v>716</v>
      </c>
      <c r="E447" s="20" t="s">
        <v>2416</v>
      </c>
      <c r="F447" s="20" t="s">
        <v>2417</v>
      </c>
      <c r="G447" s="21">
        <v>18.8</v>
      </c>
      <c r="H447" s="16">
        <v>16</v>
      </c>
      <c r="I447" s="16"/>
      <c r="J447" s="17">
        <v>300.8</v>
      </c>
      <c r="K447" s="22"/>
      <c r="L447" s="23"/>
      <c r="M447" s="23">
        <v>0</v>
      </c>
      <c r="N447" s="19">
        <v>37.6</v>
      </c>
      <c r="O447" s="19">
        <v>-94</v>
      </c>
      <c r="P447" s="48">
        <v>94</v>
      </c>
      <c r="Q447" s="17">
        <v>0</v>
      </c>
      <c r="R447" s="24">
        <v>300.8</v>
      </c>
      <c r="S447" s="18" t="s">
        <v>28</v>
      </c>
      <c r="T447" s="25">
        <v>4</v>
      </c>
    </row>
    <row r="448" spans="1:20" s="26" customFormat="1" x14ac:dyDescent="0.25">
      <c r="A448" s="16">
        <v>234590</v>
      </c>
      <c r="B448" s="30" t="s">
        <v>1307</v>
      </c>
      <c r="C448" s="20" t="s">
        <v>651</v>
      </c>
      <c r="D448" s="20" t="s">
        <v>719</v>
      </c>
      <c r="E448" s="20" t="s">
        <v>2418</v>
      </c>
      <c r="F448" s="20" t="s">
        <v>2419</v>
      </c>
      <c r="G448" s="21">
        <v>18.8</v>
      </c>
      <c r="H448" s="16">
        <v>16</v>
      </c>
      <c r="I448" s="16"/>
      <c r="J448" s="17">
        <v>300.8</v>
      </c>
      <c r="K448" s="22"/>
      <c r="L448" s="23"/>
      <c r="M448" s="23">
        <v>0</v>
      </c>
      <c r="N448" s="19">
        <v>37.6</v>
      </c>
      <c r="O448" s="19">
        <v>-94</v>
      </c>
      <c r="P448" s="48">
        <v>94</v>
      </c>
      <c r="Q448" s="17">
        <v>0</v>
      </c>
      <c r="R448" s="24">
        <v>300.8</v>
      </c>
      <c r="S448" s="18" t="s">
        <v>28</v>
      </c>
      <c r="T448" s="25">
        <v>4</v>
      </c>
    </row>
    <row r="449" spans="1:20" s="26" customFormat="1" x14ac:dyDescent="0.25">
      <c r="A449" s="16">
        <v>234640</v>
      </c>
      <c r="B449" s="30" t="s">
        <v>1308</v>
      </c>
      <c r="C449" s="20" t="s">
        <v>651</v>
      </c>
      <c r="D449" s="20" t="s">
        <v>719</v>
      </c>
      <c r="E449" s="20" t="s">
        <v>2420</v>
      </c>
      <c r="F449" s="20" t="s">
        <v>2421</v>
      </c>
      <c r="G449" s="21">
        <v>13.4</v>
      </c>
      <c r="H449" s="16">
        <v>16</v>
      </c>
      <c r="I449" s="16"/>
      <c r="J449" s="17">
        <v>214.4</v>
      </c>
      <c r="K449" s="22"/>
      <c r="L449" s="23"/>
      <c r="M449" s="23">
        <v>0</v>
      </c>
      <c r="N449" s="19">
        <v>26.8</v>
      </c>
      <c r="O449" s="19">
        <v>-67</v>
      </c>
      <c r="P449" s="48">
        <v>67</v>
      </c>
      <c r="Q449" s="17">
        <v>0</v>
      </c>
      <c r="R449" s="24">
        <v>214.4</v>
      </c>
      <c r="S449" s="18" t="s">
        <v>28</v>
      </c>
      <c r="T449" s="25">
        <v>4</v>
      </c>
    </row>
    <row r="450" spans="1:20" s="26" customFormat="1" x14ac:dyDescent="0.25">
      <c r="A450" s="16">
        <v>234680</v>
      </c>
      <c r="B450" s="30" t="s">
        <v>1352</v>
      </c>
      <c r="C450" s="20" t="s">
        <v>651</v>
      </c>
      <c r="D450" s="20" t="s">
        <v>719</v>
      </c>
      <c r="E450" s="20" t="s">
        <v>2422</v>
      </c>
      <c r="F450" s="20" t="s">
        <v>2423</v>
      </c>
      <c r="G450" s="21">
        <v>13.4</v>
      </c>
      <c r="H450" s="16">
        <v>16</v>
      </c>
      <c r="I450" s="16"/>
      <c r="J450" s="17">
        <v>214.4</v>
      </c>
      <c r="K450" s="22"/>
      <c r="L450" s="23"/>
      <c r="M450" s="23">
        <v>0</v>
      </c>
      <c r="N450" s="19">
        <v>26.8</v>
      </c>
      <c r="O450" s="19">
        <v>-67</v>
      </c>
      <c r="P450" s="48">
        <v>67</v>
      </c>
      <c r="Q450" s="17">
        <v>0</v>
      </c>
      <c r="R450" s="24">
        <v>214.4</v>
      </c>
      <c r="S450" s="18" t="s">
        <v>28</v>
      </c>
      <c r="T450" s="25">
        <v>4</v>
      </c>
    </row>
    <row r="451" spans="1:20" s="26" customFormat="1" x14ac:dyDescent="0.25">
      <c r="A451" s="16">
        <v>234841</v>
      </c>
      <c r="B451" s="30" t="s">
        <v>1440</v>
      </c>
      <c r="C451" s="20" t="s">
        <v>651</v>
      </c>
      <c r="D451" s="20" t="s">
        <v>716</v>
      </c>
      <c r="E451" s="20" t="s">
        <v>2424</v>
      </c>
      <c r="F451" s="20" t="s">
        <v>2425</v>
      </c>
      <c r="G451" s="21">
        <v>18.8</v>
      </c>
      <c r="H451" s="16">
        <v>16</v>
      </c>
      <c r="I451" s="16"/>
      <c r="J451" s="17">
        <v>300.8</v>
      </c>
      <c r="K451" s="22"/>
      <c r="L451" s="23">
        <v>94</v>
      </c>
      <c r="M451" s="23">
        <v>94</v>
      </c>
      <c r="N451" s="19">
        <v>37.6</v>
      </c>
      <c r="O451" s="19">
        <v>0</v>
      </c>
      <c r="P451" s="48">
        <v>94</v>
      </c>
      <c r="Q451" s="17">
        <v>0</v>
      </c>
      <c r="R451" s="24">
        <v>300.8</v>
      </c>
      <c r="S451" s="18" t="s">
        <v>28</v>
      </c>
      <c r="T451" s="25">
        <v>4</v>
      </c>
    </row>
    <row r="452" spans="1:20" s="26" customFormat="1" x14ac:dyDescent="0.25">
      <c r="A452" s="16">
        <v>234883</v>
      </c>
      <c r="B452" s="30" t="s">
        <v>1442</v>
      </c>
      <c r="C452" s="20" t="s">
        <v>651</v>
      </c>
      <c r="D452" s="20" t="s">
        <v>716</v>
      </c>
      <c r="E452" s="20">
        <v>0</v>
      </c>
      <c r="F452" s="20" t="s">
        <v>4181</v>
      </c>
      <c r="G452" s="21">
        <v>18.8</v>
      </c>
      <c r="H452" s="16">
        <v>0</v>
      </c>
      <c r="I452" s="16"/>
      <c r="J452" s="17">
        <v>0</v>
      </c>
      <c r="K452" s="22"/>
      <c r="L452" s="23"/>
      <c r="M452" s="23">
        <v>0</v>
      </c>
      <c r="N452" s="19">
        <v>37.6</v>
      </c>
      <c r="O452" s="19">
        <v>-94</v>
      </c>
      <c r="P452" s="48">
        <v>94</v>
      </c>
      <c r="Q452" s="17">
        <v>0</v>
      </c>
      <c r="R452" s="24">
        <v>0</v>
      </c>
      <c r="S452" s="18" t="s">
        <v>12</v>
      </c>
      <c r="T452" s="25">
        <v>4</v>
      </c>
    </row>
    <row r="453" spans="1:20" s="26" customFormat="1" x14ac:dyDescent="0.25">
      <c r="A453" s="16">
        <v>200365</v>
      </c>
      <c r="B453" s="30" t="s">
        <v>1173</v>
      </c>
      <c r="C453" s="20" t="s">
        <v>635</v>
      </c>
      <c r="D453" s="20" t="s">
        <v>689</v>
      </c>
      <c r="E453" s="20" t="s">
        <v>2430</v>
      </c>
      <c r="F453" s="20" t="s">
        <v>2431</v>
      </c>
      <c r="G453" s="21">
        <v>18.8</v>
      </c>
      <c r="H453" s="16">
        <v>22</v>
      </c>
      <c r="I453" s="16">
        <v>1</v>
      </c>
      <c r="J453" s="17">
        <v>394.8</v>
      </c>
      <c r="K453" s="22"/>
      <c r="L453" s="23"/>
      <c r="M453" s="23">
        <v>0</v>
      </c>
      <c r="N453" s="19">
        <v>37.6</v>
      </c>
      <c r="O453" s="19">
        <v>-94</v>
      </c>
      <c r="P453" s="48">
        <v>94</v>
      </c>
      <c r="Q453" s="17">
        <v>0</v>
      </c>
      <c r="R453" s="24">
        <v>394.8</v>
      </c>
      <c r="S453" s="18" t="s">
        <v>28</v>
      </c>
      <c r="T453" s="25">
        <v>4</v>
      </c>
    </row>
    <row r="454" spans="1:20" s="26" customFormat="1" x14ac:dyDescent="0.25">
      <c r="A454" s="16">
        <v>204327</v>
      </c>
      <c r="B454" s="30" t="s">
        <v>1444</v>
      </c>
      <c r="C454" s="20" t="s">
        <v>635</v>
      </c>
      <c r="D454" s="20" t="s">
        <v>689</v>
      </c>
      <c r="E454" s="20" t="s">
        <v>2432</v>
      </c>
      <c r="F454" s="20" t="s">
        <v>2433</v>
      </c>
      <c r="G454" s="21">
        <v>18.8</v>
      </c>
      <c r="H454" s="16">
        <v>22</v>
      </c>
      <c r="I454" s="16"/>
      <c r="J454" s="17">
        <v>413.6</v>
      </c>
      <c r="K454" s="22"/>
      <c r="L454" s="23"/>
      <c r="M454" s="23">
        <v>0</v>
      </c>
      <c r="N454" s="19">
        <v>37.6</v>
      </c>
      <c r="O454" s="19">
        <v>-94</v>
      </c>
      <c r="P454" s="48">
        <v>94</v>
      </c>
      <c r="Q454" s="17">
        <v>0</v>
      </c>
      <c r="R454" s="24">
        <v>413.6</v>
      </c>
      <c r="S454" s="18" t="s">
        <v>28</v>
      </c>
      <c r="T454" s="25">
        <v>4</v>
      </c>
    </row>
    <row r="455" spans="1:20" s="26" customFormat="1" x14ac:dyDescent="0.25">
      <c r="A455" s="16">
        <v>204854</v>
      </c>
      <c r="B455" s="30" t="s">
        <v>239</v>
      </c>
      <c r="C455" s="20" t="s">
        <v>635</v>
      </c>
      <c r="D455" s="20" t="s">
        <v>689</v>
      </c>
      <c r="E455" s="20" t="s">
        <v>2434</v>
      </c>
      <c r="F455" s="20" t="s">
        <v>2435</v>
      </c>
      <c r="G455" s="21">
        <v>18.8</v>
      </c>
      <c r="H455" s="16">
        <v>22</v>
      </c>
      <c r="I455" s="16"/>
      <c r="J455" s="17">
        <v>413.6</v>
      </c>
      <c r="K455" s="22"/>
      <c r="L455" s="23"/>
      <c r="M455" s="23">
        <v>0</v>
      </c>
      <c r="N455" s="19">
        <v>37.6</v>
      </c>
      <c r="O455" s="19">
        <v>-94</v>
      </c>
      <c r="P455" s="48">
        <v>94</v>
      </c>
      <c r="Q455" s="17">
        <v>0</v>
      </c>
      <c r="R455" s="24">
        <v>413.6</v>
      </c>
      <c r="S455" s="18" t="s">
        <v>28</v>
      </c>
      <c r="T455" s="25">
        <v>4</v>
      </c>
    </row>
    <row r="456" spans="1:20" s="26" customFormat="1" x14ac:dyDescent="0.25">
      <c r="A456" s="16">
        <v>231623</v>
      </c>
      <c r="B456" s="30" t="s">
        <v>821</v>
      </c>
      <c r="C456" s="20" t="s">
        <v>636</v>
      </c>
      <c r="D456" s="20" t="s">
        <v>729</v>
      </c>
      <c r="E456" s="20" t="s">
        <v>2436</v>
      </c>
      <c r="F456" s="20" t="s">
        <v>2437</v>
      </c>
      <c r="G456" s="21">
        <v>6.7</v>
      </c>
      <c r="H456" s="16">
        <v>22</v>
      </c>
      <c r="I456" s="16">
        <v>4</v>
      </c>
      <c r="J456" s="17">
        <v>120.60000000000001</v>
      </c>
      <c r="K456" s="22"/>
      <c r="L456" s="23"/>
      <c r="M456" s="23">
        <v>0</v>
      </c>
      <c r="N456" s="19">
        <v>13.4</v>
      </c>
      <c r="O456" s="19">
        <v>-33.5</v>
      </c>
      <c r="P456" s="48">
        <v>33.5</v>
      </c>
      <c r="Q456" s="17">
        <v>0</v>
      </c>
      <c r="R456" s="24">
        <v>120.60000000000001</v>
      </c>
      <c r="S456" s="18" t="s">
        <v>28</v>
      </c>
      <c r="T456" s="25">
        <v>4</v>
      </c>
    </row>
    <row r="457" spans="1:20" s="26" customFormat="1" x14ac:dyDescent="0.25">
      <c r="A457" s="16">
        <v>232518</v>
      </c>
      <c r="B457" s="30" t="s">
        <v>903</v>
      </c>
      <c r="C457" s="20" t="s">
        <v>636</v>
      </c>
      <c r="D457" s="20" t="s">
        <v>729</v>
      </c>
      <c r="E457" s="20" t="s">
        <v>2438</v>
      </c>
      <c r="F457" s="20" t="s">
        <v>2439</v>
      </c>
      <c r="G457" s="21">
        <v>18.8</v>
      </c>
      <c r="H457" s="16">
        <v>22</v>
      </c>
      <c r="I457" s="16"/>
      <c r="J457" s="17">
        <v>413.6</v>
      </c>
      <c r="K457" s="22"/>
      <c r="L457" s="23"/>
      <c r="M457" s="23">
        <v>0</v>
      </c>
      <c r="N457" s="19">
        <v>37.6</v>
      </c>
      <c r="O457" s="19">
        <v>-94</v>
      </c>
      <c r="P457" s="48">
        <v>94</v>
      </c>
      <c r="Q457" s="17">
        <v>0</v>
      </c>
      <c r="R457" s="24">
        <v>413.6</v>
      </c>
      <c r="S457" s="18" t="s">
        <v>28</v>
      </c>
      <c r="T457" s="25">
        <v>4</v>
      </c>
    </row>
    <row r="458" spans="1:20" s="26" customFormat="1" x14ac:dyDescent="0.25">
      <c r="A458" s="16">
        <v>233219</v>
      </c>
      <c r="B458" s="30" t="s">
        <v>978</v>
      </c>
      <c r="C458" s="20" t="s">
        <v>636</v>
      </c>
      <c r="D458" s="20" t="s">
        <v>729</v>
      </c>
      <c r="E458" s="20" t="s">
        <v>2440</v>
      </c>
      <c r="F458" s="20" t="s">
        <v>2441</v>
      </c>
      <c r="G458" s="21">
        <v>13.4</v>
      </c>
      <c r="H458" s="16">
        <v>22</v>
      </c>
      <c r="I458" s="16">
        <v>2</v>
      </c>
      <c r="J458" s="17">
        <v>268</v>
      </c>
      <c r="K458" s="22"/>
      <c r="L458" s="23"/>
      <c r="M458" s="23">
        <v>0</v>
      </c>
      <c r="N458" s="19">
        <v>26.8</v>
      </c>
      <c r="O458" s="19">
        <v>-67</v>
      </c>
      <c r="P458" s="48">
        <v>67</v>
      </c>
      <c r="Q458" s="17">
        <v>0</v>
      </c>
      <c r="R458" s="24">
        <v>268</v>
      </c>
      <c r="S458" s="18" t="s">
        <v>28</v>
      </c>
      <c r="T458" s="25">
        <v>4</v>
      </c>
    </row>
    <row r="459" spans="1:20" s="26" customFormat="1" x14ac:dyDescent="0.25">
      <c r="A459" s="16">
        <v>233220</v>
      </c>
      <c r="B459" s="30" t="s">
        <v>979</v>
      </c>
      <c r="C459" s="20" t="s">
        <v>636</v>
      </c>
      <c r="D459" s="20" t="s">
        <v>729</v>
      </c>
      <c r="E459" s="20" t="s">
        <v>2442</v>
      </c>
      <c r="F459" s="20" t="s">
        <v>2443</v>
      </c>
      <c r="G459" s="21">
        <v>9.4</v>
      </c>
      <c r="H459" s="16">
        <v>22</v>
      </c>
      <c r="I459" s="16">
        <v>5</v>
      </c>
      <c r="J459" s="17">
        <v>159.80000000000001</v>
      </c>
      <c r="K459" s="22"/>
      <c r="L459" s="23"/>
      <c r="M459" s="23">
        <v>0</v>
      </c>
      <c r="N459" s="19">
        <v>18.8</v>
      </c>
      <c r="O459" s="19">
        <v>-47</v>
      </c>
      <c r="P459" s="48">
        <v>47</v>
      </c>
      <c r="Q459" s="17">
        <v>0</v>
      </c>
      <c r="R459" s="24">
        <v>159.80000000000001</v>
      </c>
      <c r="S459" s="18" t="s">
        <v>28</v>
      </c>
      <c r="T459" s="25">
        <v>4</v>
      </c>
    </row>
    <row r="460" spans="1:20" s="26" customFormat="1" x14ac:dyDescent="0.25">
      <c r="A460" s="16">
        <v>233221</v>
      </c>
      <c r="B460" s="30" t="s">
        <v>980</v>
      </c>
      <c r="C460" s="20" t="s">
        <v>636</v>
      </c>
      <c r="D460" s="20" t="s">
        <v>729</v>
      </c>
      <c r="E460" s="20" t="s">
        <v>2444</v>
      </c>
      <c r="F460" s="20" t="s">
        <v>2445</v>
      </c>
      <c r="G460" s="21">
        <v>18.8</v>
      </c>
      <c r="H460" s="16">
        <v>22</v>
      </c>
      <c r="I460" s="16"/>
      <c r="J460" s="17">
        <v>413.6</v>
      </c>
      <c r="K460" s="22"/>
      <c r="L460" s="23"/>
      <c r="M460" s="23">
        <v>0</v>
      </c>
      <c r="N460" s="19">
        <v>37.6</v>
      </c>
      <c r="O460" s="19">
        <v>-94</v>
      </c>
      <c r="P460" s="48">
        <v>94</v>
      </c>
      <c r="Q460" s="17">
        <v>0</v>
      </c>
      <c r="R460" s="24">
        <v>413.6</v>
      </c>
      <c r="S460" s="18" t="s">
        <v>28</v>
      </c>
      <c r="T460" s="25">
        <v>4</v>
      </c>
    </row>
    <row r="461" spans="1:20" s="26" customFormat="1" x14ac:dyDescent="0.25">
      <c r="A461" s="16">
        <v>233222</v>
      </c>
      <c r="B461" s="30" t="s">
        <v>981</v>
      </c>
      <c r="C461" s="20" t="s">
        <v>636</v>
      </c>
      <c r="D461" s="20" t="s">
        <v>729</v>
      </c>
      <c r="E461" s="20" t="s">
        <v>2446</v>
      </c>
      <c r="F461" s="20" t="s">
        <v>2447</v>
      </c>
      <c r="G461" s="21">
        <v>18.8</v>
      </c>
      <c r="H461" s="16">
        <v>22</v>
      </c>
      <c r="I461" s="16">
        <v>3</v>
      </c>
      <c r="J461" s="17">
        <v>357.2</v>
      </c>
      <c r="K461" s="22"/>
      <c r="L461" s="23"/>
      <c r="M461" s="23">
        <v>0</v>
      </c>
      <c r="N461" s="19">
        <v>37.6</v>
      </c>
      <c r="O461" s="19">
        <v>-94</v>
      </c>
      <c r="P461" s="48">
        <v>94</v>
      </c>
      <c r="Q461" s="17">
        <v>0</v>
      </c>
      <c r="R461" s="24">
        <v>357.2</v>
      </c>
      <c r="S461" s="18" t="s">
        <v>28</v>
      </c>
      <c r="T461" s="25">
        <v>4</v>
      </c>
    </row>
    <row r="462" spans="1:20" s="26" customFormat="1" x14ac:dyDescent="0.25">
      <c r="A462" s="16">
        <v>233224</v>
      </c>
      <c r="B462" s="30" t="s">
        <v>982</v>
      </c>
      <c r="C462" s="20" t="s">
        <v>636</v>
      </c>
      <c r="D462" s="20" t="s">
        <v>729</v>
      </c>
      <c r="E462" s="20" t="s">
        <v>2448</v>
      </c>
      <c r="F462" s="20" t="s">
        <v>2449</v>
      </c>
      <c r="G462" s="21">
        <v>13.4</v>
      </c>
      <c r="H462" s="16">
        <v>22</v>
      </c>
      <c r="I462" s="16"/>
      <c r="J462" s="17">
        <v>294.8</v>
      </c>
      <c r="K462" s="22"/>
      <c r="L462" s="23"/>
      <c r="M462" s="23">
        <v>0</v>
      </c>
      <c r="N462" s="19">
        <v>26.8</v>
      </c>
      <c r="O462" s="19">
        <v>-67</v>
      </c>
      <c r="P462" s="48">
        <v>67</v>
      </c>
      <c r="Q462" s="17">
        <v>0</v>
      </c>
      <c r="R462" s="24">
        <v>294.8</v>
      </c>
      <c r="S462" s="18" t="s">
        <v>28</v>
      </c>
      <c r="T462" s="25">
        <v>4</v>
      </c>
    </row>
    <row r="463" spans="1:20" s="26" customFormat="1" x14ac:dyDescent="0.25">
      <c r="A463" s="16">
        <v>234078</v>
      </c>
      <c r="B463" s="30" t="s">
        <v>1174</v>
      </c>
      <c r="C463" s="20" t="s">
        <v>636</v>
      </c>
      <c r="D463" s="20" t="s">
        <v>729</v>
      </c>
      <c r="E463" s="20" t="s">
        <v>2450</v>
      </c>
      <c r="F463" s="20" t="s">
        <v>2451</v>
      </c>
      <c r="G463" s="21">
        <v>6.7</v>
      </c>
      <c r="H463" s="16">
        <v>22</v>
      </c>
      <c r="I463" s="16"/>
      <c r="J463" s="17">
        <v>147.4</v>
      </c>
      <c r="K463" s="22"/>
      <c r="L463" s="23"/>
      <c r="M463" s="23">
        <v>0</v>
      </c>
      <c r="N463" s="19">
        <v>13.4</v>
      </c>
      <c r="O463" s="19">
        <v>-33.5</v>
      </c>
      <c r="P463" s="48">
        <v>33.5</v>
      </c>
      <c r="Q463" s="17">
        <v>0</v>
      </c>
      <c r="R463" s="24">
        <v>147.4</v>
      </c>
      <c r="S463" s="18" t="s">
        <v>28</v>
      </c>
      <c r="T463" s="25">
        <v>4</v>
      </c>
    </row>
    <row r="464" spans="1:20" s="26" customFormat="1" x14ac:dyDescent="0.25">
      <c r="A464" s="16">
        <v>234079</v>
      </c>
      <c r="B464" s="30" t="s">
        <v>1175</v>
      </c>
      <c r="C464" s="20" t="s">
        <v>636</v>
      </c>
      <c r="D464" s="20" t="s">
        <v>729</v>
      </c>
      <c r="E464" s="20" t="s">
        <v>2452</v>
      </c>
      <c r="F464" s="20" t="s">
        <v>2453</v>
      </c>
      <c r="G464" s="21">
        <v>6.7</v>
      </c>
      <c r="H464" s="16">
        <v>22</v>
      </c>
      <c r="I464" s="16">
        <v>1</v>
      </c>
      <c r="J464" s="17">
        <v>140.70000000000002</v>
      </c>
      <c r="K464" s="22"/>
      <c r="L464" s="23"/>
      <c r="M464" s="23">
        <v>0</v>
      </c>
      <c r="N464" s="19">
        <v>13.4</v>
      </c>
      <c r="O464" s="19">
        <v>-33.5</v>
      </c>
      <c r="P464" s="48">
        <v>33.5</v>
      </c>
      <c r="Q464" s="17">
        <v>0</v>
      </c>
      <c r="R464" s="24">
        <v>140.70000000000002</v>
      </c>
      <c r="S464" s="18" t="s">
        <v>28</v>
      </c>
      <c r="T464" s="25">
        <v>4</v>
      </c>
    </row>
    <row r="465" spans="1:20" s="26" customFormat="1" x14ac:dyDescent="0.25">
      <c r="A465" s="16">
        <v>234080</v>
      </c>
      <c r="B465" s="30" t="s">
        <v>1176</v>
      </c>
      <c r="C465" s="20" t="s">
        <v>636</v>
      </c>
      <c r="D465" s="20" t="s">
        <v>729</v>
      </c>
      <c r="E465" s="20" t="s">
        <v>2454</v>
      </c>
      <c r="F465" s="20" t="s">
        <v>2455</v>
      </c>
      <c r="G465" s="21">
        <v>6.7</v>
      </c>
      <c r="H465" s="16">
        <v>22</v>
      </c>
      <c r="I465" s="16">
        <v>1</v>
      </c>
      <c r="J465" s="17">
        <v>140.70000000000002</v>
      </c>
      <c r="K465" s="22"/>
      <c r="L465" s="23"/>
      <c r="M465" s="23">
        <v>0</v>
      </c>
      <c r="N465" s="19">
        <v>13.4</v>
      </c>
      <c r="O465" s="19">
        <v>-33.5</v>
      </c>
      <c r="P465" s="48">
        <v>33.5</v>
      </c>
      <c r="Q465" s="17">
        <v>0</v>
      </c>
      <c r="R465" s="24">
        <v>140.70000000000002</v>
      </c>
      <c r="S465" s="18" t="s">
        <v>28</v>
      </c>
      <c r="T465" s="25">
        <v>4</v>
      </c>
    </row>
    <row r="466" spans="1:20" s="26" customFormat="1" x14ac:dyDescent="0.25">
      <c r="A466" s="16">
        <v>235019</v>
      </c>
      <c r="B466" s="30" t="s">
        <v>1445</v>
      </c>
      <c r="C466" s="20" t="s">
        <v>636</v>
      </c>
      <c r="D466" s="20" t="s">
        <v>729</v>
      </c>
      <c r="E466" s="20" t="s">
        <v>2456</v>
      </c>
      <c r="F466" s="20" t="s">
        <v>2457</v>
      </c>
      <c r="G466" s="21">
        <v>13.4</v>
      </c>
      <c r="H466" s="16">
        <v>22</v>
      </c>
      <c r="I466" s="16"/>
      <c r="J466" s="17">
        <v>294.8</v>
      </c>
      <c r="K466" s="22"/>
      <c r="L466" s="23">
        <v>59.5</v>
      </c>
      <c r="M466" s="23">
        <v>59.5</v>
      </c>
      <c r="N466" s="19">
        <v>26.8</v>
      </c>
      <c r="O466" s="19">
        <v>-7.5</v>
      </c>
      <c r="P466" s="48">
        <v>67</v>
      </c>
      <c r="Q466" s="17">
        <v>0</v>
      </c>
      <c r="R466" s="24">
        <v>294.8</v>
      </c>
      <c r="S466" s="18" t="s">
        <v>28</v>
      </c>
      <c r="T466" s="25">
        <v>4</v>
      </c>
    </row>
    <row r="467" spans="1:20" s="26" customFormat="1" x14ac:dyDescent="0.25">
      <c r="A467" s="16">
        <v>220129</v>
      </c>
      <c r="B467" s="30" t="s">
        <v>1446</v>
      </c>
      <c r="C467" s="20" t="s">
        <v>653</v>
      </c>
      <c r="D467" s="20" t="s">
        <v>714</v>
      </c>
      <c r="E467" s="20" t="s">
        <v>2458</v>
      </c>
      <c r="F467" s="20" t="s">
        <v>2459</v>
      </c>
      <c r="G467" s="21">
        <v>18.8</v>
      </c>
      <c r="H467" s="16">
        <v>26</v>
      </c>
      <c r="I467" s="16">
        <v>6</v>
      </c>
      <c r="J467" s="17">
        <v>376</v>
      </c>
      <c r="K467" s="22"/>
      <c r="L467" s="23"/>
      <c r="M467" s="23">
        <v>0</v>
      </c>
      <c r="N467" s="19">
        <v>37.6</v>
      </c>
      <c r="O467" s="19">
        <v>-94</v>
      </c>
      <c r="P467" s="48">
        <v>94</v>
      </c>
      <c r="Q467" s="17">
        <v>0</v>
      </c>
      <c r="R467" s="24">
        <v>376</v>
      </c>
      <c r="S467" s="18" t="s">
        <v>28</v>
      </c>
      <c r="T467" s="25">
        <v>4</v>
      </c>
    </row>
    <row r="468" spans="1:20" s="26" customFormat="1" x14ac:dyDescent="0.25">
      <c r="A468" s="16">
        <v>225669</v>
      </c>
      <c r="B468" s="30" t="s">
        <v>240</v>
      </c>
      <c r="C468" s="20" t="s">
        <v>653</v>
      </c>
      <c r="D468" s="20" t="s">
        <v>714</v>
      </c>
      <c r="E468" s="20" t="s">
        <v>2460</v>
      </c>
      <c r="F468" s="20" t="s">
        <v>2461</v>
      </c>
      <c r="G468" s="21">
        <v>13.4</v>
      </c>
      <c r="H468" s="16">
        <v>26</v>
      </c>
      <c r="I468" s="16">
        <v>1</v>
      </c>
      <c r="J468" s="17">
        <v>335</v>
      </c>
      <c r="K468" s="22"/>
      <c r="L468" s="23"/>
      <c r="M468" s="23">
        <v>0</v>
      </c>
      <c r="N468" s="19">
        <v>26.8</v>
      </c>
      <c r="O468" s="19">
        <v>-67</v>
      </c>
      <c r="P468" s="48">
        <v>67</v>
      </c>
      <c r="Q468" s="17">
        <v>0</v>
      </c>
      <c r="R468" s="24">
        <v>335</v>
      </c>
      <c r="S468" s="18" t="s">
        <v>28</v>
      </c>
      <c r="T468" s="25">
        <v>4</v>
      </c>
    </row>
    <row r="469" spans="1:20" s="26" customFormat="1" x14ac:dyDescent="0.25">
      <c r="A469" s="16">
        <v>229464</v>
      </c>
      <c r="B469" s="30" t="s">
        <v>1177</v>
      </c>
      <c r="C469" s="20" t="s">
        <v>653</v>
      </c>
      <c r="D469" s="20" t="s">
        <v>714</v>
      </c>
      <c r="E469" s="20" t="s">
        <v>2462</v>
      </c>
      <c r="F469" s="20" t="s">
        <v>2463</v>
      </c>
      <c r="G469" s="21">
        <v>13.4</v>
      </c>
      <c r="H469" s="16">
        <v>26</v>
      </c>
      <c r="I469" s="16">
        <v>1</v>
      </c>
      <c r="J469" s="17">
        <v>335</v>
      </c>
      <c r="K469" s="22"/>
      <c r="L469" s="23"/>
      <c r="M469" s="23">
        <v>0</v>
      </c>
      <c r="N469" s="19">
        <v>26.8</v>
      </c>
      <c r="O469" s="19">
        <v>-67</v>
      </c>
      <c r="P469" s="48">
        <v>67</v>
      </c>
      <c r="Q469" s="17">
        <v>0</v>
      </c>
      <c r="R469" s="24">
        <v>335</v>
      </c>
      <c r="S469" s="18" t="s">
        <v>28</v>
      </c>
      <c r="T469" s="25">
        <v>4</v>
      </c>
    </row>
    <row r="470" spans="1:20" s="26" customFormat="1" x14ac:dyDescent="0.25">
      <c r="A470" s="16">
        <v>229550</v>
      </c>
      <c r="B470" s="30" t="s">
        <v>1062</v>
      </c>
      <c r="C470" s="20" t="s">
        <v>653</v>
      </c>
      <c r="D470" s="20" t="s">
        <v>714</v>
      </c>
      <c r="E470" s="20" t="s">
        <v>2464</v>
      </c>
      <c r="F470" s="20" t="s">
        <v>2465</v>
      </c>
      <c r="G470" s="21">
        <v>13.4</v>
      </c>
      <c r="H470" s="16">
        <v>26</v>
      </c>
      <c r="I470" s="16">
        <v>1</v>
      </c>
      <c r="J470" s="17">
        <v>335</v>
      </c>
      <c r="K470" s="22"/>
      <c r="L470" s="23"/>
      <c r="M470" s="23">
        <v>0</v>
      </c>
      <c r="N470" s="19">
        <v>26.8</v>
      </c>
      <c r="O470" s="19">
        <v>-67</v>
      </c>
      <c r="P470" s="48">
        <v>67</v>
      </c>
      <c r="Q470" s="17">
        <v>0</v>
      </c>
      <c r="R470" s="24">
        <v>335</v>
      </c>
      <c r="S470" s="18" t="s">
        <v>28</v>
      </c>
      <c r="T470" s="25">
        <v>4</v>
      </c>
    </row>
    <row r="471" spans="1:20" s="26" customFormat="1" x14ac:dyDescent="0.25">
      <c r="A471" s="16">
        <v>230862</v>
      </c>
      <c r="B471" s="30" t="s">
        <v>594</v>
      </c>
      <c r="C471" s="20" t="s">
        <v>653</v>
      </c>
      <c r="D471" s="20" t="s">
        <v>714</v>
      </c>
      <c r="E471" s="20" t="s">
        <v>2466</v>
      </c>
      <c r="F471" s="20" t="s">
        <v>2467</v>
      </c>
      <c r="G471" s="21">
        <v>18.8</v>
      </c>
      <c r="H471" s="16">
        <v>26</v>
      </c>
      <c r="I471" s="16">
        <v>4</v>
      </c>
      <c r="J471" s="17">
        <v>413.6</v>
      </c>
      <c r="K471" s="22"/>
      <c r="L471" s="23"/>
      <c r="M471" s="23">
        <v>0</v>
      </c>
      <c r="N471" s="19">
        <v>37.6</v>
      </c>
      <c r="O471" s="19">
        <v>-94</v>
      </c>
      <c r="P471" s="48">
        <v>94</v>
      </c>
      <c r="Q471" s="17">
        <v>0</v>
      </c>
      <c r="R471" s="24">
        <v>413.6</v>
      </c>
      <c r="S471" s="18" t="s">
        <v>28</v>
      </c>
      <c r="T471" s="25">
        <v>4</v>
      </c>
    </row>
    <row r="472" spans="1:20" s="26" customFormat="1" x14ac:dyDescent="0.25">
      <c r="A472" s="16">
        <v>232271</v>
      </c>
      <c r="B472" s="30" t="s">
        <v>884</v>
      </c>
      <c r="C472" s="20" t="s">
        <v>653</v>
      </c>
      <c r="D472" s="20" t="s">
        <v>714</v>
      </c>
      <c r="E472" s="20" t="s">
        <v>2468</v>
      </c>
      <c r="F472" s="20" t="s">
        <v>2469</v>
      </c>
      <c r="G472" s="21">
        <v>14.2</v>
      </c>
      <c r="H472" s="16">
        <v>26</v>
      </c>
      <c r="I472" s="16"/>
      <c r="J472" s="17">
        <v>369.2</v>
      </c>
      <c r="K472" s="22"/>
      <c r="L472" s="23"/>
      <c r="M472" s="23">
        <v>0</v>
      </c>
      <c r="N472" s="19">
        <v>28.4</v>
      </c>
      <c r="O472" s="19">
        <v>-71</v>
      </c>
      <c r="P472" s="48">
        <v>71</v>
      </c>
      <c r="Q472" s="17">
        <v>0</v>
      </c>
      <c r="R472" s="24">
        <v>369.2</v>
      </c>
      <c r="S472" s="18" t="s">
        <v>28</v>
      </c>
      <c r="T472" s="25">
        <v>4</v>
      </c>
    </row>
    <row r="473" spans="1:20" s="26" customFormat="1" x14ac:dyDescent="0.25">
      <c r="A473" s="16">
        <v>232973</v>
      </c>
      <c r="B473" s="30" t="s">
        <v>983</v>
      </c>
      <c r="C473" s="20" t="s">
        <v>653</v>
      </c>
      <c r="D473" s="20" t="s">
        <v>714</v>
      </c>
      <c r="E473" s="20" t="s">
        <v>2470</v>
      </c>
      <c r="F473" s="20" t="s">
        <v>2471</v>
      </c>
      <c r="G473" s="21">
        <v>13.4</v>
      </c>
      <c r="H473" s="16">
        <v>26</v>
      </c>
      <c r="I473" s="16"/>
      <c r="J473" s="17">
        <v>348.40000000000003</v>
      </c>
      <c r="K473" s="22"/>
      <c r="L473" s="23"/>
      <c r="M473" s="23">
        <v>0</v>
      </c>
      <c r="N473" s="19">
        <v>26.8</v>
      </c>
      <c r="O473" s="19">
        <v>-67</v>
      </c>
      <c r="P473" s="48">
        <v>67</v>
      </c>
      <c r="Q473" s="17">
        <v>0</v>
      </c>
      <c r="R473" s="24">
        <v>348.40000000000003</v>
      </c>
      <c r="S473" s="18" t="s">
        <v>28</v>
      </c>
      <c r="T473" s="25">
        <v>4</v>
      </c>
    </row>
    <row r="474" spans="1:20" s="26" customFormat="1" x14ac:dyDescent="0.25">
      <c r="A474" s="16">
        <v>218881</v>
      </c>
      <c r="B474" s="30" t="s">
        <v>241</v>
      </c>
      <c r="C474" s="20" t="s">
        <v>656</v>
      </c>
      <c r="D474" s="20" t="s">
        <v>740</v>
      </c>
      <c r="E474" s="20" t="s">
        <v>2472</v>
      </c>
      <c r="F474" s="20" t="s">
        <v>2473</v>
      </c>
      <c r="G474" s="21">
        <v>18.8</v>
      </c>
      <c r="H474" s="16">
        <v>29</v>
      </c>
      <c r="I474" s="16"/>
      <c r="J474" s="17">
        <v>545.20000000000005</v>
      </c>
      <c r="K474" s="22"/>
      <c r="L474" s="23"/>
      <c r="M474" s="23">
        <v>0</v>
      </c>
      <c r="N474" s="19">
        <v>37.6</v>
      </c>
      <c r="O474" s="19">
        <v>-94</v>
      </c>
      <c r="P474" s="48">
        <v>94</v>
      </c>
      <c r="Q474" s="17">
        <v>0</v>
      </c>
      <c r="R474" s="24">
        <v>545.20000000000005</v>
      </c>
      <c r="S474" s="18" t="s">
        <v>28</v>
      </c>
      <c r="T474" s="25">
        <v>4</v>
      </c>
    </row>
    <row r="475" spans="1:20" s="26" customFormat="1" x14ac:dyDescent="0.25">
      <c r="A475" s="16">
        <v>209654</v>
      </c>
      <c r="B475" s="30" t="s">
        <v>242</v>
      </c>
      <c r="C475" s="20" t="s">
        <v>654</v>
      </c>
      <c r="D475" s="20" t="s">
        <v>715</v>
      </c>
      <c r="E475" s="20" t="s">
        <v>2474</v>
      </c>
      <c r="F475" s="20" t="s">
        <v>2475</v>
      </c>
      <c r="G475" s="21">
        <v>18.8</v>
      </c>
      <c r="H475" s="16">
        <v>26</v>
      </c>
      <c r="I475" s="16"/>
      <c r="J475" s="17">
        <v>488.8</v>
      </c>
      <c r="K475" s="22"/>
      <c r="L475" s="23"/>
      <c r="M475" s="23">
        <v>0</v>
      </c>
      <c r="N475" s="19">
        <v>37.6</v>
      </c>
      <c r="O475" s="19">
        <v>-94</v>
      </c>
      <c r="P475" s="48">
        <v>94</v>
      </c>
      <c r="Q475" s="17">
        <v>0</v>
      </c>
      <c r="R475" s="24">
        <v>488.8</v>
      </c>
      <c r="S475" s="18" t="s">
        <v>28</v>
      </c>
      <c r="T475" s="25">
        <v>4</v>
      </c>
    </row>
    <row r="476" spans="1:20" s="26" customFormat="1" x14ac:dyDescent="0.25">
      <c r="A476" s="16">
        <v>214093</v>
      </c>
      <c r="B476" s="30" t="s">
        <v>243</v>
      </c>
      <c r="C476" s="20" t="s">
        <v>654</v>
      </c>
      <c r="D476" s="20" t="s">
        <v>731</v>
      </c>
      <c r="E476" s="20" t="s">
        <v>2476</v>
      </c>
      <c r="F476" s="20" t="s">
        <v>2477</v>
      </c>
      <c r="G476" s="21">
        <v>18.8</v>
      </c>
      <c r="H476" s="16">
        <v>26</v>
      </c>
      <c r="I476" s="16"/>
      <c r="J476" s="17">
        <v>488.8</v>
      </c>
      <c r="K476" s="22"/>
      <c r="L476" s="23">
        <v>93.9</v>
      </c>
      <c r="M476" s="23">
        <v>93.9</v>
      </c>
      <c r="N476" s="19">
        <v>37.6</v>
      </c>
      <c r="O476" s="19">
        <v>-9.9999999999994316E-2</v>
      </c>
      <c r="P476" s="48">
        <v>94</v>
      </c>
      <c r="Q476" s="17">
        <v>0</v>
      </c>
      <c r="R476" s="24">
        <v>488.8</v>
      </c>
      <c r="S476" s="18" t="s">
        <v>28</v>
      </c>
      <c r="T476" s="25">
        <v>4</v>
      </c>
    </row>
    <row r="477" spans="1:20" s="26" customFormat="1" x14ac:dyDescent="0.25">
      <c r="A477" s="16">
        <v>214588</v>
      </c>
      <c r="B477" s="30" t="s">
        <v>244</v>
      </c>
      <c r="C477" s="20" t="s">
        <v>654</v>
      </c>
      <c r="D477" s="20" t="s">
        <v>731</v>
      </c>
      <c r="E477" s="20" t="s">
        <v>2478</v>
      </c>
      <c r="F477" s="20" t="s">
        <v>2479</v>
      </c>
      <c r="G477" s="21">
        <v>18.8</v>
      </c>
      <c r="H477" s="16">
        <v>26</v>
      </c>
      <c r="I477" s="16">
        <v>1</v>
      </c>
      <c r="J477" s="17">
        <v>470</v>
      </c>
      <c r="K477" s="22"/>
      <c r="L477" s="23">
        <v>18.8</v>
      </c>
      <c r="M477" s="23">
        <v>18.8</v>
      </c>
      <c r="N477" s="19">
        <v>37.6</v>
      </c>
      <c r="O477" s="19">
        <v>-75.2</v>
      </c>
      <c r="P477" s="48">
        <v>94</v>
      </c>
      <c r="Q477" s="17">
        <v>0</v>
      </c>
      <c r="R477" s="24">
        <v>470</v>
      </c>
      <c r="S477" s="18" t="s">
        <v>28</v>
      </c>
      <c r="T477" s="25">
        <v>4</v>
      </c>
    </row>
    <row r="478" spans="1:20" s="26" customFormat="1" x14ac:dyDescent="0.25">
      <c r="A478" s="16">
        <v>216262</v>
      </c>
      <c r="B478" s="30" t="s">
        <v>245</v>
      </c>
      <c r="C478" s="20" t="s">
        <v>654</v>
      </c>
      <c r="D478" s="20" t="s">
        <v>715</v>
      </c>
      <c r="E478" s="20" t="s">
        <v>2480</v>
      </c>
      <c r="F478" s="20" t="s">
        <v>2481</v>
      </c>
      <c r="G478" s="21">
        <v>13.4</v>
      </c>
      <c r="H478" s="16">
        <v>26</v>
      </c>
      <c r="I478" s="16"/>
      <c r="J478" s="17">
        <v>348.40000000000003</v>
      </c>
      <c r="K478" s="22"/>
      <c r="L478" s="23"/>
      <c r="M478" s="23">
        <v>0</v>
      </c>
      <c r="N478" s="19">
        <v>26.8</v>
      </c>
      <c r="O478" s="19">
        <v>-67</v>
      </c>
      <c r="P478" s="48">
        <v>67</v>
      </c>
      <c r="Q478" s="17">
        <v>0</v>
      </c>
      <c r="R478" s="24">
        <v>348.40000000000003</v>
      </c>
      <c r="S478" s="18" t="s">
        <v>28</v>
      </c>
      <c r="T478" s="25">
        <v>4</v>
      </c>
    </row>
    <row r="479" spans="1:20" s="26" customFormat="1" x14ac:dyDescent="0.25">
      <c r="A479" s="16">
        <v>218568</v>
      </c>
      <c r="B479" s="30" t="s">
        <v>246</v>
      </c>
      <c r="C479" s="20" t="s">
        <v>654</v>
      </c>
      <c r="D479" s="20" t="s">
        <v>715</v>
      </c>
      <c r="E479" s="20" t="s">
        <v>2482</v>
      </c>
      <c r="F479" s="20" t="s">
        <v>2483</v>
      </c>
      <c r="G479" s="21">
        <v>18.8</v>
      </c>
      <c r="H479" s="16">
        <v>26</v>
      </c>
      <c r="I479" s="16"/>
      <c r="J479" s="17">
        <v>488.8</v>
      </c>
      <c r="K479" s="22"/>
      <c r="L479" s="23"/>
      <c r="M479" s="23">
        <v>0</v>
      </c>
      <c r="N479" s="19">
        <v>37.6</v>
      </c>
      <c r="O479" s="19">
        <v>-94</v>
      </c>
      <c r="P479" s="48">
        <v>94</v>
      </c>
      <c r="Q479" s="17">
        <v>0</v>
      </c>
      <c r="R479" s="24">
        <v>488.8</v>
      </c>
      <c r="S479" s="18" t="s">
        <v>28</v>
      </c>
      <c r="T479" s="25">
        <v>4</v>
      </c>
    </row>
    <row r="480" spans="1:20" s="26" customFormat="1" x14ac:dyDescent="0.25">
      <c r="A480" s="16">
        <v>220800</v>
      </c>
      <c r="B480" s="30" t="s">
        <v>247</v>
      </c>
      <c r="C480" s="20" t="s">
        <v>654</v>
      </c>
      <c r="D480" s="20" t="s">
        <v>715</v>
      </c>
      <c r="E480" s="20" t="s">
        <v>2484</v>
      </c>
      <c r="F480" s="20" t="s">
        <v>2485</v>
      </c>
      <c r="G480" s="21">
        <v>13.4</v>
      </c>
      <c r="H480" s="16">
        <v>26</v>
      </c>
      <c r="I480" s="16">
        <v>1</v>
      </c>
      <c r="J480" s="17">
        <v>335</v>
      </c>
      <c r="K480" s="22"/>
      <c r="L480" s="23"/>
      <c r="M480" s="23">
        <v>0</v>
      </c>
      <c r="N480" s="19">
        <v>26.8</v>
      </c>
      <c r="O480" s="19">
        <v>-67</v>
      </c>
      <c r="P480" s="48">
        <v>67</v>
      </c>
      <c r="Q480" s="17">
        <v>0</v>
      </c>
      <c r="R480" s="24">
        <v>335</v>
      </c>
      <c r="S480" s="18" t="s">
        <v>28</v>
      </c>
      <c r="T480" s="25">
        <v>4</v>
      </c>
    </row>
    <row r="481" spans="1:20" s="26" customFormat="1" x14ac:dyDescent="0.25">
      <c r="A481" s="16">
        <v>221474</v>
      </c>
      <c r="B481" s="30" t="s">
        <v>204</v>
      </c>
      <c r="C481" s="20" t="s">
        <v>654</v>
      </c>
      <c r="D481" s="20" t="s">
        <v>715</v>
      </c>
      <c r="E481" s="20" t="s">
        <v>2486</v>
      </c>
      <c r="F481" s="20" t="s">
        <v>2487</v>
      </c>
      <c r="G481" s="21">
        <v>13.4</v>
      </c>
      <c r="H481" s="16">
        <v>26</v>
      </c>
      <c r="I481" s="16">
        <v>4</v>
      </c>
      <c r="J481" s="17">
        <v>294.8</v>
      </c>
      <c r="K481" s="22"/>
      <c r="L481" s="23"/>
      <c r="M481" s="23">
        <v>0</v>
      </c>
      <c r="N481" s="19">
        <v>26.8</v>
      </c>
      <c r="O481" s="19">
        <v>-67</v>
      </c>
      <c r="P481" s="48">
        <v>67</v>
      </c>
      <c r="Q481" s="17">
        <v>0</v>
      </c>
      <c r="R481" s="24">
        <v>294.8</v>
      </c>
      <c r="S481" s="18" t="s">
        <v>28</v>
      </c>
      <c r="T481" s="25">
        <v>4</v>
      </c>
    </row>
    <row r="482" spans="1:20" s="26" customFormat="1" x14ac:dyDescent="0.25">
      <c r="A482" s="16">
        <v>226681</v>
      </c>
      <c r="B482" s="30" t="s">
        <v>249</v>
      </c>
      <c r="C482" s="20" t="s">
        <v>654</v>
      </c>
      <c r="D482" s="20" t="s">
        <v>715</v>
      </c>
      <c r="E482" s="20" t="s">
        <v>2488</v>
      </c>
      <c r="F482" s="20" t="s">
        <v>2489</v>
      </c>
      <c r="G482" s="21">
        <v>13.4</v>
      </c>
      <c r="H482" s="16">
        <v>26</v>
      </c>
      <c r="I482" s="16"/>
      <c r="J482" s="17">
        <v>348.40000000000003</v>
      </c>
      <c r="K482" s="22"/>
      <c r="L482" s="23"/>
      <c r="M482" s="23">
        <v>0</v>
      </c>
      <c r="N482" s="19">
        <v>26.8</v>
      </c>
      <c r="O482" s="19">
        <v>-67</v>
      </c>
      <c r="P482" s="48">
        <v>67</v>
      </c>
      <c r="Q482" s="17">
        <v>0</v>
      </c>
      <c r="R482" s="24">
        <v>348.40000000000003</v>
      </c>
      <c r="S482" s="18" t="s">
        <v>28</v>
      </c>
      <c r="T482" s="25">
        <v>4</v>
      </c>
    </row>
    <row r="483" spans="1:20" s="26" customFormat="1" x14ac:dyDescent="0.25">
      <c r="A483" s="16">
        <v>228130</v>
      </c>
      <c r="B483" s="30" t="s">
        <v>250</v>
      </c>
      <c r="C483" s="20" t="s">
        <v>654</v>
      </c>
      <c r="D483" s="20" t="s">
        <v>715</v>
      </c>
      <c r="E483" s="20" t="s">
        <v>2490</v>
      </c>
      <c r="F483" s="20" t="s">
        <v>2491</v>
      </c>
      <c r="G483" s="21">
        <v>18.8</v>
      </c>
      <c r="H483" s="16">
        <v>26</v>
      </c>
      <c r="I483" s="16">
        <v>1</v>
      </c>
      <c r="J483" s="17">
        <v>470</v>
      </c>
      <c r="K483" s="22"/>
      <c r="L483" s="23"/>
      <c r="M483" s="23">
        <v>0</v>
      </c>
      <c r="N483" s="19">
        <v>37.6</v>
      </c>
      <c r="O483" s="19">
        <v>-94</v>
      </c>
      <c r="P483" s="48">
        <v>94</v>
      </c>
      <c r="Q483" s="17">
        <v>0</v>
      </c>
      <c r="R483" s="24">
        <v>470</v>
      </c>
      <c r="S483" s="18" t="s">
        <v>28</v>
      </c>
      <c r="T483" s="25">
        <v>4</v>
      </c>
    </row>
    <row r="484" spans="1:20" s="26" customFormat="1" x14ac:dyDescent="0.25">
      <c r="A484" s="16">
        <v>229752</v>
      </c>
      <c r="B484" s="30" t="s">
        <v>251</v>
      </c>
      <c r="C484" s="20" t="s">
        <v>654</v>
      </c>
      <c r="D484" s="20" t="s">
        <v>715</v>
      </c>
      <c r="E484" s="20" t="s">
        <v>2492</v>
      </c>
      <c r="F484" s="20" t="s">
        <v>2493</v>
      </c>
      <c r="G484" s="21">
        <v>13.4</v>
      </c>
      <c r="H484" s="16">
        <v>26</v>
      </c>
      <c r="I484" s="16">
        <v>1</v>
      </c>
      <c r="J484" s="17">
        <v>335</v>
      </c>
      <c r="K484" s="22"/>
      <c r="L484" s="23"/>
      <c r="M484" s="23">
        <v>0</v>
      </c>
      <c r="N484" s="19">
        <v>26.8</v>
      </c>
      <c r="O484" s="19">
        <v>-67</v>
      </c>
      <c r="P484" s="48">
        <v>67</v>
      </c>
      <c r="Q484" s="17">
        <v>0</v>
      </c>
      <c r="R484" s="24">
        <v>335</v>
      </c>
      <c r="S484" s="18" t="s">
        <v>28</v>
      </c>
      <c r="T484" s="25">
        <v>4</v>
      </c>
    </row>
    <row r="485" spans="1:20" s="26" customFormat="1" x14ac:dyDescent="0.25">
      <c r="A485" s="16">
        <v>230627</v>
      </c>
      <c r="B485" s="30" t="s">
        <v>252</v>
      </c>
      <c r="C485" s="20" t="s">
        <v>654</v>
      </c>
      <c r="D485" s="20" t="s">
        <v>715</v>
      </c>
      <c r="E485" s="20" t="s">
        <v>2494</v>
      </c>
      <c r="F485" s="20" t="s">
        <v>2495</v>
      </c>
      <c r="G485" s="21">
        <v>18.8</v>
      </c>
      <c r="H485" s="16">
        <v>26</v>
      </c>
      <c r="I485" s="16"/>
      <c r="J485" s="17">
        <v>488.8</v>
      </c>
      <c r="K485" s="22"/>
      <c r="L485" s="23"/>
      <c r="M485" s="23">
        <v>0</v>
      </c>
      <c r="N485" s="19">
        <v>37.6</v>
      </c>
      <c r="O485" s="19">
        <v>-94</v>
      </c>
      <c r="P485" s="48">
        <v>94</v>
      </c>
      <c r="Q485" s="17">
        <v>0</v>
      </c>
      <c r="R485" s="24">
        <v>488.8</v>
      </c>
      <c r="S485" s="18" t="s">
        <v>28</v>
      </c>
      <c r="T485" s="25">
        <v>4</v>
      </c>
    </row>
    <row r="486" spans="1:20" s="26" customFormat="1" x14ac:dyDescent="0.25">
      <c r="A486" s="16">
        <v>230952</v>
      </c>
      <c r="B486" s="30" t="s">
        <v>1178</v>
      </c>
      <c r="C486" s="20" t="s">
        <v>654</v>
      </c>
      <c r="D486" s="20" t="s">
        <v>715</v>
      </c>
      <c r="E486" s="20" t="s">
        <v>2496</v>
      </c>
      <c r="F486" s="20" t="s">
        <v>2497</v>
      </c>
      <c r="G486" s="21">
        <v>18.8</v>
      </c>
      <c r="H486" s="16">
        <v>26</v>
      </c>
      <c r="I486" s="16">
        <v>5</v>
      </c>
      <c r="J486" s="17">
        <v>394.8</v>
      </c>
      <c r="K486" s="22"/>
      <c r="L486" s="23"/>
      <c r="M486" s="23">
        <v>0</v>
      </c>
      <c r="N486" s="19">
        <v>37.6</v>
      </c>
      <c r="O486" s="19">
        <v>-94</v>
      </c>
      <c r="P486" s="48">
        <v>94</v>
      </c>
      <c r="Q486" s="17">
        <v>0</v>
      </c>
      <c r="R486" s="24">
        <v>394.8</v>
      </c>
      <c r="S486" s="18" t="s">
        <v>28</v>
      </c>
      <c r="T486" s="25">
        <v>4</v>
      </c>
    </row>
    <row r="487" spans="1:20" s="26" customFormat="1" x14ac:dyDescent="0.25">
      <c r="A487" s="16">
        <v>231022</v>
      </c>
      <c r="B487" s="30" t="s">
        <v>209</v>
      </c>
      <c r="C487" s="20" t="s">
        <v>654</v>
      </c>
      <c r="D487" s="20" t="s">
        <v>715</v>
      </c>
      <c r="E487" s="20" t="s">
        <v>2498</v>
      </c>
      <c r="F487" s="20" t="s">
        <v>2499</v>
      </c>
      <c r="G487" s="21">
        <v>18.8</v>
      </c>
      <c r="H487" s="16">
        <v>26</v>
      </c>
      <c r="I487" s="16"/>
      <c r="J487" s="17">
        <v>488.8</v>
      </c>
      <c r="K487" s="22"/>
      <c r="L487" s="23"/>
      <c r="M487" s="23">
        <v>0</v>
      </c>
      <c r="N487" s="19">
        <v>37.6</v>
      </c>
      <c r="O487" s="19">
        <v>-94</v>
      </c>
      <c r="P487" s="48">
        <v>94</v>
      </c>
      <c r="Q487" s="17">
        <v>0</v>
      </c>
      <c r="R487" s="24">
        <v>488.8</v>
      </c>
      <c r="S487" s="18" t="s">
        <v>28</v>
      </c>
      <c r="T487" s="25">
        <v>4</v>
      </c>
    </row>
    <row r="488" spans="1:20" s="26" customFormat="1" x14ac:dyDescent="0.25">
      <c r="A488" s="16">
        <v>231324</v>
      </c>
      <c r="B488" s="30" t="s">
        <v>788</v>
      </c>
      <c r="C488" s="20" t="s">
        <v>654</v>
      </c>
      <c r="D488" s="20" t="s">
        <v>715</v>
      </c>
      <c r="E488" s="20" t="s">
        <v>2500</v>
      </c>
      <c r="F488" s="20" t="s">
        <v>2501</v>
      </c>
      <c r="G488" s="21">
        <v>18.8</v>
      </c>
      <c r="H488" s="16">
        <v>26</v>
      </c>
      <c r="I488" s="16"/>
      <c r="J488" s="17">
        <v>488.8</v>
      </c>
      <c r="K488" s="22"/>
      <c r="L488" s="23"/>
      <c r="M488" s="23">
        <v>0</v>
      </c>
      <c r="N488" s="19">
        <v>37.6</v>
      </c>
      <c r="O488" s="19">
        <v>-94</v>
      </c>
      <c r="P488" s="48">
        <v>94</v>
      </c>
      <c r="Q488" s="17">
        <v>0</v>
      </c>
      <c r="R488" s="24">
        <v>488.8</v>
      </c>
      <c r="S488" s="18" t="s">
        <v>28</v>
      </c>
      <c r="T488" s="25">
        <v>4</v>
      </c>
    </row>
    <row r="489" spans="1:20" s="26" customFormat="1" x14ac:dyDescent="0.25">
      <c r="A489" s="16">
        <v>234544</v>
      </c>
      <c r="B489" s="30" t="s">
        <v>1309</v>
      </c>
      <c r="C489" s="20" t="s">
        <v>654</v>
      </c>
      <c r="D489" s="20" t="s">
        <v>715</v>
      </c>
      <c r="E489" s="20" t="s">
        <v>2502</v>
      </c>
      <c r="F489" s="20" t="s">
        <v>2503</v>
      </c>
      <c r="G489" s="21">
        <v>18.8</v>
      </c>
      <c r="H489" s="16">
        <v>26</v>
      </c>
      <c r="I489" s="16"/>
      <c r="J489" s="17">
        <v>488.8</v>
      </c>
      <c r="K489" s="22"/>
      <c r="L489" s="23"/>
      <c r="M489" s="23">
        <v>0</v>
      </c>
      <c r="N489" s="19">
        <v>37.6</v>
      </c>
      <c r="O489" s="19">
        <v>-94</v>
      </c>
      <c r="P489" s="48">
        <v>94</v>
      </c>
      <c r="Q489" s="17">
        <v>0</v>
      </c>
      <c r="R489" s="24">
        <v>488.8</v>
      </c>
      <c r="S489" s="18" t="s">
        <v>28</v>
      </c>
      <c r="T489" s="25">
        <v>4</v>
      </c>
    </row>
    <row r="490" spans="1:20" s="26" customFormat="1" x14ac:dyDescent="0.25">
      <c r="A490" s="16">
        <v>210565</v>
      </c>
      <c r="B490" s="30" t="s">
        <v>253</v>
      </c>
      <c r="C490" s="20" t="s">
        <v>640</v>
      </c>
      <c r="D490" s="20" t="s">
        <v>701</v>
      </c>
      <c r="E490" s="20" t="s">
        <v>2504</v>
      </c>
      <c r="F490" s="20" t="s">
        <v>2505</v>
      </c>
      <c r="G490" s="21">
        <v>18.8</v>
      </c>
      <c r="H490" s="16">
        <v>26</v>
      </c>
      <c r="I490" s="16"/>
      <c r="J490" s="17">
        <v>488.8</v>
      </c>
      <c r="K490" s="22"/>
      <c r="L490" s="23"/>
      <c r="M490" s="23">
        <v>0</v>
      </c>
      <c r="N490" s="19">
        <v>37.6</v>
      </c>
      <c r="O490" s="19">
        <v>-94</v>
      </c>
      <c r="P490" s="48">
        <v>94</v>
      </c>
      <c r="Q490" s="17">
        <v>0</v>
      </c>
      <c r="R490" s="24">
        <v>488.8</v>
      </c>
      <c r="S490" s="18" t="s">
        <v>28</v>
      </c>
      <c r="T490" s="25">
        <v>4</v>
      </c>
    </row>
    <row r="491" spans="1:20" s="26" customFormat="1" x14ac:dyDescent="0.25">
      <c r="A491" s="16">
        <v>229152</v>
      </c>
      <c r="B491" s="30" t="s">
        <v>387</v>
      </c>
      <c r="C491" s="20" t="s">
        <v>640</v>
      </c>
      <c r="D491" s="20" t="s">
        <v>702</v>
      </c>
      <c r="E491" s="20" t="s">
        <v>2506</v>
      </c>
      <c r="F491" s="20" t="s">
        <v>2507</v>
      </c>
      <c r="G491" s="21">
        <v>18.8</v>
      </c>
      <c r="H491" s="16">
        <v>26</v>
      </c>
      <c r="I491" s="16">
        <v>1</v>
      </c>
      <c r="J491" s="17">
        <v>470</v>
      </c>
      <c r="K491" s="22"/>
      <c r="L491" s="23"/>
      <c r="M491" s="23">
        <v>0</v>
      </c>
      <c r="N491" s="19">
        <v>37.6</v>
      </c>
      <c r="O491" s="19">
        <v>-94</v>
      </c>
      <c r="P491" s="48">
        <v>94</v>
      </c>
      <c r="Q491" s="17">
        <v>0</v>
      </c>
      <c r="R491" s="24">
        <v>470</v>
      </c>
      <c r="S491" s="18" t="s">
        <v>28</v>
      </c>
      <c r="T491" s="25">
        <v>4</v>
      </c>
    </row>
    <row r="492" spans="1:20" s="26" customFormat="1" x14ac:dyDescent="0.25">
      <c r="A492" s="16">
        <v>231790</v>
      </c>
      <c r="B492" s="30" t="s">
        <v>822</v>
      </c>
      <c r="C492" s="20" t="s">
        <v>640</v>
      </c>
      <c r="D492" s="20" t="s">
        <v>702</v>
      </c>
      <c r="E492" s="20" t="s">
        <v>2508</v>
      </c>
      <c r="F492" s="20" t="s">
        <v>2509</v>
      </c>
      <c r="G492" s="21">
        <v>13.4</v>
      </c>
      <c r="H492" s="16">
        <v>26</v>
      </c>
      <c r="I492" s="16"/>
      <c r="J492" s="17">
        <v>348.40000000000003</v>
      </c>
      <c r="K492" s="22"/>
      <c r="L492" s="23"/>
      <c r="M492" s="23">
        <v>0</v>
      </c>
      <c r="N492" s="19">
        <v>26.8</v>
      </c>
      <c r="O492" s="19">
        <v>-67</v>
      </c>
      <c r="P492" s="48">
        <v>67</v>
      </c>
      <c r="Q492" s="17">
        <v>0</v>
      </c>
      <c r="R492" s="24">
        <v>348.40000000000003</v>
      </c>
      <c r="S492" s="18" t="s">
        <v>28</v>
      </c>
      <c r="T492" s="25">
        <v>4</v>
      </c>
    </row>
    <row r="493" spans="1:20" s="26" customFormat="1" x14ac:dyDescent="0.25">
      <c r="A493" s="16">
        <v>232107</v>
      </c>
      <c r="B493" s="30" t="s">
        <v>823</v>
      </c>
      <c r="C493" s="20" t="s">
        <v>640</v>
      </c>
      <c r="D493" s="20" t="s">
        <v>701</v>
      </c>
      <c r="E493" s="20">
        <v>0</v>
      </c>
      <c r="F493" s="20" t="s">
        <v>4183</v>
      </c>
      <c r="G493" s="21">
        <v>13.4</v>
      </c>
      <c r="H493" s="16">
        <v>0</v>
      </c>
      <c r="I493" s="16"/>
      <c r="J493" s="17">
        <v>0</v>
      </c>
      <c r="K493" s="22"/>
      <c r="L493" s="23"/>
      <c r="M493" s="23">
        <v>0</v>
      </c>
      <c r="N493" s="19">
        <v>26.8</v>
      </c>
      <c r="O493" s="19">
        <v>-67</v>
      </c>
      <c r="P493" s="48">
        <v>67</v>
      </c>
      <c r="Q493" s="17">
        <v>0</v>
      </c>
      <c r="R493" s="24">
        <v>0</v>
      </c>
      <c r="S493" s="18" t="s">
        <v>12</v>
      </c>
      <c r="T493" s="25">
        <v>4</v>
      </c>
    </row>
    <row r="494" spans="1:20" s="26" customFormat="1" x14ac:dyDescent="0.25">
      <c r="A494" s="16">
        <v>234451</v>
      </c>
      <c r="B494" s="30" t="s">
        <v>1284</v>
      </c>
      <c r="C494" s="20" t="s">
        <v>640</v>
      </c>
      <c r="D494" s="20" t="s">
        <v>701</v>
      </c>
      <c r="E494" s="20" t="s">
        <v>2510</v>
      </c>
      <c r="F494" s="20" t="s">
        <v>2511</v>
      </c>
      <c r="G494" s="21">
        <v>13.4</v>
      </c>
      <c r="H494" s="16">
        <v>26</v>
      </c>
      <c r="I494" s="16">
        <v>1</v>
      </c>
      <c r="J494" s="17">
        <v>335</v>
      </c>
      <c r="K494" s="22"/>
      <c r="L494" s="23"/>
      <c r="M494" s="23">
        <v>0</v>
      </c>
      <c r="N494" s="19">
        <v>26.8</v>
      </c>
      <c r="O494" s="19">
        <v>-67</v>
      </c>
      <c r="P494" s="48">
        <v>67</v>
      </c>
      <c r="Q494" s="17">
        <v>0</v>
      </c>
      <c r="R494" s="24">
        <v>335</v>
      </c>
      <c r="S494" s="18" t="s">
        <v>28</v>
      </c>
      <c r="T494" s="25">
        <v>4</v>
      </c>
    </row>
    <row r="495" spans="1:20" s="26" customFormat="1" x14ac:dyDescent="0.25">
      <c r="A495" s="16">
        <v>234761</v>
      </c>
      <c r="B495" s="30" t="s">
        <v>1353</v>
      </c>
      <c r="C495" s="20" t="s">
        <v>640</v>
      </c>
      <c r="D495" s="20" t="s">
        <v>701</v>
      </c>
      <c r="E495" s="20" t="s">
        <v>2512</v>
      </c>
      <c r="F495" s="20" t="s">
        <v>2513</v>
      </c>
      <c r="G495" s="21">
        <v>13.4</v>
      </c>
      <c r="H495" s="16">
        <v>26</v>
      </c>
      <c r="I495" s="16"/>
      <c r="J495" s="17">
        <v>348.40000000000003</v>
      </c>
      <c r="K495" s="22"/>
      <c r="L495" s="23"/>
      <c r="M495" s="23">
        <v>0</v>
      </c>
      <c r="N495" s="19">
        <v>26.8</v>
      </c>
      <c r="O495" s="19">
        <v>-67</v>
      </c>
      <c r="P495" s="48">
        <v>67</v>
      </c>
      <c r="Q495" s="17">
        <v>0</v>
      </c>
      <c r="R495" s="24">
        <v>348.40000000000003</v>
      </c>
      <c r="S495" s="18" t="s">
        <v>28</v>
      </c>
      <c r="T495" s="25">
        <v>4</v>
      </c>
    </row>
    <row r="496" spans="1:20" s="26" customFormat="1" x14ac:dyDescent="0.25">
      <c r="A496" s="16">
        <v>215936</v>
      </c>
      <c r="B496" s="30" t="s">
        <v>255</v>
      </c>
      <c r="C496" s="20" t="s">
        <v>655</v>
      </c>
      <c r="D496" s="20" t="s">
        <v>741</v>
      </c>
      <c r="E496" s="20" t="s">
        <v>2514</v>
      </c>
      <c r="F496" s="20" t="s">
        <v>2515</v>
      </c>
      <c r="G496" s="21">
        <v>18.8</v>
      </c>
      <c r="H496" s="16">
        <v>26</v>
      </c>
      <c r="I496" s="16"/>
      <c r="J496" s="17">
        <v>488.8</v>
      </c>
      <c r="K496" s="22"/>
      <c r="L496" s="23"/>
      <c r="M496" s="23">
        <v>0</v>
      </c>
      <c r="N496" s="19">
        <v>37.6</v>
      </c>
      <c r="O496" s="19">
        <v>-94</v>
      </c>
      <c r="P496" s="48">
        <v>94</v>
      </c>
      <c r="Q496" s="17">
        <v>0</v>
      </c>
      <c r="R496" s="24">
        <v>488.8</v>
      </c>
      <c r="S496" s="18" t="s">
        <v>28</v>
      </c>
      <c r="T496" s="25">
        <v>4</v>
      </c>
    </row>
    <row r="497" spans="1:20" s="26" customFormat="1" x14ac:dyDescent="0.25">
      <c r="A497" s="16">
        <v>219213</v>
      </c>
      <c r="B497" s="30" t="s">
        <v>256</v>
      </c>
      <c r="C497" s="20" t="s">
        <v>655</v>
      </c>
      <c r="D497" s="20" t="s">
        <v>733</v>
      </c>
      <c r="E497" s="20" t="s">
        <v>2516</v>
      </c>
      <c r="F497" s="20" t="s">
        <v>2517</v>
      </c>
      <c r="G497" s="21">
        <v>18.8</v>
      </c>
      <c r="H497" s="16">
        <v>26</v>
      </c>
      <c r="I497" s="16"/>
      <c r="J497" s="17">
        <v>488.8</v>
      </c>
      <c r="K497" s="22"/>
      <c r="L497" s="23"/>
      <c r="M497" s="23">
        <v>0</v>
      </c>
      <c r="N497" s="19">
        <v>37.6</v>
      </c>
      <c r="O497" s="19">
        <v>-94</v>
      </c>
      <c r="P497" s="48">
        <v>94</v>
      </c>
      <c r="Q497" s="17">
        <v>0</v>
      </c>
      <c r="R497" s="24">
        <v>488.8</v>
      </c>
      <c r="S497" s="18" t="s">
        <v>28</v>
      </c>
      <c r="T497" s="25">
        <v>4</v>
      </c>
    </row>
    <row r="498" spans="1:20" s="26" customFormat="1" x14ac:dyDescent="0.25">
      <c r="A498" s="16">
        <v>224225</v>
      </c>
      <c r="B498" s="30" t="s">
        <v>493</v>
      </c>
      <c r="C498" s="20" t="s">
        <v>655</v>
      </c>
      <c r="D498" s="20" t="s">
        <v>732</v>
      </c>
      <c r="E498" s="20" t="s">
        <v>2518</v>
      </c>
      <c r="F498" s="20" t="s">
        <v>2519</v>
      </c>
      <c r="G498" s="21">
        <v>14.2</v>
      </c>
      <c r="H498" s="16">
        <v>26</v>
      </c>
      <c r="I498" s="16"/>
      <c r="J498" s="17">
        <v>369.2</v>
      </c>
      <c r="K498" s="22"/>
      <c r="L498" s="23">
        <v>12.7</v>
      </c>
      <c r="M498" s="23">
        <v>12.7</v>
      </c>
      <c r="N498" s="19">
        <v>28.4</v>
      </c>
      <c r="O498" s="19">
        <v>-58.3</v>
      </c>
      <c r="P498" s="48">
        <v>71</v>
      </c>
      <c r="Q498" s="17">
        <v>0</v>
      </c>
      <c r="R498" s="24">
        <v>369.2</v>
      </c>
      <c r="S498" s="18" t="s">
        <v>28</v>
      </c>
      <c r="T498" s="25">
        <v>4</v>
      </c>
    </row>
    <row r="499" spans="1:20" s="26" customFormat="1" x14ac:dyDescent="0.25">
      <c r="A499" s="16">
        <v>224381</v>
      </c>
      <c r="B499" s="30" t="s">
        <v>257</v>
      </c>
      <c r="C499" s="20" t="s">
        <v>655</v>
      </c>
      <c r="D499" s="20" t="s">
        <v>734</v>
      </c>
      <c r="E499" s="20" t="s">
        <v>2520</v>
      </c>
      <c r="F499" s="20" t="s">
        <v>2521</v>
      </c>
      <c r="G499" s="21">
        <v>13.4</v>
      </c>
      <c r="H499" s="16">
        <v>26</v>
      </c>
      <c r="I499" s="16"/>
      <c r="J499" s="17">
        <v>348.40000000000003</v>
      </c>
      <c r="K499" s="22"/>
      <c r="L499" s="23"/>
      <c r="M499" s="23">
        <v>0</v>
      </c>
      <c r="N499" s="19">
        <v>26.8</v>
      </c>
      <c r="O499" s="19">
        <v>-67</v>
      </c>
      <c r="P499" s="48">
        <v>67</v>
      </c>
      <c r="Q499" s="17">
        <v>0</v>
      </c>
      <c r="R499" s="24">
        <v>348.40000000000003</v>
      </c>
      <c r="S499" s="18" t="s">
        <v>28</v>
      </c>
      <c r="T499" s="25">
        <v>4</v>
      </c>
    </row>
    <row r="500" spans="1:20" s="26" customFormat="1" x14ac:dyDescent="0.25">
      <c r="A500" s="16">
        <v>224672</v>
      </c>
      <c r="B500" s="30" t="s">
        <v>258</v>
      </c>
      <c r="C500" s="20" t="s">
        <v>655</v>
      </c>
      <c r="D500" s="20" t="s">
        <v>734</v>
      </c>
      <c r="E500" s="20" t="s">
        <v>2522</v>
      </c>
      <c r="F500" s="20" t="s">
        <v>2523</v>
      </c>
      <c r="G500" s="21">
        <v>13.4</v>
      </c>
      <c r="H500" s="16">
        <v>26</v>
      </c>
      <c r="I500" s="16">
        <v>1</v>
      </c>
      <c r="J500" s="17">
        <v>335</v>
      </c>
      <c r="K500" s="22"/>
      <c r="L500" s="23"/>
      <c r="M500" s="23">
        <v>0</v>
      </c>
      <c r="N500" s="19">
        <v>26.8</v>
      </c>
      <c r="O500" s="19">
        <v>-67</v>
      </c>
      <c r="P500" s="48">
        <v>67</v>
      </c>
      <c r="Q500" s="17">
        <v>0</v>
      </c>
      <c r="R500" s="24">
        <v>335</v>
      </c>
      <c r="S500" s="18" t="s">
        <v>28</v>
      </c>
      <c r="T500" s="25">
        <v>4</v>
      </c>
    </row>
    <row r="501" spans="1:20" s="26" customFormat="1" x14ac:dyDescent="0.25">
      <c r="A501" s="16">
        <v>226720</v>
      </c>
      <c r="B501" s="30" t="s">
        <v>1063</v>
      </c>
      <c r="C501" s="20" t="s">
        <v>655</v>
      </c>
      <c r="D501" s="20" t="s">
        <v>713</v>
      </c>
      <c r="E501" s="20" t="s">
        <v>2524</v>
      </c>
      <c r="F501" s="20" t="s">
        <v>2525</v>
      </c>
      <c r="G501" s="21">
        <v>13.4</v>
      </c>
      <c r="H501" s="16">
        <v>26</v>
      </c>
      <c r="I501" s="16"/>
      <c r="J501" s="17">
        <v>348.40000000000003</v>
      </c>
      <c r="K501" s="22"/>
      <c r="L501" s="23"/>
      <c r="M501" s="23">
        <v>0</v>
      </c>
      <c r="N501" s="19">
        <v>26.8</v>
      </c>
      <c r="O501" s="19">
        <v>-67</v>
      </c>
      <c r="P501" s="48">
        <v>67</v>
      </c>
      <c r="Q501" s="17">
        <v>0</v>
      </c>
      <c r="R501" s="24">
        <v>348.40000000000003</v>
      </c>
      <c r="S501" s="18" t="s">
        <v>28</v>
      </c>
      <c r="T501" s="25">
        <v>4</v>
      </c>
    </row>
    <row r="502" spans="1:20" s="26" customFormat="1" x14ac:dyDescent="0.25">
      <c r="A502" s="16">
        <v>228922</v>
      </c>
      <c r="B502" s="30" t="s">
        <v>259</v>
      </c>
      <c r="C502" s="20" t="s">
        <v>655</v>
      </c>
      <c r="D502" s="20" t="s">
        <v>713</v>
      </c>
      <c r="E502" s="20" t="s">
        <v>2526</v>
      </c>
      <c r="F502" s="20" t="s">
        <v>2527</v>
      </c>
      <c r="G502" s="21">
        <v>13.4</v>
      </c>
      <c r="H502" s="16">
        <v>26</v>
      </c>
      <c r="I502" s="16"/>
      <c r="J502" s="17">
        <v>348.40000000000003</v>
      </c>
      <c r="K502" s="22"/>
      <c r="L502" s="23"/>
      <c r="M502" s="23">
        <v>0</v>
      </c>
      <c r="N502" s="19">
        <v>26.8</v>
      </c>
      <c r="O502" s="19">
        <v>-67</v>
      </c>
      <c r="P502" s="48">
        <v>67</v>
      </c>
      <c r="Q502" s="17">
        <v>0</v>
      </c>
      <c r="R502" s="24">
        <v>348.40000000000003</v>
      </c>
      <c r="S502" s="18" t="s">
        <v>28</v>
      </c>
      <c r="T502" s="25">
        <v>4</v>
      </c>
    </row>
    <row r="503" spans="1:20" s="26" customFormat="1" x14ac:dyDescent="0.25">
      <c r="A503" s="16">
        <v>234055</v>
      </c>
      <c r="B503" s="30" t="s">
        <v>1179</v>
      </c>
      <c r="C503" s="20" t="s">
        <v>655</v>
      </c>
      <c r="D503" s="20" t="s">
        <v>734</v>
      </c>
      <c r="E503" s="20" t="s">
        <v>2528</v>
      </c>
      <c r="F503" s="20" t="s">
        <v>2529</v>
      </c>
      <c r="G503" s="21">
        <v>13.4</v>
      </c>
      <c r="H503" s="16">
        <v>26</v>
      </c>
      <c r="I503" s="16"/>
      <c r="J503" s="17">
        <v>348.40000000000003</v>
      </c>
      <c r="K503" s="22"/>
      <c r="L503" s="23"/>
      <c r="M503" s="23">
        <v>0</v>
      </c>
      <c r="N503" s="19">
        <v>26.8</v>
      </c>
      <c r="O503" s="19">
        <v>-67</v>
      </c>
      <c r="P503" s="48">
        <v>67</v>
      </c>
      <c r="Q503" s="17">
        <v>0</v>
      </c>
      <c r="R503" s="24">
        <v>348.40000000000003</v>
      </c>
      <c r="S503" s="18" t="s">
        <v>28</v>
      </c>
      <c r="T503" s="25">
        <v>4</v>
      </c>
    </row>
    <row r="504" spans="1:20" s="26" customFormat="1" x14ac:dyDescent="0.25">
      <c r="A504" s="16">
        <v>234101</v>
      </c>
      <c r="B504" s="30" t="s">
        <v>1180</v>
      </c>
      <c r="C504" s="20" t="s">
        <v>655</v>
      </c>
      <c r="D504" s="20" t="s">
        <v>713</v>
      </c>
      <c r="E504" s="20" t="s">
        <v>2530</v>
      </c>
      <c r="F504" s="20" t="s">
        <v>2531</v>
      </c>
      <c r="G504" s="21">
        <v>13.4</v>
      </c>
      <c r="H504" s="16">
        <v>26</v>
      </c>
      <c r="I504" s="16"/>
      <c r="J504" s="17">
        <v>348.40000000000003</v>
      </c>
      <c r="K504" s="22"/>
      <c r="L504" s="23"/>
      <c r="M504" s="23">
        <v>0</v>
      </c>
      <c r="N504" s="19">
        <v>26.8</v>
      </c>
      <c r="O504" s="19">
        <v>-67</v>
      </c>
      <c r="P504" s="48">
        <v>67</v>
      </c>
      <c r="Q504" s="17">
        <v>0</v>
      </c>
      <c r="R504" s="24">
        <v>348.40000000000003</v>
      </c>
      <c r="S504" s="18" t="s">
        <v>28</v>
      </c>
      <c r="T504" s="25">
        <v>4</v>
      </c>
    </row>
    <row r="505" spans="1:20" s="26" customFormat="1" x14ac:dyDescent="0.25">
      <c r="A505" s="16">
        <v>3228</v>
      </c>
      <c r="B505" s="30" t="s">
        <v>260</v>
      </c>
      <c r="C505" s="20" t="s">
        <v>641</v>
      </c>
      <c r="D505" s="20" t="s">
        <v>704</v>
      </c>
      <c r="E505" s="20" t="s">
        <v>2532</v>
      </c>
      <c r="F505" s="20" t="s">
        <v>2533</v>
      </c>
      <c r="G505" s="21">
        <v>18.8</v>
      </c>
      <c r="H505" s="16">
        <v>26</v>
      </c>
      <c r="I505" s="16">
        <v>1</v>
      </c>
      <c r="J505" s="17">
        <v>470</v>
      </c>
      <c r="K505" s="22"/>
      <c r="L505" s="23"/>
      <c r="M505" s="23">
        <v>0</v>
      </c>
      <c r="N505" s="19">
        <v>37.6</v>
      </c>
      <c r="O505" s="19">
        <v>-94</v>
      </c>
      <c r="P505" s="48">
        <v>94</v>
      </c>
      <c r="Q505" s="17">
        <v>0</v>
      </c>
      <c r="R505" s="24">
        <v>470</v>
      </c>
      <c r="S505" s="18" t="s">
        <v>28</v>
      </c>
      <c r="T505" s="25">
        <v>4</v>
      </c>
    </row>
    <row r="506" spans="1:20" s="26" customFormat="1" x14ac:dyDescent="0.25">
      <c r="A506" s="16">
        <v>216670</v>
      </c>
      <c r="B506" s="30" t="s">
        <v>904</v>
      </c>
      <c r="C506" s="20" t="s">
        <v>641</v>
      </c>
      <c r="D506" s="20" t="s">
        <v>705</v>
      </c>
      <c r="E506" s="20" t="s">
        <v>2534</v>
      </c>
      <c r="F506" s="20" t="s">
        <v>2535</v>
      </c>
      <c r="G506" s="21">
        <v>13.4</v>
      </c>
      <c r="H506" s="16">
        <v>26</v>
      </c>
      <c r="I506" s="16"/>
      <c r="J506" s="17">
        <v>348.40000000000003</v>
      </c>
      <c r="K506" s="22"/>
      <c r="L506" s="23"/>
      <c r="M506" s="23">
        <v>0</v>
      </c>
      <c r="N506" s="19">
        <v>26.8</v>
      </c>
      <c r="O506" s="19">
        <v>-67</v>
      </c>
      <c r="P506" s="48">
        <v>67</v>
      </c>
      <c r="Q506" s="17">
        <v>0</v>
      </c>
      <c r="R506" s="24">
        <v>348.40000000000003</v>
      </c>
      <c r="S506" s="18" t="s">
        <v>28</v>
      </c>
      <c r="T506" s="25">
        <v>4</v>
      </c>
    </row>
    <row r="507" spans="1:20" s="26" customFormat="1" x14ac:dyDescent="0.25">
      <c r="A507" s="16">
        <v>220468</v>
      </c>
      <c r="B507" s="30" t="s">
        <v>262</v>
      </c>
      <c r="C507" s="20" t="s">
        <v>641</v>
      </c>
      <c r="D507" s="20" t="s">
        <v>704</v>
      </c>
      <c r="E507" s="20" t="s">
        <v>2536</v>
      </c>
      <c r="F507" s="20" t="s">
        <v>2537</v>
      </c>
      <c r="G507" s="21">
        <v>18.8</v>
      </c>
      <c r="H507" s="16">
        <v>26</v>
      </c>
      <c r="I507" s="16"/>
      <c r="J507" s="17">
        <v>488.8</v>
      </c>
      <c r="K507" s="22"/>
      <c r="L507" s="23"/>
      <c r="M507" s="23">
        <v>0</v>
      </c>
      <c r="N507" s="19">
        <v>37.6</v>
      </c>
      <c r="O507" s="19">
        <v>-94</v>
      </c>
      <c r="P507" s="48">
        <v>94</v>
      </c>
      <c r="Q507" s="17">
        <v>0</v>
      </c>
      <c r="R507" s="24">
        <v>488.8</v>
      </c>
      <c r="S507" s="18" t="s">
        <v>28</v>
      </c>
      <c r="T507" s="25">
        <v>4</v>
      </c>
    </row>
    <row r="508" spans="1:20" s="26" customFormat="1" x14ac:dyDescent="0.25">
      <c r="A508" s="16">
        <v>222238</v>
      </c>
      <c r="B508" s="30" t="s">
        <v>263</v>
      </c>
      <c r="C508" s="20" t="s">
        <v>641</v>
      </c>
      <c r="D508" s="20" t="s">
        <v>704</v>
      </c>
      <c r="E508" s="20" t="s">
        <v>2538</v>
      </c>
      <c r="F508" s="20" t="s">
        <v>2539</v>
      </c>
      <c r="G508" s="21">
        <v>18.8</v>
      </c>
      <c r="H508" s="16">
        <v>26</v>
      </c>
      <c r="I508" s="16">
        <v>1</v>
      </c>
      <c r="J508" s="17">
        <v>470</v>
      </c>
      <c r="K508" s="22"/>
      <c r="L508" s="23">
        <v>18.8</v>
      </c>
      <c r="M508" s="23">
        <v>18.8</v>
      </c>
      <c r="N508" s="19">
        <v>37.6</v>
      </c>
      <c r="O508" s="19">
        <v>-75.2</v>
      </c>
      <c r="P508" s="48">
        <v>94</v>
      </c>
      <c r="Q508" s="17">
        <v>0</v>
      </c>
      <c r="R508" s="24">
        <v>470</v>
      </c>
      <c r="S508" s="18" t="s">
        <v>28</v>
      </c>
      <c r="T508" s="25">
        <v>4</v>
      </c>
    </row>
    <row r="509" spans="1:20" s="26" customFormat="1" x14ac:dyDescent="0.25">
      <c r="A509" s="16">
        <v>224702</v>
      </c>
      <c r="B509" s="30" t="s">
        <v>499</v>
      </c>
      <c r="C509" s="20" t="s">
        <v>641</v>
      </c>
      <c r="D509" s="20" t="s">
        <v>704</v>
      </c>
      <c r="E509" s="20" t="s">
        <v>2540</v>
      </c>
      <c r="F509" s="20" t="s">
        <v>2541</v>
      </c>
      <c r="G509" s="21">
        <v>18.8</v>
      </c>
      <c r="H509" s="16">
        <v>26</v>
      </c>
      <c r="I509" s="16"/>
      <c r="J509" s="17">
        <v>488.8</v>
      </c>
      <c r="K509" s="22"/>
      <c r="L509" s="23"/>
      <c r="M509" s="23">
        <v>0</v>
      </c>
      <c r="N509" s="19">
        <v>37.6</v>
      </c>
      <c r="O509" s="19">
        <v>-94</v>
      </c>
      <c r="P509" s="48">
        <v>94</v>
      </c>
      <c r="Q509" s="17">
        <v>0</v>
      </c>
      <c r="R509" s="24">
        <v>488.8</v>
      </c>
      <c r="S509" s="18" t="s">
        <v>28</v>
      </c>
      <c r="T509" s="25">
        <v>4</v>
      </c>
    </row>
    <row r="510" spans="1:20" s="26" customFormat="1" x14ac:dyDescent="0.25">
      <c r="A510" s="16">
        <v>230626</v>
      </c>
      <c r="B510" s="30" t="s">
        <v>1181</v>
      </c>
      <c r="C510" s="20" t="s">
        <v>641</v>
      </c>
      <c r="D510" s="20" t="s">
        <v>704</v>
      </c>
      <c r="E510" s="20" t="s">
        <v>2542</v>
      </c>
      <c r="F510" s="20" t="s">
        <v>2543</v>
      </c>
      <c r="G510" s="21">
        <v>13.4</v>
      </c>
      <c r="H510" s="16">
        <v>26</v>
      </c>
      <c r="I510" s="16">
        <v>3</v>
      </c>
      <c r="J510" s="17">
        <v>308.2</v>
      </c>
      <c r="K510" s="22"/>
      <c r="L510" s="23"/>
      <c r="M510" s="23">
        <v>0</v>
      </c>
      <c r="N510" s="19">
        <v>26.8</v>
      </c>
      <c r="O510" s="19">
        <v>-67</v>
      </c>
      <c r="P510" s="48">
        <v>67</v>
      </c>
      <c r="Q510" s="17">
        <v>0</v>
      </c>
      <c r="R510" s="24">
        <v>308.2</v>
      </c>
      <c r="S510" s="18" t="s">
        <v>28</v>
      </c>
      <c r="T510" s="25">
        <v>4</v>
      </c>
    </row>
    <row r="511" spans="1:20" s="26" customFormat="1" x14ac:dyDescent="0.25">
      <c r="A511" s="16">
        <v>230858</v>
      </c>
      <c r="B511" s="30" t="s">
        <v>611</v>
      </c>
      <c r="C511" s="20" t="s">
        <v>641</v>
      </c>
      <c r="D511" s="20" t="s">
        <v>705</v>
      </c>
      <c r="E511" s="20" t="s">
        <v>2544</v>
      </c>
      <c r="F511" s="20" t="s">
        <v>2545</v>
      </c>
      <c r="G511" s="21">
        <v>18.8</v>
      </c>
      <c r="H511" s="16">
        <v>17</v>
      </c>
      <c r="I511" s="16"/>
      <c r="J511" s="17">
        <v>319.60000000000002</v>
      </c>
      <c r="K511" s="22"/>
      <c r="L511" s="23"/>
      <c r="M511" s="23">
        <v>0</v>
      </c>
      <c r="N511" s="19">
        <v>37.6</v>
      </c>
      <c r="O511" s="19">
        <v>-94</v>
      </c>
      <c r="P511" s="48">
        <v>94</v>
      </c>
      <c r="Q511" s="17">
        <v>0</v>
      </c>
      <c r="R511" s="24">
        <v>319.60000000000002</v>
      </c>
      <c r="S511" s="18" t="s">
        <v>28</v>
      </c>
      <c r="T511" s="25">
        <v>4</v>
      </c>
    </row>
    <row r="512" spans="1:20" s="26" customFormat="1" x14ac:dyDescent="0.25">
      <c r="A512" s="16">
        <v>232711</v>
      </c>
      <c r="B512" s="30" t="s">
        <v>984</v>
      </c>
      <c r="C512" s="20" t="s">
        <v>641</v>
      </c>
      <c r="D512" s="20" t="s">
        <v>704</v>
      </c>
      <c r="E512" s="20" t="s">
        <v>2546</v>
      </c>
      <c r="F512" s="20" t="s">
        <v>2547</v>
      </c>
      <c r="G512" s="21">
        <v>18.8</v>
      </c>
      <c r="H512" s="16">
        <v>26</v>
      </c>
      <c r="I512" s="16"/>
      <c r="J512" s="17">
        <v>488.8</v>
      </c>
      <c r="K512" s="22"/>
      <c r="L512" s="23"/>
      <c r="M512" s="23">
        <v>0</v>
      </c>
      <c r="N512" s="19">
        <v>37.6</v>
      </c>
      <c r="O512" s="19">
        <v>-94</v>
      </c>
      <c r="P512" s="48">
        <v>94</v>
      </c>
      <c r="Q512" s="17">
        <v>0</v>
      </c>
      <c r="R512" s="24">
        <v>488.8</v>
      </c>
      <c r="S512" s="18" t="s">
        <v>28</v>
      </c>
      <c r="T512" s="25">
        <v>4</v>
      </c>
    </row>
    <row r="513" spans="1:20" s="26" customFormat="1" x14ac:dyDescent="0.25">
      <c r="A513" s="64">
        <v>231237</v>
      </c>
      <c r="B513" s="30" t="s">
        <v>789</v>
      </c>
      <c r="C513" s="20" t="s">
        <v>641</v>
      </c>
      <c r="D513" s="20" t="s">
        <v>704</v>
      </c>
      <c r="E513" s="20" t="s">
        <v>2047</v>
      </c>
      <c r="F513" s="20" t="s">
        <v>2048</v>
      </c>
      <c r="G513" s="21">
        <v>13.4</v>
      </c>
      <c r="H513" s="16">
        <v>11</v>
      </c>
      <c r="I513" s="16"/>
      <c r="J513" s="17">
        <v>147.4</v>
      </c>
      <c r="K513" s="22"/>
      <c r="L513" s="23"/>
      <c r="M513" s="23">
        <v>0</v>
      </c>
      <c r="N513" s="19">
        <v>26.8</v>
      </c>
      <c r="O513" s="19">
        <v>-67</v>
      </c>
      <c r="P513" s="48">
        <v>67</v>
      </c>
      <c r="Q513" s="17">
        <v>0</v>
      </c>
      <c r="R513" s="24">
        <v>147.4</v>
      </c>
      <c r="S513" s="18" t="s">
        <v>28</v>
      </c>
      <c r="T513" s="25">
        <v>4</v>
      </c>
    </row>
    <row r="514" spans="1:20" s="26" customFormat="1" x14ac:dyDescent="0.25">
      <c r="A514" s="16">
        <v>207371</v>
      </c>
      <c r="B514" s="30" t="s">
        <v>1526</v>
      </c>
      <c r="C514" s="20" t="s">
        <v>635</v>
      </c>
      <c r="D514" s="20" t="s">
        <v>698</v>
      </c>
      <c r="E514" s="20" t="s">
        <v>3974</v>
      </c>
      <c r="F514" s="20" t="s">
        <v>3975</v>
      </c>
      <c r="G514" s="21">
        <v>18.8</v>
      </c>
      <c r="H514" s="16">
        <v>26</v>
      </c>
      <c r="I514" s="16">
        <v>1</v>
      </c>
      <c r="J514" s="17">
        <v>470</v>
      </c>
      <c r="K514" s="22"/>
      <c r="L514" s="23"/>
      <c r="M514" s="23">
        <v>0</v>
      </c>
      <c r="N514" s="19">
        <v>37.6</v>
      </c>
      <c r="O514" s="19">
        <v>-94</v>
      </c>
      <c r="P514" s="48">
        <v>94</v>
      </c>
      <c r="Q514" s="17">
        <v>0</v>
      </c>
      <c r="R514" s="24">
        <v>470</v>
      </c>
      <c r="S514" s="18" t="s">
        <v>28</v>
      </c>
      <c r="T514" s="25">
        <v>4</v>
      </c>
    </row>
    <row r="515" spans="1:20" s="26" customFormat="1" x14ac:dyDescent="0.25">
      <c r="A515" s="16">
        <v>217073</v>
      </c>
      <c r="B515" s="30" t="s">
        <v>264</v>
      </c>
      <c r="C515" s="20" t="s">
        <v>647</v>
      </c>
      <c r="D515" s="20" t="s">
        <v>720</v>
      </c>
      <c r="E515" s="20" t="s">
        <v>2550</v>
      </c>
      <c r="F515" s="20" t="s">
        <v>2551</v>
      </c>
      <c r="G515" s="21">
        <v>18.8</v>
      </c>
      <c r="H515" s="16">
        <v>26</v>
      </c>
      <c r="I515" s="16"/>
      <c r="J515" s="17">
        <v>488.8</v>
      </c>
      <c r="K515" s="22"/>
      <c r="L515" s="23"/>
      <c r="M515" s="23">
        <v>0</v>
      </c>
      <c r="N515" s="19">
        <v>37.6</v>
      </c>
      <c r="O515" s="19">
        <v>-94</v>
      </c>
      <c r="P515" s="48">
        <v>94</v>
      </c>
      <c r="Q515" s="17">
        <v>0</v>
      </c>
      <c r="R515" s="24">
        <v>488.8</v>
      </c>
      <c r="S515" s="18" t="s">
        <v>28</v>
      </c>
      <c r="T515" s="25">
        <v>5</v>
      </c>
    </row>
    <row r="516" spans="1:20" s="26" customFormat="1" x14ac:dyDescent="0.25">
      <c r="A516" s="16">
        <v>219565</v>
      </c>
      <c r="B516" s="30" t="s">
        <v>1448</v>
      </c>
      <c r="C516" s="20" t="s">
        <v>647</v>
      </c>
      <c r="D516" s="20" t="s">
        <v>724</v>
      </c>
      <c r="E516" s="20" t="s">
        <v>2552</v>
      </c>
      <c r="F516" s="20" t="s">
        <v>2553</v>
      </c>
      <c r="G516" s="21">
        <v>13.4</v>
      </c>
      <c r="H516" s="16">
        <v>26</v>
      </c>
      <c r="I516" s="16"/>
      <c r="J516" s="17">
        <v>348.40000000000003</v>
      </c>
      <c r="K516" s="22"/>
      <c r="L516" s="23"/>
      <c r="M516" s="23">
        <v>0</v>
      </c>
      <c r="N516" s="19">
        <v>26.8</v>
      </c>
      <c r="O516" s="19">
        <v>-67</v>
      </c>
      <c r="P516" s="48">
        <v>67</v>
      </c>
      <c r="Q516" s="17">
        <v>0</v>
      </c>
      <c r="R516" s="24">
        <v>348.40000000000003</v>
      </c>
      <c r="S516" s="18" t="s">
        <v>28</v>
      </c>
      <c r="T516" s="25">
        <v>5</v>
      </c>
    </row>
    <row r="517" spans="1:20" s="26" customFormat="1" x14ac:dyDescent="0.25">
      <c r="A517" s="16">
        <v>224400</v>
      </c>
      <c r="B517" s="30" t="s">
        <v>265</v>
      </c>
      <c r="C517" s="20" t="s">
        <v>647</v>
      </c>
      <c r="D517" s="20" t="s">
        <v>720</v>
      </c>
      <c r="E517" s="20" t="s">
        <v>2554</v>
      </c>
      <c r="F517" s="20" t="s">
        <v>2555</v>
      </c>
      <c r="G517" s="21">
        <v>18.8</v>
      </c>
      <c r="H517" s="16">
        <v>26</v>
      </c>
      <c r="I517" s="16"/>
      <c r="J517" s="17">
        <v>488.8</v>
      </c>
      <c r="K517" s="22"/>
      <c r="L517" s="23">
        <v>271.10000000000002</v>
      </c>
      <c r="M517" s="23">
        <v>271.10000000000002</v>
      </c>
      <c r="N517" s="19">
        <v>37.6</v>
      </c>
      <c r="O517" s="19">
        <v>177.10000000000002</v>
      </c>
      <c r="P517" s="48">
        <v>94</v>
      </c>
      <c r="Q517" s="17">
        <v>177.10000000000002</v>
      </c>
      <c r="R517" s="24">
        <v>311.7</v>
      </c>
      <c r="S517" s="18" t="s">
        <v>11</v>
      </c>
      <c r="T517" s="25">
        <v>5</v>
      </c>
    </row>
    <row r="518" spans="1:20" s="26" customFormat="1" x14ac:dyDescent="0.25">
      <c r="A518" s="16">
        <v>228620</v>
      </c>
      <c r="B518" s="30" t="s">
        <v>1064</v>
      </c>
      <c r="C518" s="20" t="s">
        <v>647</v>
      </c>
      <c r="D518" s="20" t="s">
        <v>721</v>
      </c>
      <c r="E518" s="20" t="s">
        <v>2556</v>
      </c>
      <c r="F518" s="20" t="s">
        <v>2557</v>
      </c>
      <c r="G518" s="21">
        <v>18.8</v>
      </c>
      <c r="H518" s="16">
        <v>26</v>
      </c>
      <c r="I518" s="16"/>
      <c r="J518" s="17">
        <v>488.8</v>
      </c>
      <c r="K518" s="22"/>
      <c r="L518" s="23"/>
      <c r="M518" s="23">
        <v>0</v>
      </c>
      <c r="N518" s="19">
        <v>37.6</v>
      </c>
      <c r="O518" s="19">
        <v>-94</v>
      </c>
      <c r="P518" s="48">
        <v>94</v>
      </c>
      <c r="Q518" s="17">
        <v>0</v>
      </c>
      <c r="R518" s="24">
        <v>488.8</v>
      </c>
      <c r="S518" s="18" t="s">
        <v>28</v>
      </c>
      <c r="T518" s="25">
        <v>5</v>
      </c>
    </row>
    <row r="519" spans="1:20" s="26" customFormat="1" x14ac:dyDescent="0.25">
      <c r="A519" s="16">
        <v>231377</v>
      </c>
      <c r="B519" s="30" t="s">
        <v>790</v>
      </c>
      <c r="C519" s="20" t="s">
        <v>647</v>
      </c>
      <c r="D519" s="20" t="s">
        <v>724</v>
      </c>
      <c r="E519" s="20" t="s">
        <v>2558</v>
      </c>
      <c r="F519" s="20" t="s">
        <v>2559</v>
      </c>
      <c r="G519" s="21">
        <v>18.8</v>
      </c>
      <c r="H519" s="16">
        <v>26</v>
      </c>
      <c r="I519" s="16"/>
      <c r="J519" s="17">
        <v>488.8</v>
      </c>
      <c r="K519" s="22"/>
      <c r="L519" s="23"/>
      <c r="M519" s="23">
        <v>0</v>
      </c>
      <c r="N519" s="19">
        <v>37.6</v>
      </c>
      <c r="O519" s="19">
        <v>-94</v>
      </c>
      <c r="P519" s="48">
        <v>94</v>
      </c>
      <c r="Q519" s="17">
        <v>0</v>
      </c>
      <c r="R519" s="24">
        <v>488.8</v>
      </c>
      <c r="S519" s="18" t="s">
        <v>28</v>
      </c>
      <c r="T519" s="25">
        <v>5</v>
      </c>
    </row>
    <row r="520" spans="1:20" s="26" customFormat="1" x14ac:dyDescent="0.25">
      <c r="A520" s="16">
        <v>235008</v>
      </c>
      <c r="B520" s="30" t="s">
        <v>1466</v>
      </c>
      <c r="C520" s="20" t="s">
        <v>651</v>
      </c>
      <c r="D520" s="20" t="s">
        <v>716</v>
      </c>
      <c r="E520" s="20" t="s">
        <v>2932</v>
      </c>
      <c r="F520" s="20" t="s">
        <v>2933</v>
      </c>
      <c r="G520" s="21">
        <v>18.8</v>
      </c>
      <c r="H520" s="16">
        <v>16</v>
      </c>
      <c r="I520" s="16"/>
      <c r="J520" s="17">
        <v>300.8</v>
      </c>
      <c r="K520" s="22"/>
      <c r="L520" s="23"/>
      <c r="M520" s="23">
        <v>0</v>
      </c>
      <c r="N520" s="19">
        <v>37.6</v>
      </c>
      <c r="O520" s="19">
        <v>-94</v>
      </c>
      <c r="P520" s="48">
        <v>94</v>
      </c>
      <c r="Q520" s="17">
        <v>0</v>
      </c>
      <c r="R520" s="24">
        <v>300.8</v>
      </c>
      <c r="S520" s="18" t="s">
        <v>28</v>
      </c>
      <c r="T520" s="25">
        <v>5</v>
      </c>
    </row>
    <row r="521" spans="1:20" s="26" customFormat="1" x14ac:dyDescent="0.25">
      <c r="A521" s="16">
        <v>233182</v>
      </c>
      <c r="B521" s="30" t="s">
        <v>985</v>
      </c>
      <c r="C521" s="20" t="s">
        <v>647</v>
      </c>
      <c r="D521" s="20" t="s">
        <v>721</v>
      </c>
      <c r="E521" s="20" t="s">
        <v>2560</v>
      </c>
      <c r="F521" s="20" t="s">
        <v>2561</v>
      </c>
      <c r="G521" s="21">
        <v>18.8</v>
      </c>
      <c r="H521" s="16">
        <v>26</v>
      </c>
      <c r="I521" s="16">
        <v>1</v>
      </c>
      <c r="J521" s="17">
        <v>470</v>
      </c>
      <c r="K521" s="22"/>
      <c r="L521" s="23"/>
      <c r="M521" s="23">
        <v>0</v>
      </c>
      <c r="N521" s="19">
        <v>37.6</v>
      </c>
      <c r="O521" s="19">
        <v>-94</v>
      </c>
      <c r="P521" s="48">
        <v>94</v>
      </c>
      <c r="Q521" s="17">
        <v>0</v>
      </c>
      <c r="R521" s="24">
        <v>470</v>
      </c>
      <c r="S521" s="18" t="s">
        <v>28</v>
      </c>
      <c r="T521" s="25">
        <v>5</v>
      </c>
    </row>
    <row r="522" spans="1:20" s="26" customFormat="1" x14ac:dyDescent="0.25">
      <c r="A522" s="16">
        <v>234104</v>
      </c>
      <c r="B522" s="30" t="s">
        <v>1354</v>
      </c>
      <c r="C522" s="20" t="s">
        <v>647</v>
      </c>
      <c r="D522" s="20" t="s">
        <v>724</v>
      </c>
      <c r="E522" s="20" t="s">
        <v>2562</v>
      </c>
      <c r="F522" s="20" t="s">
        <v>2563</v>
      </c>
      <c r="G522" s="21">
        <v>13.4</v>
      </c>
      <c r="H522" s="16">
        <v>26</v>
      </c>
      <c r="I522" s="16"/>
      <c r="J522" s="17">
        <v>348.40000000000003</v>
      </c>
      <c r="K522" s="22"/>
      <c r="L522" s="23"/>
      <c r="M522" s="23">
        <v>0</v>
      </c>
      <c r="N522" s="19">
        <v>26.8</v>
      </c>
      <c r="O522" s="19">
        <v>-67</v>
      </c>
      <c r="P522" s="48">
        <v>67</v>
      </c>
      <c r="Q522" s="17">
        <v>0</v>
      </c>
      <c r="R522" s="24">
        <v>348.40000000000003</v>
      </c>
      <c r="S522" s="18" t="s">
        <v>28</v>
      </c>
      <c r="T522" s="25">
        <v>5</v>
      </c>
    </row>
    <row r="523" spans="1:20" s="26" customFormat="1" x14ac:dyDescent="0.25">
      <c r="A523" s="16">
        <v>234208</v>
      </c>
      <c r="B523" s="30" t="s">
        <v>1182</v>
      </c>
      <c r="C523" s="20" t="s">
        <v>647</v>
      </c>
      <c r="D523" s="20" t="s">
        <v>721</v>
      </c>
      <c r="E523" s="20" t="s">
        <v>2564</v>
      </c>
      <c r="F523" s="20" t="s">
        <v>2565</v>
      </c>
      <c r="G523" s="21">
        <v>13.4</v>
      </c>
      <c r="H523" s="16">
        <v>26</v>
      </c>
      <c r="I523" s="16"/>
      <c r="J523" s="17">
        <v>348.40000000000003</v>
      </c>
      <c r="K523" s="22"/>
      <c r="L523" s="23"/>
      <c r="M523" s="23">
        <v>0</v>
      </c>
      <c r="N523" s="19">
        <v>26.8</v>
      </c>
      <c r="O523" s="19">
        <v>-67</v>
      </c>
      <c r="P523" s="48">
        <v>67</v>
      </c>
      <c r="Q523" s="17">
        <v>0</v>
      </c>
      <c r="R523" s="24">
        <v>348.40000000000003</v>
      </c>
      <c r="S523" s="18" t="s">
        <v>28</v>
      </c>
      <c r="T523" s="25">
        <v>5</v>
      </c>
    </row>
    <row r="524" spans="1:20" s="26" customFormat="1" x14ac:dyDescent="0.25">
      <c r="A524" s="16">
        <v>234645</v>
      </c>
      <c r="B524" s="30" t="s">
        <v>1310</v>
      </c>
      <c r="C524" s="20" t="s">
        <v>647</v>
      </c>
      <c r="D524" s="20" t="s">
        <v>724</v>
      </c>
      <c r="E524" s="20" t="s">
        <v>2566</v>
      </c>
      <c r="F524" s="20" t="s">
        <v>4180</v>
      </c>
      <c r="G524" s="21">
        <v>13.4</v>
      </c>
      <c r="H524" s="16">
        <v>0</v>
      </c>
      <c r="I524" s="16">
        <v>0</v>
      </c>
      <c r="J524" s="17">
        <v>0</v>
      </c>
      <c r="K524" s="22"/>
      <c r="L524" s="23"/>
      <c r="M524" s="23">
        <v>0</v>
      </c>
      <c r="N524" s="19">
        <v>26.8</v>
      </c>
      <c r="O524" s="19">
        <v>-67</v>
      </c>
      <c r="P524" s="48">
        <v>67</v>
      </c>
      <c r="Q524" s="17">
        <v>0</v>
      </c>
      <c r="R524" s="24">
        <v>0</v>
      </c>
      <c r="S524" s="18" t="s">
        <v>12</v>
      </c>
      <c r="T524" s="25">
        <v>5</v>
      </c>
    </row>
    <row r="525" spans="1:20" s="26" customFormat="1" x14ac:dyDescent="0.25">
      <c r="A525" s="16">
        <v>202859</v>
      </c>
      <c r="B525" s="30" t="s">
        <v>266</v>
      </c>
      <c r="C525" s="20" t="s">
        <v>629</v>
      </c>
      <c r="D525" s="20" t="s">
        <v>682</v>
      </c>
      <c r="E525" s="20" t="s">
        <v>2568</v>
      </c>
      <c r="F525" s="20" t="s">
        <v>2569</v>
      </c>
      <c r="G525" s="21">
        <v>18.8</v>
      </c>
      <c r="H525" s="16">
        <v>26</v>
      </c>
      <c r="I525" s="16"/>
      <c r="J525" s="17">
        <v>488.8</v>
      </c>
      <c r="K525" s="22"/>
      <c r="L525" s="23"/>
      <c r="M525" s="23">
        <v>0</v>
      </c>
      <c r="N525" s="19">
        <v>37.6</v>
      </c>
      <c r="O525" s="19">
        <v>-94</v>
      </c>
      <c r="P525" s="48">
        <v>94</v>
      </c>
      <c r="Q525" s="17">
        <v>0</v>
      </c>
      <c r="R525" s="24">
        <v>488.8</v>
      </c>
      <c r="S525" s="18" t="s">
        <v>28</v>
      </c>
      <c r="T525" s="25">
        <v>5</v>
      </c>
    </row>
    <row r="526" spans="1:20" s="26" customFormat="1" x14ac:dyDescent="0.25">
      <c r="A526" s="65">
        <v>232079</v>
      </c>
      <c r="B526" s="30" t="s">
        <v>824</v>
      </c>
      <c r="C526" s="20" t="s">
        <v>630</v>
      </c>
      <c r="D526" s="20" t="s">
        <v>736</v>
      </c>
      <c r="E526" s="20" t="s">
        <v>2570</v>
      </c>
      <c r="F526" s="20" t="s">
        <v>2571</v>
      </c>
      <c r="G526" s="21">
        <v>18.8</v>
      </c>
      <c r="H526" s="16">
        <v>22</v>
      </c>
      <c r="I526" s="16"/>
      <c r="J526" s="17">
        <v>413.6</v>
      </c>
      <c r="K526" s="22"/>
      <c r="L526" s="23"/>
      <c r="M526" s="23">
        <v>0</v>
      </c>
      <c r="N526" s="19">
        <v>37.6</v>
      </c>
      <c r="O526" s="19">
        <v>-94</v>
      </c>
      <c r="P526" s="48">
        <v>94</v>
      </c>
      <c r="Q526" s="17">
        <v>0</v>
      </c>
      <c r="R526" s="24">
        <v>413.6</v>
      </c>
      <c r="S526" s="18" t="s">
        <v>28</v>
      </c>
      <c r="T526" s="25">
        <v>5</v>
      </c>
    </row>
    <row r="527" spans="1:20" s="26" customFormat="1" x14ac:dyDescent="0.25">
      <c r="A527" s="16">
        <v>209808</v>
      </c>
      <c r="B527" s="30" t="s">
        <v>267</v>
      </c>
      <c r="C527" s="20" t="s">
        <v>648</v>
      </c>
      <c r="D527" s="20" t="s">
        <v>737</v>
      </c>
      <c r="E527" s="20" t="s">
        <v>2572</v>
      </c>
      <c r="F527" s="20" t="s">
        <v>2573</v>
      </c>
      <c r="G527" s="21">
        <v>18.8</v>
      </c>
      <c r="H527" s="16">
        <v>26</v>
      </c>
      <c r="I527" s="16"/>
      <c r="J527" s="17">
        <v>488.8</v>
      </c>
      <c r="K527" s="22"/>
      <c r="L527" s="23"/>
      <c r="M527" s="23">
        <v>0</v>
      </c>
      <c r="N527" s="19">
        <v>37.6</v>
      </c>
      <c r="O527" s="19">
        <v>-94</v>
      </c>
      <c r="P527" s="48">
        <v>94</v>
      </c>
      <c r="Q527" s="17">
        <v>0</v>
      </c>
      <c r="R527" s="24">
        <v>488.8</v>
      </c>
      <c r="S527" s="18" t="s">
        <v>28</v>
      </c>
      <c r="T527" s="25">
        <v>5</v>
      </c>
    </row>
    <row r="528" spans="1:20" s="26" customFormat="1" x14ac:dyDescent="0.25">
      <c r="A528" s="16">
        <v>215263</v>
      </c>
      <c r="B528" s="30" t="s">
        <v>1065</v>
      </c>
      <c r="C528" s="20" t="s">
        <v>648</v>
      </c>
      <c r="D528" s="20" t="s">
        <v>718</v>
      </c>
      <c r="E528" s="20" t="s">
        <v>2574</v>
      </c>
      <c r="F528" s="20" t="s">
        <v>2575</v>
      </c>
      <c r="G528" s="21">
        <v>16.5</v>
      </c>
      <c r="H528" s="16">
        <v>26</v>
      </c>
      <c r="I528" s="16"/>
      <c r="J528" s="17">
        <v>429</v>
      </c>
      <c r="K528" s="22"/>
      <c r="L528" s="23"/>
      <c r="M528" s="23">
        <v>0</v>
      </c>
      <c r="N528" s="19">
        <v>33</v>
      </c>
      <c r="O528" s="19">
        <v>-82.5</v>
      </c>
      <c r="P528" s="48">
        <v>82.5</v>
      </c>
      <c r="Q528" s="17">
        <v>0</v>
      </c>
      <c r="R528" s="24">
        <v>429</v>
      </c>
      <c r="S528" s="18" t="s">
        <v>28</v>
      </c>
      <c r="T528" s="25">
        <v>5</v>
      </c>
    </row>
    <row r="529" spans="1:20" s="26" customFormat="1" x14ac:dyDescent="0.25">
      <c r="A529" s="16">
        <v>231061</v>
      </c>
      <c r="B529" s="30" t="s">
        <v>769</v>
      </c>
      <c r="C529" s="20" t="s">
        <v>648</v>
      </c>
      <c r="D529" s="20" t="s">
        <v>718</v>
      </c>
      <c r="E529" s="20" t="s">
        <v>2576</v>
      </c>
      <c r="F529" s="20" t="s">
        <v>2577</v>
      </c>
      <c r="G529" s="21">
        <v>13.4</v>
      </c>
      <c r="H529" s="16">
        <v>26</v>
      </c>
      <c r="I529" s="16"/>
      <c r="J529" s="17">
        <v>348.40000000000003</v>
      </c>
      <c r="K529" s="22"/>
      <c r="L529" s="23"/>
      <c r="M529" s="23">
        <v>0</v>
      </c>
      <c r="N529" s="19">
        <v>26.8</v>
      </c>
      <c r="O529" s="19">
        <v>-67</v>
      </c>
      <c r="P529" s="48">
        <v>67</v>
      </c>
      <c r="Q529" s="17">
        <v>0</v>
      </c>
      <c r="R529" s="24">
        <v>348.40000000000003</v>
      </c>
      <c r="S529" s="18" t="s">
        <v>28</v>
      </c>
      <c r="T529" s="25">
        <v>5</v>
      </c>
    </row>
    <row r="530" spans="1:20" s="26" customFormat="1" x14ac:dyDescent="0.25">
      <c r="A530" s="16">
        <v>234670</v>
      </c>
      <c r="B530" s="30" t="s">
        <v>1355</v>
      </c>
      <c r="C530" s="20" t="s">
        <v>648</v>
      </c>
      <c r="D530" s="20" t="s">
        <v>718</v>
      </c>
      <c r="E530" s="20" t="s">
        <v>2578</v>
      </c>
      <c r="F530" s="20" t="s">
        <v>2579</v>
      </c>
      <c r="G530" s="21">
        <v>18.8</v>
      </c>
      <c r="H530" s="16">
        <v>26</v>
      </c>
      <c r="I530" s="16"/>
      <c r="J530" s="17">
        <v>488.8</v>
      </c>
      <c r="K530" s="22"/>
      <c r="L530" s="23"/>
      <c r="M530" s="23">
        <v>0</v>
      </c>
      <c r="N530" s="19">
        <v>37.6</v>
      </c>
      <c r="O530" s="19">
        <v>-94</v>
      </c>
      <c r="P530" s="48">
        <v>94</v>
      </c>
      <c r="Q530" s="17">
        <v>0</v>
      </c>
      <c r="R530" s="24">
        <v>488.8</v>
      </c>
      <c r="S530" s="18" t="s">
        <v>28</v>
      </c>
      <c r="T530" s="25">
        <v>5</v>
      </c>
    </row>
    <row r="531" spans="1:20" s="26" customFormat="1" x14ac:dyDescent="0.25">
      <c r="A531" s="16">
        <v>224748</v>
      </c>
      <c r="B531" s="30" t="s">
        <v>291</v>
      </c>
      <c r="C531" s="20" t="s">
        <v>649</v>
      </c>
      <c r="D531" s="20" t="s">
        <v>725</v>
      </c>
      <c r="E531" s="20" t="s">
        <v>2580</v>
      </c>
      <c r="F531" s="20" t="s">
        <v>2581</v>
      </c>
      <c r="G531" s="21">
        <v>18.8</v>
      </c>
      <c r="H531" s="16">
        <v>26</v>
      </c>
      <c r="I531" s="16"/>
      <c r="J531" s="17">
        <v>488.8</v>
      </c>
      <c r="K531" s="22"/>
      <c r="L531" s="23"/>
      <c r="M531" s="23">
        <v>0</v>
      </c>
      <c r="N531" s="19">
        <v>37.6</v>
      </c>
      <c r="O531" s="19">
        <v>-94</v>
      </c>
      <c r="P531" s="48">
        <v>94</v>
      </c>
      <c r="Q531" s="17">
        <v>0</v>
      </c>
      <c r="R531" s="24">
        <v>488.8</v>
      </c>
      <c r="S531" s="18" t="s">
        <v>28</v>
      </c>
      <c r="T531" s="25">
        <v>5</v>
      </c>
    </row>
    <row r="532" spans="1:20" s="26" customFormat="1" x14ac:dyDescent="0.25">
      <c r="A532" s="16">
        <v>226369</v>
      </c>
      <c r="B532" s="30" t="s">
        <v>425</v>
      </c>
      <c r="C532" s="20" t="s">
        <v>649</v>
      </c>
      <c r="D532" s="20" t="s">
        <v>750</v>
      </c>
      <c r="E532" s="20" t="s">
        <v>2582</v>
      </c>
      <c r="F532" s="20" t="s">
        <v>2583</v>
      </c>
      <c r="G532" s="21">
        <v>18.8</v>
      </c>
      <c r="H532" s="16">
        <v>26</v>
      </c>
      <c r="I532" s="16"/>
      <c r="J532" s="17">
        <v>488.8</v>
      </c>
      <c r="K532" s="22"/>
      <c r="L532" s="23">
        <v>18.8</v>
      </c>
      <c r="M532" s="23">
        <v>18.8</v>
      </c>
      <c r="N532" s="19">
        <v>37.6</v>
      </c>
      <c r="O532" s="19">
        <v>-75.2</v>
      </c>
      <c r="P532" s="48">
        <v>94</v>
      </c>
      <c r="Q532" s="17">
        <v>0</v>
      </c>
      <c r="R532" s="24">
        <v>488.8</v>
      </c>
      <c r="S532" s="18" t="s">
        <v>28</v>
      </c>
      <c r="T532" s="25">
        <v>5</v>
      </c>
    </row>
    <row r="533" spans="1:20" s="26" customFormat="1" x14ac:dyDescent="0.25">
      <c r="A533" s="16">
        <v>230079</v>
      </c>
      <c r="B533" s="30" t="s">
        <v>302</v>
      </c>
      <c r="C533" s="20" t="s">
        <v>649</v>
      </c>
      <c r="D533" s="20" t="s">
        <v>725</v>
      </c>
      <c r="E533" s="20" t="s">
        <v>2584</v>
      </c>
      <c r="F533" s="20">
        <v>0</v>
      </c>
      <c r="G533" s="21">
        <v>18.8</v>
      </c>
      <c r="H533" s="16">
        <v>26</v>
      </c>
      <c r="I533" s="16"/>
      <c r="J533" s="17">
        <v>488.8</v>
      </c>
      <c r="K533" s="22"/>
      <c r="L533" s="23"/>
      <c r="M533" s="23">
        <v>0</v>
      </c>
      <c r="N533" s="19">
        <v>37.6</v>
      </c>
      <c r="O533" s="19">
        <v>-94</v>
      </c>
      <c r="P533" s="48">
        <v>94</v>
      </c>
      <c r="Q533" s="17">
        <v>0</v>
      </c>
      <c r="R533" s="24">
        <v>488.8</v>
      </c>
      <c r="S533" s="18" t="s">
        <v>28</v>
      </c>
      <c r="T533" s="25">
        <v>5</v>
      </c>
    </row>
    <row r="534" spans="1:20" s="26" customFormat="1" x14ac:dyDescent="0.25">
      <c r="A534" s="16">
        <v>235054</v>
      </c>
      <c r="B534" s="30" t="s">
        <v>1449</v>
      </c>
      <c r="C534" s="20" t="s">
        <v>649</v>
      </c>
      <c r="D534" s="20" t="s">
        <v>725</v>
      </c>
      <c r="E534" s="20" t="s">
        <v>2585</v>
      </c>
      <c r="F534" s="20" t="s">
        <v>2586</v>
      </c>
      <c r="G534" s="21">
        <v>18.8</v>
      </c>
      <c r="H534" s="16">
        <v>26</v>
      </c>
      <c r="I534" s="16"/>
      <c r="J534" s="17">
        <v>488.8</v>
      </c>
      <c r="K534" s="22"/>
      <c r="L534" s="23"/>
      <c r="M534" s="23">
        <v>0</v>
      </c>
      <c r="N534" s="19">
        <v>37.6</v>
      </c>
      <c r="O534" s="19">
        <v>-94</v>
      </c>
      <c r="P534" s="48">
        <v>94</v>
      </c>
      <c r="Q534" s="17">
        <v>0</v>
      </c>
      <c r="R534" s="24">
        <v>488.8</v>
      </c>
      <c r="S534" s="18" t="s">
        <v>28</v>
      </c>
      <c r="T534" s="25">
        <v>5</v>
      </c>
    </row>
    <row r="535" spans="1:20" s="26" customFormat="1" x14ac:dyDescent="0.25">
      <c r="A535" s="16">
        <v>222112</v>
      </c>
      <c r="B535" s="30" t="s">
        <v>510</v>
      </c>
      <c r="C535" s="20" t="s">
        <v>650</v>
      </c>
      <c r="D535" s="20" t="s">
        <v>738</v>
      </c>
      <c r="E535" s="20" t="s">
        <v>2587</v>
      </c>
      <c r="F535" s="20" t="s">
        <v>2588</v>
      </c>
      <c r="G535" s="21">
        <v>18.8</v>
      </c>
      <c r="H535" s="16">
        <v>26</v>
      </c>
      <c r="I535" s="16"/>
      <c r="J535" s="17">
        <v>488.8</v>
      </c>
      <c r="K535" s="22"/>
      <c r="L535" s="23">
        <v>18.8</v>
      </c>
      <c r="M535" s="23">
        <v>18.8</v>
      </c>
      <c r="N535" s="19">
        <v>37.6</v>
      </c>
      <c r="O535" s="19">
        <v>-75.2</v>
      </c>
      <c r="P535" s="48">
        <v>94</v>
      </c>
      <c r="Q535" s="17">
        <v>0</v>
      </c>
      <c r="R535" s="24">
        <v>488.8</v>
      </c>
      <c r="S535" s="18" t="s">
        <v>28</v>
      </c>
      <c r="T535" s="25">
        <v>5</v>
      </c>
    </row>
    <row r="536" spans="1:20" s="26" customFormat="1" x14ac:dyDescent="0.25">
      <c r="A536" s="16">
        <v>224972</v>
      </c>
      <c r="B536" s="30" t="s">
        <v>278</v>
      </c>
      <c r="C536" s="20" t="s">
        <v>650</v>
      </c>
      <c r="D536" s="20" t="s">
        <v>726</v>
      </c>
      <c r="E536" s="20" t="s">
        <v>2589</v>
      </c>
      <c r="F536" s="20" t="s">
        <v>2590</v>
      </c>
      <c r="G536" s="21">
        <v>18.8</v>
      </c>
      <c r="H536" s="16">
        <v>26</v>
      </c>
      <c r="I536" s="16"/>
      <c r="J536" s="17">
        <v>488.8</v>
      </c>
      <c r="K536" s="22"/>
      <c r="L536" s="23"/>
      <c r="M536" s="23">
        <v>0</v>
      </c>
      <c r="N536" s="19">
        <v>37.6</v>
      </c>
      <c r="O536" s="19">
        <v>-94</v>
      </c>
      <c r="P536" s="48">
        <v>94</v>
      </c>
      <c r="Q536" s="17">
        <v>0</v>
      </c>
      <c r="R536" s="24">
        <v>488.8</v>
      </c>
      <c r="S536" s="18" t="s">
        <v>28</v>
      </c>
      <c r="T536" s="25">
        <v>5</v>
      </c>
    </row>
    <row r="537" spans="1:20" s="26" customFormat="1" x14ac:dyDescent="0.25">
      <c r="A537" s="16">
        <v>228645</v>
      </c>
      <c r="B537" s="30" t="s">
        <v>268</v>
      </c>
      <c r="C537" s="20" t="s">
        <v>650</v>
      </c>
      <c r="D537" s="20" t="s">
        <v>726</v>
      </c>
      <c r="E537" s="20" t="s">
        <v>2591</v>
      </c>
      <c r="F537" s="20" t="s">
        <v>2592</v>
      </c>
      <c r="G537" s="21">
        <v>14.2</v>
      </c>
      <c r="H537" s="16">
        <v>26</v>
      </c>
      <c r="I537" s="16"/>
      <c r="J537" s="17">
        <v>369.2</v>
      </c>
      <c r="K537" s="22"/>
      <c r="L537" s="23"/>
      <c r="M537" s="23">
        <v>0</v>
      </c>
      <c r="N537" s="19">
        <v>28.4</v>
      </c>
      <c r="O537" s="19">
        <v>-71</v>
      </c>
      <c r="P537" s="48">
        <v>71</v>
      </c>
      <c r="Q537" s="17">
        <v>0</v>
      </c>
      <c r="R537" s="24">
        <v>369.2</v>
      </c>
      <c r="S537" s="18" t="s">
        <v>28</v>
      </c>
      <c r="T537" s="25">
        <v>5</v>
      </c>
    </row>
    <row r="538" spans="1:20" s="26" customFormat="1" x14ac:dyDescent="0.25">
      <c r="A538" s="16">
        <v>232796</v>
      </c>
      <c r="B538" s="30" t="s">
        <v>938</v>
      </c>
      <c r="C538" s="20" t="s">
        <v>650</v>
      </c>
      <c r="D538" s="20" t="s">
        <v>726</v>
      </c>
      <c r="E538" s="20" t="s">
        <v>2593</v>
      </c>
      <c r="F538" s="20" t="s">
        <v>2594</v>
      </c>
      <c r="G538" s="21">
        <v>13.4</v>
      </c>
      <c r="H538" s="16">
        <v>26</v>
      </c>
      <c r="I538" s="16"/>
      <c r="J538" s="17">
        <v>348.40000000000003</v>
      </c>
      <c r="K538" s="22"/>
      <c r="L538" s="23"/>
      <c r="M538" s="23">
        <v>0</v>
      </c>
      <c r="N538" s="19">
        <v>26.8</v>
      </c>
      <c r="O538" s="19">
        <v>-67</v>
      </c>
      <c r="P538" s="48">
        <v>67</v>
      </c>
      <c r="Q538" s="17">
        <v>0</v>
      </c>
      <c r="R538" s="24">
        <v>348.40000000000003</v>
      </c>
      <c r="S538" s="18" t="s">
        <v>28</v>
      </c>
      <c r="T538" s="25">
        <v>5</v>
      </c>
    </row>
    <row r="539" spans="1:20" s="26" customFormat="1" x14ac:dyDescent="0.25">
      <c r="A539" s="16">
        <v>234596</v>
      </c>
      <c r="B539" s="30" t="s">
        <v>1311</v>
      </c>
      <c r="C539" s="20" t="s">
        <v>650</v>
      </c>
      <c r="D539" s="20" t="s">
        <v>726</v>
      </c>
      <c r="E539" s="20" t="s">
        <v>2595</v>
      </c>
      <c r="F539" s="20" t="s">
        <v>2596</v>
      </c>
      <c r="G539" s="21">
        <v>13.4</v>
      </c>
      <c r="H539" s="16">
        <v>26</v>
      </c>
      <c r="I539" s="16"/>
      <c r="J539" s="17">
        <v>348.40000000000003</v>
      </c>
      <c r="K539" s="22"/>
      <c r="L539" s="23"/>
      <c r="M539" s="23">
        <v>0</v>
      </c>
      <c r="N539" s="19">
        <v>26.8</v>
      </c>
      <c r="O539" s="19">
        <v>-67</v>
      </c>
      <c r="P539" s="48">
        <v>67</v>
      </c>
      <c r="Q539" s="17">
        <v>0</v>
      </c>
      <c r="R539" s="24">
        <v>348.40000000000003</v>
      </c>
      <c r="S539" s="18" t="s">
        <v>28</v>
      </c>
      <c r="T539" s="25">
        <v>5</v>
      </c>
    </row>
    <row r="540" spans="1:20" s="26" customFormat="1" x14ac:dyDescent="0.25">
      <c r="A540" s="16">
        <v>205560</v>
      </c>
      <c r="B540" s="30" t="s">
        <v>269</v>
      </c>
      <c r="C540" s="20" t="s">
        <v>651</v>
      </c>
      <c r="D540" s="20" t="s">
        <v>719</v>
      </c>
      <c r="E540" s="20" t="s">
        <v>2597</v>
      </c>
      <c r="F540" s="20" t="s">
        <v>2598</v>
      </c>
      <c r="G540" s="21">
        <v>16.2</v>
      </c>
      <c r="H540" s="16">
        <v>1</v>
      </c>
      <c r="I540" s="16"/>
      <c r="J540" s="17">
        <v>16.2</v>
      </c>
      <c r="K540" s="22"/>
      <c r="L540" s="23"/>
      <c r="M540" s="23">
        <v>0</v>
      </c>
      <c r="N540" s="19">
        <v>32.4</v>
      </c>
      <c r="O540" s="19">
        <v>-81</v>
      </c>
      <c r="P540" s="48">
        <v>81</v>
      </c>
      <c r="Q540" s="17">
        <v>0</v>
      </c>
      <c r="R540" s="24">
        <v>16.2</v>
      </c>
      <c r="S540" s="18" t="s">
        <v>28</v>
      </c>
      <c r="T540" s="25">
        <v>5</v>
      </c>
    </row>
    <row r="541" spans="1:20" s="26" customFormat="1" x14ac:dyDescent="0.25">
      <c r="A541" s="16">
        <v>207609</v>
      </c>
      <c r="B541" s="30" t="s">
        <v>270</v>
      </c>
      <c r="C541" s="20" t="s">
        <v>651</v>
      </c>
      <c r="D541" s="20" t="s">
        <v>717</v>
      </c>
      <c r="E541" s="20" t="s">
        <v>2599</v>
      </c>
      <c r="F541" s="20" t="s">
        <v>2600</v>
      </c>
      <c r="G541" s="21">
        <v>14.2</v>
      </c>
      <c r="H541" s="16">
        <v>1</v>
      </c>
      <c r="I541" s="16">
        <v>6</v>
      </c>
      <c r="J541" s="17">
        <v>0</v>
      </c>
      <c r="K541" s="22"/>
      <c r="L541" s="23"/>
      <c r="M541" s="23">
        <v>0</v>
      </c>
      <c r="N541" s="19">
        <v>28.4</v>
      </c>
      <c r="O541" s="19">
        <v>-71</v>
      </c>
      <c r="P541" s="48">
        <v>71</v>
      </c>
      <c r="Q541" s="17">
        <v>0</v>
      </c>
      <c r="R541" s="24">
        <v>0</v>
      </c>
      <c r="S541" s="18" t="s">
        <v>12</v>
      </c>
      <c r="T541" s="25">
        <v>5</v>
      </c>
    </row>
    <row r="542" spans="1:20" s="26" customFormat="1" x14ac:dyDescent="0.25">
      <c r="A542" s="16">
        <v>213116</v>
      </c>
      <c r="B542" s="30" t="s">
        <v>271</v>
      </c>
      <c r="C542" s="20" t="s">
        <v>651</v>
      </c>
      <c r="D542" s="20" t="s">
        <v>719</v>
      </c>
      <c r="E542" s="20" t="s">
        <v>2601</v>
      </c>
      <c r="F542" s="20" t="s">
        <v>2602</v>
      </c>
      <c r="G542" s="21">
        <v>14.2</v>
      </c>
      <c r="H542" s="16">
        <v>16</v>
      </c>
      <c r="I542" s="16"/>
      <c r="J542" s="17">
        <v>227.2</v>
      </c>
      <c r="K542" s="22"/>
      <c r="L542" s="23"/>
      <c r="M542" s="23">
        <v>0</v>
      </c>
      <c r="N542" s="19">
        <v>28.4</v>
      </c>
      <c r="O542" s="19">
        <v>-71</v>
      </c>
      <c r="P542" s="48">
        <v>71</v>
      </c>
      <c r="Q542" s="17">
        <v>0</v>
      </c>
      <c r="R542" s="24">
        <v>227.2</v>
      </c>
      <c r="S542" s="18" t="s">
        <v>28</v>
      </c>
      <c r="T542" s="25">
        <v>5</v>
      </c>
    </row>
    <row r="543" spans="1:20" s="26" customFormat="1" x14ac:dyDescent="0.25">
      <c r="A543" s="16">
        <v>213176</v>
      </c>
      <c r="B543" s="30" t="s">
        <v>1183</v>
      </c>
      <c r="C543" s="20" t="s">
        <v>651</v>
      </c>
      <c r="D543" s="20" t="s">
        <v>727</v>
      </c>
      <c r="E543" s="20" t="s">
        <v>2603</v>
      </c>
      <c r="F543" s="20" t="s">
        <v>2604</v>
      </c>
      <c r="G543" s="21">
        <v>18.8</v>
      </c>
      <c r="H543" s="16">
        <v>26</v>
      </c>
      <c r="I543" s="16">
        <v>1</v>
      </c>
      <c r="J543" s="17">
        <v>470</v>
      </c>
      <c r="K543" s="22"/>
      <c r="L543" s="23">
        <v>345.5</v>
      </c>
      <c r="M543" s="23">
        <v>345.5</v>
      </c>
      <c r="N543" s="19">
        <v>37.6</v>
      </c>
      <c r="O543" s="19">
        <v>251.5</v>
      </c>
      <c r="P543" s="48">
        <v>94</v>
      </c>
      <c r="Q543" s="17">
        <v>251.5</v>
      </c>
      <c r="R543" s="24">
        <v>218.5</v>
      </c>
      <c r="S543" s="18" t="s">
        <v>11</v>
      </c>
      <c r="T543" s="25">
        <v>5</v>
      </c>
    </row>
    <row r="544" spans="1:20" s="26" customFormat="1" x14ac:dyDescent="0.25">
      <c r="A544" s="16">
        <v>213178</v>
      </c>
      <c r="B544" s="30" t="s">
        <v>272</v>
      </c>
      <c r="C544" s="20" t="s">
        <v>651</v>
      </c>
      <c r="D544" s="20" t="s">
        <v>719</v>
      </c>
      <c r="E544" s="20" t="s">
        <v>2605</v>
      </c>
      <c r="F544" s="20" t="s">
        <v>2606</v>
      </c>
      <c r="G544" s="21">
        <v>21.299999999999997</v>
      </c>
      <c r="H544" s="16">
        <v>16</v>
      </c>
      <c r="I544" s="16"/>
      <c r="J544" s="17">
        <v>340.79999999999995</v>
      </c>
      <c r="K544" s="22"/>
      <c r="L544" s="23"/>
      <c r="M544" s="23">
        <v>0</v>
      </c>
      <c r="N544" s="19">
        <v>42.599999999999994</v>
      </c>
      <c r="O544" s="19">
        <v>-106.49999999999999</v>
      </c>
      <c r="P544" s="48">
        <v>106.49999999999999</v>
      </c>
      <c r="Q544" s="17">
        <v>0</v>
      </c>
      <c r="R544" s="24">
        <v>340.79999999999995</v>
      </c>
      <c r="S544" s="18" t="s">
        <v>28</v>
      </c>
      <c r="T544" s="25">
        <v>5</v>
      </c>
    </row>
    <row r="545" spans="1:20" s="26" customFormat="1" x14ac:dyDescent="0.25">
      <c r="A545" s="16">
        <v>218672</v>
      </c>
      <c r="B545" s="30" t="s">
        <v>273</v>
      </c>
      <c r="C545" s="20" t="s">
        <v>651</v>
      </c>
      <c r="D545" s="20" t="s">
        <v>719</v>
      </c>
      <c r="E545" s="20" t="s">
        <v>2607</v>
      </c>
      <c r="F545" s="20" t="s">
        <v>2608</v>
      </c>
      <c r="G545" s="21">
        <v>18.8</v>
      </c>
      <c r="H545" s="16">
        <v>1</v>
      </c>
      <c r="I545" s="16"/>
      <c r="J545" s="17">
        <v>18.8</v>
      </c>
      <c r="K545" s="22"/>
      <c r="L545" s="23"/>
      <c r="M545" s="23">
        <v>0</v>
      </c>
      <c r="N545" s="19">
        <v>37.6</v>
      </c>
      <c r="O545" s="19">
        <v>-94</v>
      </c>
      <c r="P545" s="48">
        <v>94</v>
      </c>
      <c r="Q545" s="17">
        <v>0</v>
      </c>
      <c r="R545" s="24">
        <v>18.8</v>
      </c>
      <c r="S545" s="18" t="s">
        <v>28</v>
      </c>
      <c r="T545" s="25">
        <v>5</v>
      </c>
    </row>
    <row r="546" spans="1:20" s="26" customFormat="1" x14ac:dyDescent="0.25">
      <c r="A546" s="16">
        <v>219304</v>
      </c>
      <c r="B546" s="30" t="s">
        <v>1356</v>
      </c>
      <c r="C546" s="20" t="s">
        <v>651</v>
      </c>
      <c r="D546" s="20" t="s">
        <v>719</v>
      </c>
      <c r="E546" s="20" t="s">
        <v>2609</v>
      </c>
      <c r="F546" s="20" t="s">
        <v>2610</v>
      </c>
      <c r="G546" s="21">
        <v>14.2</v>
      </c>
      <c r="H546" s="16">
        <v>16</v>
      </c>
      <c r="I546" s="16"/>
      <c r="J546" s="17">
        <v>227.2</v>
      </c>
      <c r="K546" s="22"/>
      <c r="L546" s="23"/>
      <c r="M546" s="23">
        <v>0</v>
      </c>
      <c r="N546" s="19">
        <v>28.4</v>
      </c>
      <c r="O546" s="19">
        <v>-71</v>
      </c>
      <c r="P546" s="48">
        <v>71</v>
      </c>
      <c r="Q546" s="17">
        <v>0</v>
      </c>
      <c r="R546" s="24">
        <v>227.2</v>
      </c>
      <c r="S546" s="18" t="s">
        <v>28</v>
      </c>
      <c r="T546" s="25">
        <v>5</v>
      </c>
    </row>
    <row r="547" spans="1:20" s="26" customFormat="1" x14ac:dyDescent="0.25">
      <c r="A547" s="16">
        <v>222320</v>
      </c>
      <c r="B547" s="30" t="s">
        <v>274</v>
      </c>
      <c r="C547" s="20" t="s">
        <v>651</v>
      </c>
      <c r="D547" s="20" t="s">
        <v>719</v>
      </c>
      <c r="E547" s="20" t="s">
        <v>2611</v>
      </c>
      <c r="F547" s="20" t="s">
        <v>2612</v>
      </c>
      <c r="G547" s="21">
        <v>18.8</v>
      </c>
      <c r="H547" s="16">
        <v>16</v>
      </c>
      <c r="I547" s="16"/>
      <c r="J547" s="17">
        <v>300.8</v>
      </c>
      <c r="K547" s="22"/>
      <c r="L547" s="23"/>
      <c r="M547" s="23">
        <v>0</v>
      </c>
      <c r="N547" s="19">
        <v>37.6</v>
      </c>
      <c r="O547" s="19">
        <v>-94</v>
      </c>
      <c r="P547" s="48">
        <v>94</v>
      </c>
      <c r="Q547" s="17">
        <v>0</v>
      </c>
      <c r="R547" s="24">
        <v>300.8</v>
      </c>
      <c r="S547" s="18" t="s">
        <v>28</v>
      </c>
      <c r="T547" s="25">
        <v>5</v>
      </c>
    </row>
    <row r="548" spans="1:20" s="26" customFormat="1" x14ac:dyDescent="0.25">
      <c r="A548" s="16">
        <v>222615</v>
      </c>
      <c r="B548" s="30" t="s">
        <v>275</v>
      </c>
      <c r="C548" s="20" t="s">
        <v>651</v>
      </c>
      <c r="D548" s="20" t="s">
        <v>716</v>
      </c>
      <c r="E548" s="20" t="s">
        <v>2613</v>
      </c>
      <c r="F548" s="20" t="s">
        <v>2614</v>
      </c>
      <c r="G548" s="21">
        <v>13.4</v>
      </c>
      <c r="H548" s="16">
        <v>16</v>
      </c>
      <c r="I548" s="16"/>
      <c r="J548" s="17">
        <v>214.4</v>
      </c>
      <c r="K548" s="22"/>
      <c r="L548" s="23"/>
      <c r="M548" s="23">
        <v>0</v>
      </c>
      <c r="N548" s="19">
        <v>26.8</v>
      </c>
      <c r="O548" s="19">
        <v>-67</v>
      </c>
      <c r="P548" s="48">
        <v>67</v>
      </c>
      <c r="Q548" s="17">
        <v>0</v>
      </c>
      <c r="R548" s="24">
        <v>214.4</v>
      </c>
      <c r="S548" s="18" t="s">
        <v>28</v>
      </c>
      <c r="T548" s="25">
        <v>5</v>
      </c>
    </row>
    <row r="549" spans="1:20" s="26" customFormat="1" x14ac:dyDescent="0.25">
      <c r="A549" s="16">
        <v>223031</v>
      </c>
      <c r="B549" s="30" t="s">
        <v>1066</v>
      </c>
      <c r="C549" s="20" t="s">
        <v>651</v>
      </c>
      <c r="D549" s="20" t="s">
        <v>719</v>
      </c>
      <c r="E549" s="20" t="s">
        <v>2615</v>
      </c>
      <c r="F549" s="20" t="s">
        <v>2616</v>
      </c>
      <c r="G549" s="21">
        <v>18.8</v>
      </c>
      <c r="H549" s="16">
        <v>16</v>
      </c>
      <c r="I549" s="16"/>
      <c r="J549" s="17">
        <v>300.8</v>
      </c>
      <c r="K549" s="22"/>
      <c r="L549" s="23"/>
      <c r="M549" s="23">
        <v>0</v>
      </c>
      <c r="N549" s="19">
        <v>37.6</v>
      </c>
      <c r="O549" s="19">
        <v>-94</v>
      </c>
      <c r="P549" s="48">
        <v>94</v>
      </c>
      <c r="Q549" s="17">
        <v>0</v>
      </c>
      <c r="R549" s="24">
        <v>300.8</v>
      </c>
      <c r="S549" s="18" t="s">
        <v>28</v>
      </c>
      <c r="T549" s="25">
        <v>5</v>
      </c>
    </row>
    <row r="550" spans="1:20" s="26" customFormat="1" x14ac:dyDescent="0.25">
      <c r="A550" s="16">
        <v>223382</v>
      </c>
      <c r="B550" s="30" t="s">
        <v>276</v>
      </c>
      <c r="C550" s="20" t="s">
        <v>651</v>
      </c>
      <c r="D550" s="20" t="s">
        <v>719</v>
      </c>
      <c r="E550" s="20" t="s">
        <v>2617</v>
      </c>
      <c r="F550" s="20" t="s">
        <v>2618</v>
      </c>
      <c r="G550" s="21">
        <v>18.8</v>
      </c>
      <c r="H550" s="16">
        <v>16</v>
      </c>
      <c r="I550" s="16">
        <v>3</v>
      </c>
      <c r="J550" s="17">
        <v>244.4</v>
      </c>
      <c r="K550" s="22"/>
      <c r="L550" s="23"/>
      <c r="M550" s="23">
        <v>0</v>
      </c>
      <c r="N550" s="19">
        <v>37.6</v>
      </c>
      <c r="O550" s="19">
        <v>-94</v>
      </c>
      <c r="P550" s="48">
        <v>94</v>
      </c>
      <c r="Q550" s="17">
        <v>0</v>
      </c>
      <c r="R550" s="24">
        <v>244.4</v>
      </c>
      <c r="S550" s="18" t="s">
        <v>28</v>
      </c>
      <c r="T550" s="25">
        <v>5</v>
      </c>
    </row>
    <row r="551" spans="1:20" s="26" customFormat="1" x14ac:dyDescent="0.25">
      <c r="A551" s="16">
        <v>224867</v>
      </c>
      <c r="B551" s="30" t="s">
        <v>277</v>
      </c>
      <c r="C551" s="20" t="s">
        <v>651</v>
      </c>
      <c r="D551" s="20" t="s">
        <v>717</v>
      </c>
      <c r="E551" s="20" t="s">
        <v>2619</v>
      </c>
      <c r="F551" s="20" t="s">
        <v>2620</v>
      </c>
      <c r="G551" s="21">
        <v>18.8</v>
      </c>
      <c r="H551" s="16">
        <v>16</v>
      </c>
      <c r="I551" s="16"/>
      <c r="J551" s="17">
        <v>300.8</v>
      </c>
      <c r="K551" s="22"/>
      <c r="L551" s="23"/>
      <c r="M551" s="23">
        <v>0</v>
      </c>
      <c r="N551" s="19">
        <v>37.6</v>
      </c>
      <c r="O551" s="19">
        <v>-94</v>
      </c>
      <c r="P551" s="48">
        <v>94</v>
      </c>
      <c r="Q551" s="17">
        <v>0</v>
      </c>
      <c r="R551" s="24">
        <v>300.8</v>
      </c>
      <c r="S551" s="18" t="s">
        <v>28</v>
      </c>
      <c r="T551" s="25">
        <v>5</v>
      </c>
    </row>
    <row r="552" spans="1:20" s="26" customFormat="1" x14ac:dyDescent="0.25">
      <c r="A552" s="16">
        <v>226476</v>
      </c>
      <c r="B552" s="30" t="s">
        <v>279</v>
      </c>
      <c r="C552" s="20" t="s">
        <v>651</v>
      </c>
      <c r="D552" s="20" t="s">
        <v>719</v>
      </c>
      <c r="E552" s="20" t="s">
        <v>2621</v>
      </c>
      <c r="F552" s="20" t="s">
        <v>2622</v>
      </c>
      <c r="G552" s="21">
        <v>18.8</v>
      </c>
      <c r="H552" s="16">
        <v>16</v>
      </c>
      <c r="I552" s="16"/>
      <c r="J552" s="17">
        <v>300.8</v>
      </c>
      <c r="K552" s="22"/>
      <c r="L552" s="23"/>
      <c r="M552" s="23">
        <v>0</v>
      </c>
      <c r="N552" s="19">
        <v>37.6</v>
      </c>
      <c r="O552" s="19">
        <v>-94</v>
      </c>
      <c r="P552" s="48">
        <v>94</v>
      </c>
      <c r="Q552" s="17">
        <v>0</v>
      </c>
      <c r="R552" s="24">
        <v>300.8</v>
      </c>
      <c r="S552" s="18" t="s">
        <v>28</v>
      </c>
      <c r="T552" s="25">
        <v>5</v>
      </c>
    </row>
    <row r="553" spans="1:20" s="26" customFormat="1" x14ac:dyDescent="0.25">
      <c r="A553" s="16">
        <v>228736</v>
      </c>
      <c r="B553" s="30" t="s">
        <v>280</v>
      </c>
      <c r="C553" s="20" t="s">
        <v>651</v>
      </c>
      <c r="D553" s="20" t="s">
        <v>719</v>
      </c>
      <c r="E553" s="20" t="s">
        <v>2623</v>
      </c>
      <c r="F553" s="20" t="s">
        <v>2624</v>
      </c>
      <c r="G553" s="21">
        <v>18.8</v>
      </c>
      <c r="H553" s="16">
        <v>16</v>
      </c>
      <c r="I553" s="16"/>
      <c r="J553" s="17">
        <v>300.8</v>
      </c>
      <c r="K553" s="22"/>
      <c r="L553" s="23"/>
      <c r="M553" s="23">
        <v>0</v>
      </c>
      <c r="N553" s="19">
        <v>37.6</v>
      </c>
      <c r="O553" s="19">
        <v>-94</v>
      </c>
      <c r="P553" s="48">
        <v>94</v>
      </c>
      <c r="Q553" s="17">
        <v>0</v>
      </c>
      <c r="R553" s="24">
        <v>300.8</v>
      </c>
      <c r="S553" s="18" t="s">
        <v>28</v>
      </c>
      <c r="T553" s="25">
        <v>5</v>
      </c>
    </row>
    <row r="554" spans="1:20" s="26" customFormat="1" x14ac:dyDescent="0.25">
      <c r="A554" s="16">
        <v>229009</v>
      </c>
      <c r="B554" s="30" t="s">
        <v>281</v>
      </c>
      <c r="C554" s="20" t="s">
        <v>651</v>
      </c>
      <c r="D554" s="20" t="s">
        <v>719</v>
      </c>
      <c r="E554" s="20" t="s">
        <v>2625</v>
      </c>
      <c r="F554" s="20" t="s">
        <v>2626</v>
      </c>
      <c r="G554" s="21">
        <v>20.100000000000001</v>
      </c>
      <c r="H554" s="16">
        <v>16</v>
      </c>
      <c r="I554" s="16"/>
      <c r="J554" s="17">
        <v>321.60000000000002</v>
      </c>
      <c r="K554" s="22"/>
      <c r="L554" s="23"/>
      <c r="M554" s="23">
        <v>0</v>
      </c>
      <c r="N554" s="19">
        <v>40.200000000000003</v>
      </c>
      <c r="O554" s="19">
        <v>-100.5</v>
      </c>
      <c r="P554" s="48">
        <v>100.5</v>
      </c>
      <c r="Q554" s="17">
        <v>0</v>
      </c>
      <c r="R554" s="24">
        <v>321.60000000000002</v>
      </c>
      <c r="S554" s="18" t="s">
        <v>28</v>
      </c>
      <c r="T554" s="25">
        <v>5</v>
      </c>
    </row>
    <row r="555" spans="1:20" s="26" customFormat="1" x14ac:dyDescent="0.25">
      <c r="A555" s="16">
        <v>229167</v>
      </c>
      <c r="B555" s="30" t="s">
        <v>282</v>
      </c>
      <c r="C555" s="20" t="s">
        <v>651</v>
      </c>
      <c r="D555" s="20" t="s">
        <v>719</v>
      </c>
      <c r="E555" s="20" t="s">
        <v>2627</v>
      </c>
      <c r="F555" s="20" t="s">
        <v>2628</v>
      </c>
      <c r="G555" s="21">
        <v>13.4</v>
      </c>
      <c r="H555" s="16">
        <v>16</v>
      </c>
      <c r="I555" s="16">
        <v>1</v>
      </c>
      <c r="J555" s="17">
        <v>201</v>
      </c>
      <c r="K555" s="22"/>
      <c r="L555" s="23"/>
      <c r="M555" s="23">
        <v>0</v>
      </c>
      <c r="N555" s="19">
        <v>26.8</v>
      </c>
      <c r="O555" s="19">
        <v>-67</v>
      </c>
      <c r="P555" s="48">
        <v>67</v>
      </c>
      <c r="Q555" s="17">
        <v>0</v>
      </c>
      <c r="R555" s="24">
        <v>201</v>
      </c>
      <c r="S555" s="18" t="s">
        <v>28</v>
      </c>
      <c r="T555" s="25">
        <v>5</v>
      </c>
    </row>
    <row r="556" spans="1:20" s="26" customFormat="1" x14ac:dyDescent="0.25">
      <c r="A556" s="16">
        <v>230000</v>
      </c>
      <c r="B556" s="30" t="s">
        <v>1450</v>
      </c>
      <c r="C556" s="20" t="s">
        <v>651</v>
      </c>
      <c r="D556" s="20" t="s">
        <v>719</v>
      </c>
      <c r="E556" s="20" t="s">
        <v>2629</v>
      </c>
      <c r="F556" s="20" t="s">
        <v>2630</v>
      </c>
      <c r="G556" s="21">
        <v>18.8</v>
      </c>
      <c r="H556" s="16">
        <v>16</v>
      </c>
      <c r="I556" s="16"/>
      <c r="J556" s="17">
        <v>300.8</v>
      </c>
      <c r="K556" s="22"/>
      <c r="L556" s="23"/>
      <c r="M556" s="23">
        <v>0</v>
      </c>
      <c r="N556" s="19">
        <v>37.6</v>
      </c>
      <c r="O556" s="19">
        <v>-94</v>
      </c>
      <c r="P556" s="48">
        <v>94</v>
      </c>
      <c r="Q556" s="17">
        <v>0</v>
      </c>
      <c r="R556" s="24">
        <v>300.8</v>
      </c>
      <c r="S556" s="18" t="s">
        <v>28</v>
      </c>
      <c r="T556" s="25">
        <v>5</v>
      </c>
    </row>
    <row r="557" spans="1:20" s="26" customFormat="1" x14ac:dyDescent="0.25">
      <c r="A557" s="16">
        <v>230793</v>
      </c>
      <c r="B557" s="30" t="s">
        <v>236</v>
      </c>
      <c r="C557" s="20" t="s">
        <v>651</v>
      </c>
      <c r="D557" s="20" t="s">
        <v>719</v>
      </c>
      <c r="E557" s="20" t="s">
        <v>2631</v>
      </c>
      <c r="F557" s="20" t="s">
        <v>2632</v>
      </c>
      <c r="G557" s="21">
        <v>18.8</v>
      </c>
      <c r="H557" s="16">
        <v>16</v>
      </c>
      <c r="I557" s="16"/>
      <c r="J557" s="17">
        <v>300.8</v>
      </c>
      <c r="K557" s="22"/>
      <c r="L557" s="23"/>
      <c r="M557" s="23">
        <v>0</v>
      </c>
      <c r="N557" s="19">
        <v>37.6</v>
      </c>
      <c r="O557" s="19">
        <v>-94</v>
      </c>
      <c r="P557" s="48">
        <v>94</v>
      </c>
      <c r="Q557" s="17">
        <v>0</v>
      </c>
      <c r="R557" s="24">
        <v>300.8</v>
      </c>
      <c r="S557" s="18" t="s">
        <v>28</v>
      </c>
      <c r="T557" s="25">
        <v>5</v>
      </c>
    </row>
    <row r="558" spans="1:20" s="26" customFormat="1" x14ac:dyDescent="0.25">
      <c r="A558" s="16">
        <v>231071</v>
      </c>
      <c r="B558" s="30" t="s">
        <v>1067</v>
      </c>
      <c r="C558" s="20" t="s">
        <v>651</v>
      </c>
      <c r="D558" s="20" t="s">
        <v>717</v>
      </c>
      <c r="E558" s="20" t="s">
        <v>2633</v>
      </c>
      <c r="F558" s="20" t="s">
        <v>2634</v>
      </c>
      <c r="G558" s="21">
        <v>18.8</v>
      </c>
      <c r="H558" s="16">
        <v>16</v>
      </c>
      <c r="I558" s="16">
        <v>1</v>
      </c>
      <c r="J558" s="17">
        <v>282</v>
      </c>
      <c r="K558" s="22"/>
      <c r="L558" s="23"/>
      <c r="M558" s="23">
        <v>0</v>
      </c>
      <c r="N558" s="19">
        <v>37.6</v>
      </c>
      <c r="O558" s="19">
        <v>-94</v>
      </c>
      <c r="P558" s="48">
        <v>94</v>
      </c>
      <c r="Q558" s="17">
        <v>0</v>
      </c>
      <c r="R558" s="24">
        <v>282</v>
      </c>
      <c r="S558" s="18" t="s">
        <v>28</v>
      </c>
      <c r="T558" s="25">
        <v>5</v>
      </c>
    </row>
    <row r="559" spans="1:20" s="26" customFormat="1" x14ac:dyDescent="0.25">
      <c r="A559" s="16">
        <v>231074</v>
      </c>
      <c r="B559" s="30" t="s">
        <v>1451</v>
      </c>
      <c r="C559" s="20" t="s">
        <v>651</v>
      </c>
      <c r="D559" s="20" t="s">
        <v>716</v>
      </c>
      <c r="E559" s="20" t="s">
        <v>2635</v>
      </c>
      <c r="F559" s="20" t="s">
        <v>2636</v>
      </c>
      <c r="G559" s="21">
        <v>18.8</v>
      </c>
      <c r="H559" s="16">
        <v>16</v>
      </c>
      <c r="I559" s="16"/>
      <c r="J559" s="17">
        <v>300.8</v>
      </c>
      <c r="K559" s="22"/>
      <c r="L559" s="23"/>
      <c r="M559" s="23">
        <v>0</v>
      </c>
      <c r="N559" s="19">
        <v>37.6</v>
      </c>
      <c r="O559" s="19">
        <v>-94</v>
      </c>
      <c r="P559" s="48">
        <v>94</v>
      </c>
      <c r="Q559" s="17">
        <v>0</v>
      </c>
      <c r="R559" s="24">
        <v>300.8</v>
      </c>
      <c r="S559" s="18" t="s">
        <v>28</v>
      </c>
      <c r="T559" s="25">
        <v>5</v>
      </c>
    </row>
    <row r="560" spans="1:20" s="26" customFormat="1" x14ac:dyDescent="0.25">
      <c r="A560" s="16">
        <v>231274</v>
      </c>
      <c r="B560" s="30" t="s">
        <v>791</v>
      </c>
      <c r="C560" s="20" t="s">
        <v>651</v>
      </c>
      <c r="D560" s="20" t="s">
        <v>716</v>
      </c>
      <c r="E560" s="20" t="s">
        <v>2637</v>
      </c>
      <c r="F560" s="20" t="s">
        <v>2638</v>
      </c>
      <c r="G560" s="21">
        <v>18.8</v>
      </c>
      <c r="H560" s="16">
        <v>16</v>
      </c>
      <c r="I560" s="16">
        <v>1</v>
      </c>
      <c r="J560" s="17">
        <v>282</v>
      </c>
      <c r="K560" s="22"/>
      <c r="L560" s="23"/>
      <c r="M560" s="23">
        <v>0</v>
      </c>
      <c r="N560" s="19">
        <v>37.6</v>
      </c>
      <c r="O560" s="19">
        <v>-94</v>
      </c>
      <c r="P560" s="48">
        <v>94</v>
      </c>
      <c r="Q560" s="17">
        <v>0</v>
      </c>
      <c r="R560" s="24">
        <v>282</v>
      </c>
      <c r="S560" s="18" t="s">
        <v>28</v>
      </c>
      <c r="T560" s="25">
        <v>5</v>
      </c>
    </row>
    <row r="561" spans="1:20" s="26" customFormat="1" x14ac:dyDescent="0.25">
      <c r="A561" s="16">
        <v>231947</v>
      </c>
      <c r="B561" s="30" t="s">
        <v>825</v>
      </c>
      <c r="C561" s="20" t="s">
        <v>651</v>
      </c>
      <c r="D561" s="20" t="s">
        <v>719</v>
      </c>
      <c r="E561" s="20" t="s">
        <v>2639</v>
      </c>
      <c r="F561" s="20" t="s">
        <v>2640</v>
      </c>
      <c r="G561" s="21">
        <v>18.8</v>
      </c>
      <c r="H561" s="16">
        <v>16</v>
      </c>
      <c r="I561" s="16"/>
      <c r="J561" s="17">
        <v>300.8</v>
      </c>
      <c r="K561" s="22"/>
      <c r="L561" s="23"/>
      <c r="M561" s="23">
        <v>0</v>
      </c>
      <c r="N561" s="19">
        <v>37.6</v>
      </c>
      <c r="O561" s="19">
        <v>-94</v>
      </c>
      <c r="P561" s="48">
        <v>94</v>
      </c>
      <c r="Q561" s="17">
        <v>0</v>
      </c>
      <c r="R561" s="24">
        <v>300.8</v>
      </c>
      <c r="S561" s="18" t="s">
        <v>28</v>
      </c>
      <c r="T561" s="25">
        <v>5</v>
      </c>
    </row>
    <row r="562" spans="1:20" s="26" customFormat="1" x14ac:dyDescent="0.25">
      <c r="A562" s="16">
        <v>232238</v>
      </c>
      <c r="B562" s="30" t="s">
        <v>1452</v>
      </c>
      <c r="C562" s="20" t="s">
        <v>651</v>
      </c>
      <c r="D562" s="20" t="s">
        <v>716</v>
      </c>
      <c r="E562" s="20" t="s">
        <v>2641</v>
      </c>
      <c r="F562" s="20" t="s">
        <v>2642</v>
      </c>
      <c r="G562" s="21">
        <v>13.4</v>
      </c>
      <c r="H562" s="16">
        <v>16</v>
      </c>
      <c r="I562" s="16"/>
      <c r="J562" s="17">
        <v>214.4</v>
      </c>
      <c r="K562" s="22"/>
      <c r="L562" s="23">
        <v>47.85</v>
      </c>
      <c r="M562" s="23">
        <v>47.85</v>
      </c>
      <c r="N562" s="19">
        <v>26.8</v>
      </c>
      <c r="O562" s="19">
        <v>-19.149999999999999</v>
      </c>
      <c r="P562" s="48">
        <v>67</v>
      </c>
      <c r="Q562" s="17">
        <v>0</v>
      </c>
      <c r="R562" s="24">
        <v>214.4</v>
      </c>
      <c r="S562" s="18" t="s">
        <v>28</v>
      </c>
      <c r="T562" s="25">
        <v>5</v>
      </c>
    </row>
    <row r="563" spans="1:20" s="26" customFormat="1" x14ac:dyDescent="0.25">
      <c r="A563" s="16">
        <v>232590</v>
      </c>
      <c r="B563" s="30" t="s">
        <v>939</v>
      </c>
      <c r="C563" s="20" t="s">
        <v>651</v>
      </c>
      <c r="D563" s="20" t="s">
        <v>719</v>
      </c>
      <c r="E563" s="20" t="s">
        <v>2643</v>
      </c>
      <c r="F563" s="20" t="s">
        <v>2644</v>
      </c>
      <c r="G563" s="21">
        <v>13.4</v>
      </c>
      <c r="H563" s="16">
        <v>16</v>
      </c>
      <c r="I563" s="16"/>
      <c r="J563" s="17">
        <v>214.4</v>
      </c>
      <c r="K563" s="22"/>
      <c r="L563" s="23"/>
      <c r="M563" s="23">
        <v>0</v>
      </c>
      <c r="N563" s="19">
        <v>26.8</v>
      </c>
      <c r="O563" s="19">
        <v>-67</v>
      </c>
      <c r="P563" s="48">
        <v>67</v>
      </c>
      <c r="Q563" s="17">
        <v>0</v>
      </c>
      <c r="R563" s="24">
        <v>214.4</v>
      </c>
      <c r="S563" s="18" t="s">
        <v>28</v>
      </c>
      <c r="T563" s="25">
        <v>5</v>
      </c>
    </row>
    <row r="564" spans="1:20" s="26" customFormat="1" x14ac:dyDescent="0.25">
      <c r="A564" s="16">
        <v>232714</v>
      </c>
      <c r="B564" s="30" t="s">
        <v>940</v>
      </c>
      <c r="C564" s="20" t="s">
        <v>651</v>
      </c>
      <c r="D564" s="20" t="s">
        <v>716</v>
      </c>
      <c r="E564" s="20" t="s">
        <v>2645</v>
      </c>
      <c r="F564" s="20" t="s">
        <v>2646</v>
      </c>
      <c r="G564" s="21">
        <v>13.4</v>
      </c>
      <c r="H564" s="16">
        <v>16</v>
      </c>
      <c r="I564" s="16"/>
      <c r="J564" s="17">
        <v>214.4</v>
      </c>
      <c r="K564" s="22"/>
      <c r="L564" s="23"/>
      <c r="M564" s="23">
        <v>0</v>
      </c>
      <c r="N564" s="19">
        <v>26.8</v>
      </c>
      <c r="O564" s="19">
        <v>-67</v>
      </c>
      <c r="P564" s="48">
        <v>67</v>
      </c>
      <c r="Q564" s="17">
        <v>0</v>
      </c>
      <c r="R564" s="24">
        <v>214.4</v>
      </c>
      <c r="S564" s="18" t="s">
        <v>28</v>
      </c>
      <c r="T564" s="25">
        <v>5</v>
      </c>
    </row>
    <row r="565" spans="1:20" s="26" customFormat="1" x14ac:dyDescent="0.25">
      <c r="A565" s="16">
        <v>233096</v>
      </c>
      <c r="B565" s="30" t="s">
        <v>986</v>
      </c>
      <c r="C565" s="20" t="s">
        <v>651</v>
      </c>
      <c r="D565" s="20" t="s">
        <v>716</v>
      </c>
      <c r="E565" s="20" t="s">
        <v>2647</v>
      </c>
      <c r="F565" s="20" t="s">
        <v>2648</v>
      </c>
      <c r="G565" s="21">
        <v>13.4</v>
      </c>
      <c r="H565" s="16">
        <v>16</v>
      </c>
      <c r="I565" s="16">
        <v>4</v>
      </c>
      <c r="J565" s="17">
        <v>160.80000000000001</v>
      </c>
      <c r="K565" s="22"/>
      <c r="L565" s="23"/>
      <c r="M565" s="23">
        <v>0</v>
      </c>
      <c r="N565" s="19">
        <v>26.8</v>
      </c>
      <c r="O565" s="19">
        <v>-67</v>
      </c>
      <c r="P565" s="48">
        <v>67</v>
      </c>
      <c r="Q565" s="17">
        <v>0</v>
      </c>
      <c r="R565" s="24">
        <v>160.80000000000001</v>
      </c>
      <c r="S565" s="18" t="s">
        <v>28</v>
      </c>
      <c r="T565" s="25">
        <v>5</v>
      </c>
    </row>
    <row r="566" spans="1:20" s="26" customFormat="1" x14ac:dyDescent="0.25">
      <c r="A566" s="16">
        <v>233097</v>
      </c>
      <c r="B566" s="30" t="s">
        <v>987</v>
      </c>
      <c r="C566" s="20" t="s">
        <v>651</v>
      </c>
      <c r="D566" s="20" t="s">
        <v>716</v>
      </c>
      <c r="E566" s="20" t="s">
        <v>2649</v>
      </c>
      <c r="F566" s="20" t="s">
        <v>2650</v>
      </c>
      <c r="G566" s="21">
        <v>13.4</v>
      </c>
      <c r="H566" s="16">
        <v>16</v>
      </c>
      <c r="I566" s="16"/>
      <c r="J566" s="17">
        <v>214.4</v>
      </c>
      <c r="K566" s="22"/>
      <c r="L566" s="23"/>
      <c r="M566" s="23">
        <v>0</v>
      </c>
      <c r="N566" s="19">
        <v>26.8</v>
      </c>
      <c r="O566" s="19">
        <v>-67</v>
      </c>
      <c r="P566" s="48">
        <v>67</v>
      </c>
      <c r="Q566" s="17">
        <v>0</v>
      </c>
      <c r="R566" s="24">
        <v>214.4</v>
      </c>
      <c r="S566" s="18" t="s">
        <v>28</v>
      </c>
      <c r="T566" s="25">
        <v>5</v>
      </c>
    </row>
    <row r="567" spans="1:20" s="26" customFormat="1" x14ac:dyDescent="0.25">
      <c r="A567" s="16">
        <v>233142</v>
      </c>
      <c r="B567" s="30" t="s">
        <v>988</v>
      </c>
      <c r="C567" s="20" t="s">
        <v>651</v>
      </c>
      <c r="D567" s="20" t="s">
        <v>716</v>
      </c>
      <c r="E567" s="20" t="s">
        <v>2651</v>
      </c>
      <c r="F567" s="20" t="s">
        <v>2652</v>
      </c>
      <c r="G567" s="21">
        <v>13.4</v>
      </c>
      <c r="H567" s="16">
        <v>26</v>
      </c>
      <c r="I567" s="16"/>
      <c r="J567" s="17">
        <v>348.40000000000003</v>
      </c>
      <c r="K567" s="22"/>
      <c r="L567" s="23"/>
      <c r="M567" s="23">
        <v>0</v>
      </c>
      <c r="N567" s="19">
        <v>26.8</v>
      </c>
      <c r="O567" s="19">
        <v>-67</v>
      </c>
      <c r="P567" s="48">
        <v>67</v>
      </c>
      <c r="Q567" s="17">
        <v>0</v>
      </c>
      <c r="R567" s="24">
        <v>348.40000000000003</v>
      </c>
      <c r="S567" s="18" t="s">
        <v>28</v>
      </c>
      <c r="T567" s="25">
        <v>5</v>
      </c>
    </row>
    <row r="568" spans="1:20" s="26" customFormat="1" x14ac:dyDescent="0.25">
      <c r="A568" s="16">
        <v>233425</v>
      </c>
      <c r="B568" s="30" t="s">
        <v>1068</v>
      </c>
      <c r="C568" s="20" t="s">
        <v>651</v>
      </c>
      <c r="D568" s="20" t="s">
        <v>716</v>
      </c>
      <c r="E568" s="20" t="s">
        <v>2653</v>
      </c>
      <c r="F568" s="20" t="s">
        <v>2654</v>
      </c>
      <c r="G568" s="21">
        <v>18.8</v>
      </c>
      <c r="H568" s="16">
        <v>16</v>
      </c>
      <c r="I568" s="16"/>
      <c r="J568" s="17">
        <v>300.8</v>
      </c>
      <c r="K568" s="22"/>
      <c r="L568" s="23"/>
      <c r="M568" s="23">
        <v>0</v>
      </c>
      <c r="N568" s="19">
        <v>37.6</v>
      </c>
      <c r="O568" s="19">
        <v>-94</v>
      </c>
      <c r="P568" s="48">
        <v>94</v>
      </c>
      <c r="Q568" s="17">
        <v>0</v>
      </c>
      <c r="R568" s="24">
        <v>300.8</v>
      </c>
      <c r="S568" s="18" t="s">
        <v>28</v>
      </c>
      <c r="T568" s="25">
        <v>5</v>
      </c>
    </row>
    <row r="569" spans="1:20" s="26" customFormat="1" x14ac:dyDescent="0.25">
      <c r="A569" s="16">
        <v>233454</v>
      </c>
      <c r="B569" s="30" t="s">
        <v>1069</v>
      </c>
      <c r="C569" s="20" t="s">
        <v>651</v>
      </c>
      <c r="D569" s="20" t="s">
        <v>716</v>
      </c>
      <c r="E569" s="20" t="s">
        <v>2655</v>
      </c>
      <c r="F569" s="20" t="s">
        <v>2656</v>
      </c>
      <c r="G569" s="21">
        <v>18.8</v>
      </c>
      <c r="H569" s="16">
        <v>16</v>
      </c>
      <c r="I569" s="16"/>
      <c r="J569" s="17">
        <v>300.8</v>
      </c>
      <c r="K569" s="22"/>
      <c r="L569" s="23"/>
      <c r="M569" s="23">
        <v>0</v>
      </c>
      <c r="N569" s="19">
        <v>37.6</v>
      </c>
      <c r="O569" s="19">
        <v>-94</v>
      </c>
      <c r="P569" s="48">
        <v>94</v>
      </c>
      <c r="Q569" s="17">
        <v>0</v>
      </c>
      <c r="R569" s="24">
        <v>300.8</v>
      </c>
      <c r="S569" s="18" t="s">
        <v>28</v>
      </c>
      <c r="T569" s="25">
        <v>5</v>
      </c>
    </row>
    <row r="570" spans="1:20" s="26" customFormat="1" x14ac:dyDescent="0.25">
      <c r="A570" s="16">
        <v>233547</v>
      </c>
      <c r="B570" s="30" t="s">
        <v>1070</v>
      </c>
      <c r="C570" s="20" t="s">
        <v>651</v>
      </c>
      <c r="D570" s="20" t="s">
        <v>716</v>
      </c>
      <c r="E570" s="20" t="s">
        <v>2657</v>
      </c>
      <c r="F570" s="20" t="s">
        <v>2658</v>
      </c>
      <c r="G570" s="21">
        <v>13.4</v>
      </c>
      <c r="H570" s="16">
        <v>16</v>
      </c>
      <c r="I570" s="16">
        <v>3</v>
      </c>
      <c r="J570" s="17">
        <v>174.20000000000002</v>
      </c>
      <c r="K570" s="22"/>
      <c r="L570" s="23"/>
      <c r="M570" s="23">
        <v>0</v>
      </c>
      <c r="N570" s="19">
        <v>26.8</v>
      </c>
      <c r="O570" s="19">
        <v>-67</v>
      </c>
      <c r="P570" s="48">
        <v>67</v>
      </c>
      <c r="Q570" s="17">
        <v>0</v>
      </c>
      <c r="R570" s="24">
        <v>174.20000000000002</v>
      </c>
      <c r="S570" s="18" t="s">
        <v>28</v>
      </c>
      <c r="T570" s="25">
        <v>5</v>
      </c>
    </row>
    <row r="571" spans="1:20" s="26" customFormat="1" x14ac:dyDescent="0.25">
      <c r="A571" s="16">
        <v>233566</v>
      </c>
      <c r="B571" s="30" t="s">
        <v>1071</v>
      </c>
      <c r="C571" s="20" t="s">
        <v>651</v>
      </c>
      <c r="D571" s="20" t="s">
        <v>716</v>
      </c>
      <c r="E571" s="20" t="s">
        <v>2659</v>
      </c>
      <c r="F571" s="20" t="s">
        <v>2660</v>
      </c>
      <c r="G571" s="21">
        <v>18.8</v>
      </c>
      <c r="H571" s="16">
        <v>16</v>
      </c>
      <c r="I571" s="16"/>
      <c r="J571" s="17">
        <v>300.8</v>
      </c>
      <c r="K571" s="22"/>
      <c r="L571" s="23"/>
      <c r="M571" s="23">
        <v>0</v>
      </c>
      <c r="N571" s="19">
        <v>37.6</v>
      </c>
      <c r="O571" s="19">
        <v>-94</v>
      </c>
      <c r="P571" s="48">
        <v>94</v>
      </c>
      <c r="Q571" s="17">
        <v>0</v>
      </c>
      <c r="R571" s="24">
        <v>300.8</v>
      </c>
      <c r="S571" s="18" t="s">
        <v>28</v>
      </c>
      <c r="T571" s="25">
        <v>5</v>
      </c>
    </row>
    <row r="572" spans="1:20" s="26" customFormat="1" x14ac:dyDescent="0.25">
      <c r="A572" s="16">
        <v>233963</v>
      </c>
      <c r="B572" s="30" t="s">
        <v>1184</v>
      </c>
      <c r="C572" s="20" t="s">
        <v>651</v>
      </c>
      <c r="D572" s="20" t="s">
        <v>716</v>
      </c>
      <c r="E572" s="20" t="s">
        <v>2661</v>
      </c>
      <c r="F572" s="20" t="s">
        <v>2662</v>
      </c>
      <c r="G572" s="21">
        <v>18.8</v>
      </c>
      <c r="H572" s="16">
        <v>16</v>
      </c>
      <c r="I572" s="16"/>
      <c r="J572" s="17">
        <v>300.8</v>
      </c>
      <c r="K572" s="22"/>
      <c r="L572" s="23"/>
      <c r="M572" s="23">
        <v>0</v>
      </c>
      <c r="N572" s="19">
        <v>37.6</v>
      </c>
      <c r="O572" s="19">
        <v>-94</v>
      </c>
      <c r="P572" s="48">
        <v>94</v>
      </c>
      <c r="Q572" s="17">
        <v>0</v>
      </c>
      <c r="R572" s="24">
        <v>300.8</v>
      </c>
      <c r="S572" s="18" t="s">
        <v>28</v>
      </c>
      <c r="T572" s="25">
        <v>5</v>
      </c>
    </row>
    <row r="573" spans="1:20" s="26" customFormat="1" x14ac:dyDescent="0.25">
      <c r="A573" s="16">
        <v>233990</v>
      </c>
      <c r="B573" s="30" t="s">
        <v>1185</v>
      </c>
      <c r="C573" s="20" t="s">
        <v>651</v>
      </c>
      <c r="D573" s="20" t="s">
        <v>716</v>
      </c>
      <c r="E573" s="20" t="s">
        <v>2663</v>
      </c>
      <c r="F573" s="20" t="s">
        <v>2664</v>
      </c>
      <c r="G573" s="21">
        <v>18.8</v>
      </c>
      <c r="H573" s="16">
        <v>16</v>
      </c>
      <c r="I573" s="16"/>
      <c r="J573" s="17">
        <v>300.8</v>
      </c>
      <c r="K573" s="22"/>
      <c r="L573" s="23"/>
      <c r="M573" s="23">
        <v>0</v>
      </c>
      <c r="N573" s="19">
        <v>37.6</v>
      </c>
      <c r="O573" s="19">
        <v>-94</v>
      </c>
      <c r="P573" s="48">
        <v>94</v>
      </c>
      <c r="Q573" s="17">
        <v>0</v>
      </c>
      <c r="R573" s="24">
        <v>300.8</v>
      </c>
      <c r="S573" s="18" t="s">
        <v>28</v>
      </c>
      <c r="T573" s="25">
        <v>5</v>
      </c>
    </row>
    <row r="574" spans="1:20" s="26" customFormat="1" x14ac:dyDescent="0.25">
      <c r="A574" s="16">
        <v>234030</v>
      </c>
      <c r="B574" s="30" t="s">
        <v>1186</v>
      </c>
      <c r="C574" s="20" t="s">
        <v>651</v>
      </c>
      <c r="D574" s="20" t="s">
        <v>716</v>
      </c>
      <c r="E574" s="20" t="s">
        <v>2665</v>
      </c>
      <c r="F574" s="20" t="s">
        <v>2666</v>
      </c>
      <c r="G574" s="21">
        <v>18.8</v>
      </c>
      <c r="H574" s="16">
        <v>16</v>
      </c>
      <c r="I574" s="16">
        <v>5</v>
      </c>
      <c r="J574" s="17">
        <v>206.8</v>
      </c>
      <c r="K574" s="22"/>
      <c r="L574" s="23"/>
      <c r="M574" s="23">
        <v>0</v>
      </c>
      <c r="N574" s="19">
        <v>37.6</v>
      </c>
      <c r="O574" s="19">
        <v>-94</v>
      </c>
      <c r="P574" s="48">
        <v>94</v>
      </c>
      <c r="Q574" s="17">
        <v>0</v>
      </c>
      <c r="R574" s="24">
        <v>206.8</v>
      </c>
      <c r="S574" s="18" t="s">
        <v>28</v>
      </c>
      <c r="T574" s="25">
        <v>5</v>
      </c>
    </row>
    <row r="575" spans="1:20" s="26" customFormat="1" x14ac:dyDescent="0.25">
      <c r="A575" s="16">
        <v>234126</v>
      </c>
      <c r="B575" s="30" t="s">
        <v>1187</v>
      </c>
      <c r="C575" s="20" t="s">
        <v>651</v>
      </c>
      <c r="D575" s="20" t="s">
        <v>716</v>
      </c>
      <c r="E575" s="20" t="s">
        <v>2667</v>
      </c>
      <c r="F575" s="20" t="s">
        <v>2668</v>
      </c>
      <c r="G575" s="21">
        <v>13.4</v>
      </c>
      <c r="H575" s="16">
        <v>16</v>
      </c>
      <c r="I575" s="16"/>
      <c r="J575" s="17">
        <v>214.4</v>
      </c>
      <c r="K575" s="22"/>
      <c r="L575" s="23"/>
      <c r="M575" s="23">
        <v>0</v>
      </c>
      <c r="N575" s="19">
        <v>26.8</v>
      </c>
      <c r="O575" s="19">
        <v>-67</v>
      </c>
      <c r="P575" s="48">
        <v>67</v>
      </c>
      <c r="Q575" s="17">
        <v>0</v>
      </c>
      <c r="R575" s="24">
        <v>214.4</v>
      </c>
      <c r="S575" s="18" t="s">
        <v>28</v>
      </c>
      <c r="T575" s="25">
        <v>5</v>
      </c>
    </row>
    <row r="576" spans="1:20" s="26" customFormat="1" x14ac:dyDescent="0.25">
      <c r="A576" s="16">
        <v>234308</v>
      </c>
      <c r="B576" s="30" t="s">
        <v>1285</v>
      </c>
      <c r="C576" s="20" t="s">
        <v>651</v>
      </c>
      <c r="D576" s="20" t="s">
        <v>716</v>
      </c>
      <c r="E576" s="20" t="s">
        <v>2669</v>
      </c>
      <c r="F576" s="20" t="s">
        <v>2670</v>
      </c>
      <c r="G576" s="21">
        <v>18.8</v>
      </c>
      <c r="H576" s="16">
        <v>16</v>
      </c>
      <c r="I576" s="16">
        <v>1</v>
      </c>
      <c r="J576" s="17">
        <v>282</v>
      </c>
      <c r="K576" s="22"/>
      <c r="L576" s="23"/>
      <c r="M576" s="23">
        <v>0</v>
      </c>
      <c r="N576" s="19">
        <v>37.6</v>
      </c>
      <c r="O576" s="19">
        <v>-94</v>
      </c>
      <c r="P576" s="48">
        <v>94</v>
      </c>
      <c r="Q576" s="17">
        <v>0</v>
      </c>
      <c r="R576" s="24">
        <v>282</v>
      </c>
      <c r="S576" s="18" t="s">
        <v>28</v>
      </c>
      <c r="T576" s="25">
        <v>5</v>
      </c>
    </row>
    <row r="577" spans="1:20" s="26" customFormat="1" x14ac:dyDescent="0.25">
      <c r="A577" s="16">
        <v>234443</v>
      </c>
      <c r="B577" s="30" t="s">
        <v>1286</v>
      </c>
      <c r="C577" s="20" t="s">
        <v>651</v>
      </c>
      <c r="D577" s="20" t="s">
        <v>716</v>
      </c>
      <c r="E577" s="20" t="s">
        <v>2671</v>
      </c>
      <c r="F577" s="20" t="s">
        <v>2672</v>
      </c>
      <c r="G577" s="21">
        <v>18.8</v>
      </c>
      <c r="H577" s="16">
        <v>16</v>
      </c>
      <c r="I577" s="16"/>
      <c r="J577" s="17">
        <v>300.8</v>
      </c>
      <c r="K577" s="22"/>
      <c r="L577" s="23"/>
      <c r="M577" s="23">
        <v>0</v>
      </c>
      <c r="N577" s="19">
        <v>37.6</v>
      </c>
      <c r="O577" s="19">
        <v>-94</v>
      </c>
      <c r="P577" s="48">
        <v>94</v>
      </c>
      <c r="Q577" s="17">
        <v>0</v>
      </c>
      <c r="R577" s="24">
        <v>300.8</v>
      </c>
      <c r="S577" s="18" t="s">
        <v>28</v>
      </c>
      <c r="T577" s="25">
        <v>5</v>
      </c>
    </row>
    <row r="578" spans="1:20" s="26" customFormat="1" x14ac:dyDescent="0.25">
      <c r="A578" s="16">
        <v>234576</v>
      </c>
      <c r="B578" s="30" t="s">
        <v>1312</v>
      </c>
      <c r="C578" s="20" t="s">
        <v>651</v>
      </c>
      <c r="D578" s="20" t="s">
        <v>716</v>
      </c>
      <c r="E578" s="20" t="s">
        <v>2673</v>
      </c>
      <c r="F578" s="20" t="s">
        <v>2674</v>
      </c>
      <c r="G578" s="21">
        <v>18.8</v>
      </c>
      <c r="H578" s="16">
        <v>26</v>
      </c>
      <c r="I578" s="16"/>
      <c r="J578" s="17">
        <v>488.8</v>
      </c>
      <c r="K578" s="22"/>
      <c r="L578" s="23"/>
      <c r="M578" s="23">
        <v>0</v>
      </c>
      <c r="N578" s="19">
        <v>37.6</v>
      </c>
      <c r="O578" s="19">
        <v>-94</v>
      </c>
      <c r="P578" s="48">
        <v>94</v>
      </c>
      <c r="Q578" s="17">
        <v>0</v>
      </c>
      <c r="R578" s="24">
        <v>488.8</v>
      </c>
      <c r="S578" s="18" t="s">
        <v>28</v>
      </c>
      <c r="T578" s="25">
        <v>5</v>
      </c>
    </row>
    <row r="579" spans="1:20" s="26" customFormat="1" x14ac:dyDescent="0.25">
      <c r="A579" s="16">
        <v>234644</v>
      </c>
      <c r="B579" s="30" t="s">
        <v>1313</v>
      </c>
      <c r="C579" s="20" t="s">
        <v>651</v>
      </c>
      <c r="D579" s="20" t="s">
        <v>716</v>
      </c>
      <c r="E579" s="20" t="s">
        <v>2675</v>
      </c>
      <c r="F579" s="20" t="s">
        <v>2676</v>
      </c>
      <c r="G579" s="21">
        <v>18.8</v>
      </c>
      <c r="H579" s="16">
        <v>16</v>
      </c>
      <c r="I579" s="16"/>
      <c r="J579" s="17">
        <v>300.8</v>
      </c>
      <c r="K579" s="22"/>
      <c r="L579" s="23">
        <v>282</v>
      </c>
      <c r="M579" s="23">
        <v>282</v>
      </c>
      <c r="N579" s="19">
        <v>37.6</v>
      </c>
      <c r="O579" s="19">
        <v>188</v>
      </c>
      <c r="P579" s="48">
        <v>94</v>
      </c>
      <c r="Q579" s="17">
        <v>188</v>
      </c>
      <c r="R579" s="24">
        <v>112.80000000000001</v>
      </c>
      <c r="S579" s="18" t="s">
        <v>11</v>
      </c>
      <c r="T579" s="25">
        <v>5</v>
      </c>
    </row>
    <row r="580" spans="1:20" s="26" customFormat="1" x14ac:dyDescent="0.25">
      <c r="A580" s="16">
        <v>234717</v>
      </c>
      <c r="B580" s="30" t="s">
        <v>1357</v>
      </c>
      <c r="C580" s="20" t="s">
        <v>651</v>
      </c>
      <c r="D580" s="20" t="s">
        <v>716</v>
      </c>
      <c r="E580" s="20" t="s">
        <v>2677</v>
      </c>
      <c r="F580" s="20" t="s">
        <v>2678</v>
      </c>
      <c r="G580" s="21">
        <v>13.4</v>
      </c>
      <c r="H580" s="16">
        <v>16</v>
      </c>
      <c r="I580" s="16"/>
      <c r="J580" s="17">
        <v>214.4</v>
      </c>
      <c r="K580" s="22"/>
      <c r="L580" s="23"/>
      <c r="M580" s="23">
        <v>0</v>
      </c>
      <c r="N580" s="19">
        <v>26.8</v>
      </c>
      <c r="O580" s="19">
        <v>-67</v>
      </c>
      <c r="P580" s="48">
        <v>67</v>
      </c>
      <c r="Q580" s="17">
        <v>0</v>
      </c>
      <c r="R580" s="24">
        <v>214.4</v>
      </c>
      <c r="S580" s="18" t="s">
        <v>28</v>
      </c>
      <c r="T580" s="25">
        <v>5</v>
      </c>
    </row>
    <row r="581" spans="1:20" s="26" customFormat="1" x14ac:dyDescent="0.25">
      <c r="A581" s="16">
        <v>234984</v>
      </c>
      <c r="B581" s="30" t="s">
        <v>1453</v>
      </c>
      <c r="C581" s="20" t="s">
        <v>651</v>
      </c>
      <c r="D581" s="20" t="s">
        <v>719</v>
      </c>
      <c r="E581" s="20">
        <v>0</v>
      </c>
      <c r="F581" s="20" t="s">
        <v>4181</v>
      </c>
      <c r="G581" s="21">
        <v>18.8</v>
      </c>
      <c r="H581" s="16">
        <v>0</v>
      </c>
      <c r="I581" s="16"/>
      <c r="J581" s="17">
        <v>0</v>
      </c>
      <c r="K581" s="22"/>
      <c r="L581" s="23"/>
      <c r="M581" s="23">
        <v>0</v>
      </c>
      <c r="N581" s="19">
        <v>37.6</v>
      </c>
      <c r="O581" s="19">
        <v>-94</v>
      </c>
      <c r="P581" s="48">
        <v>94</v>
      </c>
      <c r="Q581" s="17">
        <v>0</v>
      </c>
      <c r="R581" s="24">
        <v>0</v>
      </c>
      <c r="S581" s="18" t="s">
        <v>12</v>
      </c>
      <c r="T581" s="25">
        <v>5</v>
      </c>
    </row>
    <row r="582" spans="1:20" s="26" customFormat="1" x14ac:dyDescent="0.25">
      <c r="A582" s="16">
        <v>100218</v>
      </c>
      <c r="B582" s="30" t="s">
        <v>283</v>
      </c>
      <c r="C582" s="20" t="s">
        <v>657</v>
      </c>
      <c r="D582" s="20" t="s">
        <v>742</v>
      </c>
      <c r="E582" s="20" t="s">
        <v>2679</v>
      </c>
      <c r="F582" s="20" t="s">
        <v>2680</v>
      </c>
      <c r="G582" s="21">
        <v>35</v>
      </c>
      <c r="H582" s="16">
        <v>26</v>
      </c>
      <c r="I582" s="16">
        <v>1</v>
      </c>
      <c r="J582" s="17">
        <v>875</v>
      </c>
      <c r="K582" s="22"/>
      <c r="L582" s="23"/>
      <c r="M582" s="23">
        <v>0</v>
      </c>
      <c r="N582" s="19">
        <v>70</v>
      </c>
      <c r="O582" s="19">
        <v>-175</v>
      </c>
      <c r="P582" s="48">
        <v>175</v>
      </c>
      <c r="Q582" s="17">
        <v>0</v>
      </c>
      <c r="R582" s="24">
        <v>875</v>
      </c>
      <c r="S582" s="18" t="s">
        <v>28</v>
      </c>
      <c r="T582" s="25">
        <v>5</v>
      </c>
    </row>
    <row r="583" spans="1:20" s="26" customFormat="1" x14ac:dyDescent="0.25">
      <c r="A583" s="16">
        <v>4179</v>
      </c>
      <c r="B583" s="30" t="s">
        <v>285</v>
      </c>
      <c r="C583" s="20" t="s">
        <v>635</v>
      </c>
      <c r="D583" s="20" t="s">
        <v>698</v>
      </c>
      <c r="E583" s="20" t="s">
        <v>2681</v>
      </c>
      <c r="F583" s="20" t="s">
        <v>2682</v>
      </c>
      <c r="G583" s="21">
        <v>18.8</v>
      </c>
      <c r="H583" s="16">
        <v>26</v>
      </c>
      <c r="I583" s="16"/>
      <c r="J583" s="17">
        <v>488.8</v>
      </c>
      <c r="K583" s="22"/>
      <c r="L583" s="23"/>
      <c r="M583" s="23">
        <v>0</v>
      </c>
      <c r="N583" s="19">
        <v>37.6</v>
      </c>
      <c r="O583" s="19">
        <v>-94</v>
      </c>
      <c r="P583" s="48">
        <v>94</v>
      </c>
      <c r="Q583" s="17">
        <v>0</v>
      </c>
      <c r="R583" s="24">
        <v>488.8</v>
      </c>
      <c r="S583" s="18" t="s">
        <v>28</v>
      </c>
      <c r="T583" s="25">
        <v>5</v>
      </c>
    </row>
    <row r="584" spans="1:20" s="26" customFormat="1" x14ac:dyDescent="0.25">
      <c r="A584" s="16">
        <v>5126</v>
      </c>
      <c r="B584" s="30" t="s">
        <v>1454</v>
      </c>
      <c r="C584" s="20" t="s">
        <v>635</v>
      </c>
      <c r="D584" s="20" t="s">
        <v>689</v>
      </c>
      <c r="E584" s="20" t="s">
        <v>2683</v>
      </c>
      <c r="F584" s="20" t="s">
        <v>2684</v>
      </c>
      <c r="G584" s="21">
        <v>18.8</v>
      </c>
      <c r="H584" s="16">
        <v>22</v>
      </c>
      <c r="I584" s="16"/>
      <c r="J584" s="17">
        <v>413.6</v>
      </c>
      <c r="K584" s="22"/>
      <c r="L584" s="23"/>
      <c r="M584" s="23">
        <v>0</v>
      </c>
      <c r="N584" s="19">
        <v>37.6</v>
      </c>
      <c r="O584" s="19">
        <v>-94</v>
      </c>
      <c r="P584" s="48">
        <v>94</v>
      </c>
      <c r="Q584" s="17">
        <v>0</v>
      </c>
      <c r="R584" s="24">
        <v>413.6</v>
      </c>
      <c r="S584" s="18" t="s">
        <v>28</v>
      </c>
      <c r="T584" s="25">
        <v>5</v>
      </c>
    </row>
    <row r="585" spans="1:20" s="26" customFormat="1" x14ac:dyDescent="0.25">
      <c r="A585" s="16">
        <v>218201</v>
      </c>
      <c r="B585" s="30" t="s">
        <v>286</v>
      </c>
      <c r="C585" s="20" t="s">
        <v>635</v>
      </c>
      <c r="D585" s="20" t="s">
        <v>689</v>
      </c>
      <c r="E585" s="20" t="s">
        <v>2685</v>
      </c>
      <c r="F585" s="20" t="s">
        <v>2686</v>
      </c>
      <c r="G585" s="21">
        <v>18.8</v>
      </c>
      <c r="H585" s="16">
        <v>22</v>
      </c>
      <c r="I585" s="16"/>
      <c r="J585" s="17">
        <v>413.6</v>
      </c>
      <c r="K585" s="22"/>
      <c r="L585" s="23"/>
      <c r="M585" s="23">
        <v>0</v>
      </c>
      <c r="N585" s="19">
        <v>37.6</v>
      </c>
      <c r="O585" s="19">
        <v>-94</v>
      </c>
      <c r="P585" s="48">
        <v>94</v>
      </c>
      <c r="Q585" s="17">
        <v>0</v>
      </c>
      <c r="R585" s="24">
        <v>413.6</v>
      </c>
      <c r="S585" s="18" t="s">
        <v>28</v>
      </c>
      <c r="T585" s="25">
        <v>5</v>
      </c>
    </row>
    <row r="586" spans="1:20" s="26" customFormat="1" x14ac:dyDescent="0.25">
      <c r="A586" s="16">
        <v>230264</v>
      </c>
      <c r="B586" s="30" t="s">
        <v>287</v>
      </c>
      <c r="C586" s="20" t="s">
        <v>636</v>
      </c>
      <c r="D586" s="20" t="s">
        <v>729</v>
      </c>
      <c r="E586" s="20" t="s">
        <v>2687</v>
      </c>
      <c r="F586" s="20" t="s">
        <v>2688</v>
      </c>
      <c r="G586" s="21">
        <v>25.5</v>
      </c>
      <c r="H586" s="16">
        <v>22</v>
      </c>
      <c r="I586" s="16">
        <v>15</v>
      </c>
      <c r="J586" s="17">
        <v>178.5</v>
      </c>
      <c r="K586" s="22"/>
      <c r="L586" s="23"/>
      <c r="M586" s="23">
        <v>0</v>
      </c>
      <c r="N586" s="19">
        <v>51</v>
      </c>
      <c r="O586" s="19">
        <v>-127.5</v>
      </c>
      <c r="P586" s="48">
        <v>127.5</v>
      </c>
      <c r="Q586" s="17">
        <v>0</v>
      </c>
      <c r="R586" s="24">
        <v>178.5</v>
      </c>
      <c r="S586" s="18" t="s">
        <v>28</v>
      </c>
      <c r="T586" s="25">
        <v>5</v>
      </c>
    </row>
    <row r="587" spans="1:20" s="26" customFormat="1" x14ac:dyDescent="0.25">
      <c r="A587" s="16">
        <v>234081</v>
      </c>
      <c r="B587" s="30" t="s">
        <v>1188</v>
      </c>
      <c r="C587" s="20" t="s">
        <v>636</v>
      </c>
      <c r="D587" s="20" t="s">
        <v>729</v>
      </c>
      <c r="E587" s="20" t="s">
        <v>2689</v>
      </c>
      <c r="F587" s="20" t="s">
        <v>2690</v>
      </c>
      <c r="G587" s="21">
        <v>18.8</v>
      </c>
      <c r="H587" s="16">
        <v>22</v>
      </c>
      <c r="I587" s="16">
        <v>3</v>
      </c>
      <c r="J587" s="17">
        <v>357.2</v>
      </c>
      <c r="K587" s="22"/>
      <c r="L587" s="23"/>
      <c r="M587" s="23">
        <v>0</v>
      </c>
      <c r="N587" s="19">
        <v>37.6</v>
      </c>
      <c r="O587" s="19">
        <v>-94</v>
      </c>
      <c r="P587" s="48">
        <v>94</v>
      </c>
      <c r="Q587" s="17">
        <v>0</v>
      </c>
      <c r="R587" s="24">
        <v>357.2</v>
      </c>
      <c r="S587" s="18" t="s">
        <v>28</v>
      </c>
      <c r="T587" s="25">
        <v>5</v>
      </c>
    </row>
    <row r="588" spans="1:20" s="26" customFormat="1" x14ac:dyDescent="0.25">
      <c r="A588" s="16">
        <v>234082</v>
      </c>
      <c r="B588" s="30" t="s">
        <v>1189</v>
      </c>
      <c r="C588" s="20" t="s">
        <v>636</v>
      </c>
      <c r="D588" s="20" t="s">
        <v>729</v>
      </c>
      <c r="E588" s="20" t="s">
        <v>2691</v>
      </c>
      <c r="F588" s="20" t="s">
        <v>2692</v>
      </c>
      <c r="G588" s="21">
        <v>9.4</v>
      </c>
      <c r="H588" s="16">
        <v>22</v>
      </c>
      <c r="I588" s="16">
        <v>5</v>
      </c>
      <c r="J588" s="17">
        <v>159.80000000000001</v>
      </c>
      <c r="K588" s="22"/>
      <c r="L588" s="23"/>
      <c r="M588" s="23">
        <v>0</v>
      </c>
      <c r="N588" s="19">
        <v>18.8</v>
      </c>
      <c r="O588" s="19">
        <v>-47</v>
      </c>
      <c r="P588" s="48">
        <v>47</v>
      </c>
      <c r="Q588" s="17">
        <v>0</v>
      </c>
      <c r="R588" s="24">
        <v>159.80000000000001</v>
      </c>
      <c r="S588" s="18" t="s">
        <v>28</v>
      </c>
      <c r="T588" s="25">
        <v>5</v>
      </c>
    </row>
    <row r="589" spans="1:20" s="26" customFormat="1" x14ac:dyDescent="0.25">
      <c r="A589" s="16">
        <v>234083</v>
      </c>
      <c r="B589" s="30" t="s">
        <v>1190</v>
      </c>
      <c r="C589" s="20" t="s">
        <v>636</v>
      </c>
      <c r="D589" s="20" t="s">
        <v>729</v>
      </c>
      <c r="E589" s="20" t="s">
        <v>2693</v>
      </c>
      <c r="F589" s="20" t="s">
        <v>2694</v>
      </c>
      <c r="G589" s="21">
        <v>9.4</v>
      </c>
      <c r="H589" s="16">
        <v>22</v>
      </c>
      <c r="I589" s="16">
        <v>4</v>
      </c>
      <c r="J589" s="17">
        <v>169.20000000000002</v>
      </c>
      <c r="K589" s="22"/>
      <c r="L589" s="23"/>
      <c r="M589" s="23">
        <v>0</v>
      </c>
      <c r="N589" s="19">
        <v>18.8</v>
      </c>
      <c r="O589" s="19">
        <v>-47</v>
      </c>
      <c r="P589" s="48">
        <v>47</v>
      </c>
      <c r="Q589" s="17">
        <v>0</v>
      </c>
      <c r="R589" s="24">
        <v>169.20000000000002</v>
      </c>
      <c r="S589" s="18" t="s">
        <v>28</v>
      </c>
      <c r="T589" s="25">
        <v>5</v>
      </c>
    </row>
    <row r="590" spans="1:20" s="26" customFormat="1" x14ac:dyDescent="0.25">
      <c r="A590" s="16">
        <v>234085</v>
      </c>
      <c r="B590" s="30" t="s">
        <v>1191</v>
      </c>
      <c r="C590" s="20" t="s">
        <v>636</v>
      </c>
      <c r="D590" s="20" t="s">
        <v>729</v>
      </c>
      <c r="E590" s="20" t="s">
        <v>2695</v>
      </c>
      <c r="F590" s="20" t="s">
        <v>2696</v>
      </c>
      <c r="G590" s="21">
        <v>18.8</v>
      </c>
      <c r="H590" s="16">
        <v>22</v>
      </c>
      <c r="I590" s="16">
        <v>2</v>
      </c>
      <c r="J590" s="17">
        <v>376</v>
      </c>
      <c r="K590" s="22"/>
      <c r="L590" s="23"/>
      <c r="M590" s="23">
        <v>0</v>
      </c>
      <c r="N590" s="19">
        <v>37.6</v>
      </c>
      <c r="O590" s="19">
        <v>-94</v>
      </c>
      <c r="P590" s="48">
        <v>94</v>
      </c>
      <c r="Q590" s="17">
        <v>0</v>
      </c>
      <c r="R590" s="24">
        <v>376</v>
      </c>
      <c r="S590" s="18" t="s">
        <v>28</v>
      </c>
      <c r="T590" s="25">
        <v>5</v>
      </c>
    </row>
    <row r="591" spans="1:20" s="26" customFormat="1" x14ac:dyDescent="0.25">
      <c r="A591" s="16">
        <v>234086</v>
      </c>
      <c r="B591" s="30" t="s">
        <v>1192</v>
      </c>
      <c r="C591" s="20" t="s">
        <v>636</v>
      </c>
      <c r="D591" s="20" t="s">
        <v>729</v>
      </c>
      <c r="E591" s="20" t="s">
        <v>2697</v>
      </c>
      <c r="F591" s="20" t="s">
        <v>2698</v>
      </c>
      <c r="G591" s="21">
        <v>9.4</v>
      </c>
      <c r="H591" s="16">
        <v>22</v>
      </c>
      <c r="I591" s="16">
        <v>2</v>
      </c>
      <c r="J591" s="17">
        <v>188</v>
      </c>
      <c r="K591" s="22"/>
      <c r="L591" s="23"/>
      <c r="M591" s="23">
        <v>0</v>
      </c>
      <c r="N591" s="19">
        <v>18.8</v>
      </c>
      <c r="O591" s="19">
        <v>-47</v>
      </c>
      <c r="P591" s="48">
        <v>47</v>
      </c>
      <c r="Q591" s="17">
        <v>0</v>
      </c>
      <c r="R591" s="24">
        <v>188</v>
      </c>
      <c r="S591" s="18" t="s">
        <v>28</v>
      </c>
      <c r="T591" s="25">
        <v>5</v>
      </c>
    </row>
    <row r="592" spans="1:20" s="26" customFormat="1" x14ac:dyDescent="0.25">
      <c r="A592" s="16">
        <v>234823</v>
      </c>
      <c r="B592" s="30" t="s">
        <v>1358</v>
      </c>
      <c r="C592" s="20" t="s">
        <v>636</v>
      </c>
      <c r="D592" s="20" t="s">
        <v>729</v>
      </c>
      <c r="E592" s="20" t="s">
        <v>2699</v>
      </c>
      <c r="F592" s="20" t="s">
        <v>2700</v>
      </c>
      <c r="G592" s="21">
        <v>9.4</v>
      </c>
      <c r="H592" s="16">
        <v>22</v>
      </c>
      <c r="I592" s="16"/>
      <c r="J592" s="17">
        <v>206.8</v>
      </c>
      <c r="K592" s="22"/>
      <c r="L592" s="23"/>
      <c r="M592" s="23">
        <v>0</v>
      </c>
      <c r="N592" s="19">
        <v>18.8</v>
      </c>
      <c r="O592" s="19">
        <v>-47</v>
      </c>
      <c r="P592" s="48">
        <v>47</v>
      </c>
      <c r="Q592" s="17">
        <v>0</v>
      </c>
      <c r="R592" s="24">
        <v>206.8</v>
      </c>
      <c r="S592" s="18" t="s">
        <v>28</v>
      </c>
      <c r="T592" s="25">
        <v>5</v>
      </c>
    </row>
    <row r="593" spans="1:20" s="26" customFormat="1" x14ac:dyDescent="0.25">
      <c r="A593" s="16">
        <v>234824</v>
      </c>
      <c r="B593" s="30" t="s">
        <v>1359</v>
      </c>
      <c r="C593" s="20" t="s">
        <v>636</v>
      </c>
      <c r="D593" s="20" t="s">
        <v>729</v>
      </c>
      <c r="E593" s="20" t="s">
        <v>2701</v>
      </c>
      <c r="F593" s="20" t="s">
        <v>2702</v>
      </c>
      <c r="G593" s="21">
        <v>16.100000000000001</v>
      </c>
      <c r="H593" s="16">
        <v>22</v>
      </c>
      <c r="I593" s="16"/>
      <c r="J593" s="17">
        <v>354.20000000000005</v>
      </c>
      <c r="K593" s="22"/>
      <c r="L593" s="23"/>
      <c r="M593" s="23">
        <v>0</v>
      </c>
      <c r="N593" s="19">
        <v>32.200000000000003</v>
      </c>
      <c r="O593" s="19">
        <v>-80.5</v>
      </c>
      <c r="P593" s="48">
        <v>80.5</v>
      </c>
      <c r="Q593" s="17">
        <v>0</v>
      </c>
      <c r="R593" s="24">
        <v>354.20000000000005</v>
      </c>
      <c r="S593" s="18" t="s">
        <v>28</v>
      </c>
      <c r="T593" s="25">
        <v>5</v>
      </c>
    </row>
    <row r="594" spans="1:20" s="26" customFormat="1" x14ac:dyDescent="0.25">
      <c r="A594" s="16">
        <v>234825</v>
      </c>
      <c r="B594" s="30" t="s">
        <v>1360</v>
      </c>
      <c r="C594" s="20" t="s">
        <v>636</v>
      </c>
      <c r="D594" s="20" t="s">
        <v>729</v>
      </c>
      <c r="E594" s="20" t="s">
        <v>2703</v>
      </c>
      <c r="F594" s="20" t="s">
        <v>2704</v>
      </c>
      <c r="G594" s="21">
        <v>9.4</v>
      </c>
      <c r="H594" s="16">
        <v>22</v>
      </c>
      <c r="I594" s="16">
        <v>1</v>
      </c>
      <c r="J594" s="17">
        <v>197.4</v>
      </c>
      <c r="K594" s="22"/>
      <c r="L594" s="23"/>
      <c r="M594" s="23">
        <v>0</v>
      </c>
      <c r="N594" s="19">
        <v>18.8</v>
      </c>
      <c r="O594" s="19">
        <v>-47</v>
      </c>
      <c r="P594" s="48">
        <v>47</v>
      </c>
      <c r="Q594" s="17">
        <v>0</v>
      </c>
      <c r="R594" s="24">
        <v>197.4</v>
      </c>
      <c r="S594" s="18" t="s">
        <v>28</v>
      </c>
      <c r="T594" s="25">
        <v>5</v>
      </c>
    </row>
    <row r="595" spans="1:20" s="26" customFormat="1" x14ac:dyDescent="0.25">
      <c r="A595" s="16">
        <v>234826</v>
      </c>
      <c r="B595" s="30" t="s">
        <v>1361</v>
      </c>
      <c r="C595" s="20" t="s">
        <v>636</v>
      </c>
      <c r="D595" s="20" t="s">
        <v>729</v>
      </c>
      <c r="E595" s="20" t="s">
        <v>2705</v>
      </c>
      <c r="F595" s="20" t="s">
        <v>2706</v>
      </c>
      <c r="G595" s="21">
        <v>18.8</v>
      </c>
      <c r="H595" s="16">
        <v>22</v>
      </c>
      <c r="I595" s="16"/>
      <c r="J595" s="17">
        <v>413.6</v>
      </c>
      <c r="K595" s="22"/>
      <c r="L595" s="23"/>
      <c r="M595" s="23">
        <v>0</v>
      </c>
      <c r="N595" s="19">
        <v>37.6</v>
      </c>
      <c r="O595" s="19">
        <v>-94</v>
      </c>
      <c r="P595" s="48">
        <v>94</v>
      </c>
      <c r="Q595" s="17">
        <v>0</v>
      </c>
      <c r="R595" s="24">
        <v>413.6</v>
      </c>
      <c r="S595" s="18" t="s">
        <v>28</v>
      </c>
      <c r="T595" s="25">
        <v>5</v>
      </c>
    </row>
    <row r="596" spans="1:20" s="26" customFormat="1" x14ac:dyDescent="0.25">
      <c r="A596" s="16">
        <v>234827</v>
      </c>
      <c r="B596" s="30" t="s">
        <v>1362</v>
      </c>
      <c r="C596" s="20" t="s">
        <v>636</v>
      </c>
      <c r="D596" s="20" t="s">
        <v>729</v>
      </c>
      <c r="E596" s="20" t="s">
        <v>2707</v>
      </c>
      <c r="F596" s="20" t="s">
        <v>2708</v>
      </c>
      <c r="G596" s="21">
        <v>18.8</v>
      </c>
      <c r="H596" s="16">
        <v>22</v>
      </c>
      <c r="I596" s="16"/>
      <c r="J596" s="17">
        <v>413.6</v>
      </c>
      <c r="K596" s="22"/>
      <c r="L596" s="23">
        <v>357.2</v>
      </c>
      <c r="M596" s="23">
        <v>357.2</v>
      </c>
      <c r="N596" s="19">
        <v>37.6</v>
      </c>
      <c r="O596" s="19">
        <v>263.2</v>
      </c>
      <c r="P596" s="48">
        <v>94</v>
      </c>
      <c r="Q596" s="17">
        <v>263.2</v>
      </c>
      <c r="R596" s="24">
        <v>150.40000000000003</v>
      </c>
      <c r="S596" s="18" t="s">
        <v>11</v>
      </c>
      <c r="T596" s="25">
        <v>5</v>
      </c>
    </row>
    <row r="597" spans="1:20" s="26" customFormat="1" x14ac:dyDescent="0.25">
      <c r="A597" s="16">
        <v>215831</v>
      </c>
      <c r="B597" s="30" t="s">
        <v>289</v>
      </c>
      <c r="C597" s="20" t="s">
        <v>653</v>
      </c>
      <c r="D597" s="20" t="s">
        <v>714</v>
      </c>
      <c r="E597" s="20" t="s">
        <v>2709</v>
      </c>
      <c r="F597" s="20" t="s">
        <v>2710</v>
      </c>
      <c r="G597" s="21">
        <v>18.8</v>
      </c>
      <c r="H597" s="16">
        <v>26</v>
      </c>
      <c r="I597" s="16"/>
      <c r="J597" s="17">
        <v>488.8</v>
      </c>
      <c r="K597" s="22"/>
      <c r="L597" s="23"/>
      <c r="M597" s="23">
        <v>0</v>
      </c>
      <c r="N597" s="19">
        <v>37.6</v>
      </c>
      <c r="O597" s="19">
        <v>-94</v>
      </c>
      <c r="P597" s="48">
        <v>94</v>
      </c>
      <c r="Q597" s="17">
        <v>0</v>
      </c>
      <c r="R597" s="24">
        <v>488.8</v>
      </c>
      <c r="S597" s="18" t="s">
        <v>28</v>
      </c>
      <c r="T597" s="25">
        <v>5</v>
      </c>
    </row>
    <row r="598" spans="1:20" s="26" customFormat="1" x14ac:dyDescent="0.25">
      <c r="A598" s="16">
        <v>223249</v>
      </c>
      <c r="B598" s="30" t="s">
        <v>290</v>
      </c>
      <c r="C598" s="20" t="s">
        <v>653</v>
      </c>
      <c r="D598" s="20" t="s">
        <v>891</v>
      </c>
      <c r="E598" s="20" t="s">
        <v>2711</v>
      </c>
      <c r="F598" s="20" t="s">
        <v>2712</v>
      </c>
      <c r="G598" s="21">
        <v>18.8</v>
      </c>
      <c r="H598" s="16">
        <v>26</v>
      </c>
      <c r="I598" s="16"/>
      <c r="J598" s="17">
        <v>488.8</v>
      </c>
      <c r="K598" s="22"/>
      <c r="L598" s="23">
        <v>18.8</v>
      </c>
      <c r="M598" s="23">
        <v>18.8</v>
      </c>
      <c r="N598" s="19">
        <v>37.6</v>
      </c>
      <c r="O598" s="19">
        <v>-75.2</v>
      </c>
      <c r="P598" s="48">
        <v>94</v>
      </c>
      <c r="Q598" s="17">
        <v>0</v>
      </c>
      <c r="R598" s="24">
        <v>488.8</v>
      </c>
      <c r="S598" s="18" t="s">
        <v>28</v>
      </c>
      <c r="T598" s="25">
        <v>5</v>
      </c>
    </row>
    <row r="599" spans="1:20" s="26" customFormat="1" x14ac:dyDescent="0.25">
      <c r="A599" s="16">
        <v>230966</v>
      </c>
      <c r="B599" s="30" t="s">
        <v>292</v>
      </c>
      <c r="C599" s="20" t="s">
        <v>653</v>
      </c>
      <c r="D599" s="20" t="s">
        <v>714</v>
      </c>
      <c r="E599" s="20" t="s">
        <v>2713</v>
      </c>
      <c r="F599" s="20" t="s">
        <v>2714</v>
      </c>
      <c r="G599" s="21">
        <v>18.8</v>
      </c>
      <c r="H599" s="16">
        <v>26</v>
      </c>
      <c r="I599" s="16"/>
      <c r="J599" s="17">
        <v>488.8</v>
      </c>
      <c r="K599" s="22"/>
      <c r="L599" s="23">
        <v>99.6</v>
      </c>
      <c r="M599" s="23">
        <v>99.6</v>
      </c>
      <c r="N599" s="19">
        <v>37.6</v>
      </c>
      <c r="O599" s="19">
        <v>5.5999999999999943</v>
      </c>
      <c r="P599" s="48">
        <v>94</v>
      </c>
      <c r="Q599" s="17">
        <v>0</v>
      </c>
      <c r="R599" s="24">
        <v>488.8</v>
      </c>
      <c r="S599" s="18" t="s">
        <v>28</v>
      </c>
      <c r="T599" s="25">
        <v>5</v>
      </c>
    </row>
    <row r="600" spans="1:20" s="26" customFormat="1" x14ac:dyDescent="0.25">
      <c r="A600" s="16">
        <v>230967</v>
      </c>
      <c r="B600" s="30" t="s">
        <v>1455</v>
      </c>
      <c r="C600" s="20" t="s">
        <v>653</v>
      </c>
      <c r="D600" s="20" t="s">
        <v>714</v>
      </c>
      <c r="E600" s="20" t="s">
        <v>2715</v>
      </c>
      <c r="F600" s="20" t="s">
        <v>2716</v>
      </c>
      <c r="G600" s="21">
        <v>18.8</v>
      </c>
      <c r="H600" s="16">
        <v>26</v>
      </c>
      <c r="I600" s="16"/>
      <c r="J600" s="17">
        <v>488.8</v>
      </c>
      <c r="K600" s="22"/>
      <c r="L600" s="23"/>
      <c r="M600" s="23">
        <v>0</v>
      </c>
      <c r="N600" s="19">
        <v>37.6</v>
      </c>
      <c r="O600" s="19">
        <v>-94</v>
      </c>
      <c r="P600" s="48">
        <v>94</v>
      </c>
      <c r="Q600" s="17">
        <v>0</v>
      </c>
      <c r="R600" s="24">
        <v>488.8</v>
      </c>
      <c r="S600" s="18" t="s">
        <v>28</v>
      </c>
      <c r="T600" s="25">
        <v>5</v>
      </c>
    </row>
    <row r="601" spans="1:20" s="26" customFormat="1" x14ac:dyDescent="0.25">
      <c r="A601" s="16">
        <v>231840</v>
      </c>
      <c r="B601" s="30" t="s">
        <v>826</v>
      </c>
      <c r="C601" s="20" t="s">
        <v>653</v>
      </c>
      <c r="D601" s="20" t="s">
        <v>714</v>
      </c>
      <c r="E601" s="20" t="s">
        <v>2717</v>
      </c>
      <c r="F601" s="20" t="s">
        <v>2718</v>
      </c>
      <c r="G601" s="21">
        <v>18.8</v>
      </c>
      <c r="H601" s="16">
        <v>26</v>
      </c>
      <c r="I601" s="16"/>
      <c r="J601" s="17">
        <v>488.8</v>
      </c>
      <c r="K601" s="22"/>
      <c r="L601" s="23"/>
      <c r="M601" s="23">
        <v>0</v>
      </c>
      <c r="N601" s="19">
        <v>37.6</v>
      </c>
      <c r="O601" s="19">
        <v>-94</v>
      </c>
      <c r="P601" s="48">
        <v>94</v>
      </c>
      <c r="Q601" s="17">
        <v>0</v>
      </c>
      <c r="R601" s="24">
        <v>488.8</v>
      </c>
      <c r="S601" s="18" t="s">
        <v>28</v>
      </c>
      <c r="T601" s="25">
        <v>5</v>
      </c>
    </row>
    <row r="602" spans="1:20" s="26" customFormat="1" x14ac:dyDescent="0.25">
      <c r="A602" s="16">
        <v>232974</v>
      </c>
      <c r="B602" s="30" t="s">
        <v>989</v>
      </c>
      <c r="C602" s="20" t="s">
        <v>653</v>
      </c>
      <c r="D602" s="20" t="s">
        <v>714</v>
      </c>
      <c r="E602" s="20" t="s">
        <v>2719</v>
      </c>
      <c r="F602" s="20" t="s">
        <v>2720</v>
      </c>
      <c r="G602" s="21">
        <v>13.4</v>
      </c>
      <c r="H602" s="16">
        <v>26</v>
      </c>
      <c r="I602" s="16"/>
      <c r="J602" s="17">
        <v>348.40000000000003</v>
      </c>
      <c r="K602" s="22"/>
      <c r="L602" s="23"/>
      <c r="M602" s="23">
        <v>0</v>
      </c>
      <c r="N602" s="19">
        <v>26.8</v>
      </c>
      <c r="O602" s="19">
        <v>-67</v>
      </c>
      <c r="P602" s="48">
        <v>67</v>
      </c>
      <c r="Q602" s="17">
        <v>0</v>
      </c>
      <c r="R602" s="24">
        <v>348.40000000000003</v>
      </c>
      <c r="S602" s="18" t="s">
        <v>28</v>
      </c>
      <c r="T602" s="25">
        <v>5</v>
      </c>
    </row>
    <row r="603" spans="1:20" s="26" customFormat="1" x14ac:dyDescent="0.25">
      <c r="A603" s="65">
        <v>234615</v>
      </c>
      <c r="B603" s="30" t="s">
        <v>1314</v>
      </c>
      <c r="C603" s="20" t="s">
        <v>653</v>
      </c>
      <c r="D603" s="20" t="s">
        <v>714</v>
      </c>
      <c r="E603" s="20" t="s">
        <v>2721</v>
      </c>
      <c r="F603" s="20" t="s">
        <v>2722</v>
      </c>
      <c r="G603" s="21">
        <v>13.4</v>
      </c>
      <c r="H603" s="16">
        <v>26</v>
      </c>
      <c r="I603" s="16"/>
      <c r="J603" s="17">
        <v>348.40000000000003</v>
      </c>
      <c r="K603" s="22"/>
      <c r="L603" s="23"/>
      <c r="M603" s="23">
        <v>0</v>
      </c>
      <c r="N603" s="19">
        <v>26.8</v>
      </c>
      <c r="O603" s="19">
        <v>-67</v>
      </c>
      <c r="P603" s="48">
        <v>67</v>
      </c>
      <c r="Q603" s="17">
        <v>0</v>
      </c>
      <c r="R603" s="24">
        <v>348.40000000000003</v>
      </c>
      <c r="S603" s="18" t="s">
        <v>28</v>
      </c>
      <c r="T603" s="25">
        <v>5</v>
      </c>
    </row>
    <row r="604" spans="1:20" s="26" customFormat="1" x14ac:dyDescent="0.25">
      <c r="A604" s="65">
        <v>234808</v>
      </c>
      <c r="B604" s="30" t="s">
        <v>1363</v>
      </c>
      <c r="C604" s="20" t="s">
        <v>653</v>
      </c>
      <c r="D604" s="20" t="s">
        <v>714</v>
      </c>
      <c r="E604" s="20" t="s">
        <v>2723</v>
      </c>
      <c r="F604" s="20" t="s">
        <v>2724</v>
      </c>
      <c r="G604" s="21">
        <v>18.8</v>
      </c>
      <c r="H604" s="16">
        <v>26</v>
      </c>
      <c r="I604" s="16"/>
      <c r="J604" s="17">
        <v>488.8</v>
      </c>
      <c r="K604" s="22"/>
      <c r="L604" s="23"/>
      <c r="M604" s="23">
        <v>0</v>
      </c>
      <c r="N604" s="19">
        <v>37.6</v>
      </c>
      <c r="O604" s="19">
        <v>-94</v>
      </c>
      <c r="P604" s="48">
        <v>94</v>
      </c>
      <c r="Q604" s="17">
        <v>0</v>
      </c>
      <c r="R604" s="24">
        <v>488.8</v>
      </c>
      <c r="S604" s="18" t="s">
        <v>28</v>
      </c>
      <c r="T604" s="25">
        <v>5</v>
      </c>
    </row>
    <row r="605" spans="1:20" s="26" customFormat="1" x14ac:dyDescent="0.25">
      <c r="A605" s="16">
        <v>218301</v>
      </c>
      <c r="B605" s="30" t="s">
        <v>1193</v>
      </c>
      <c r="C605" s="20" t="s">
        <v>656</v>
      </c>
      <c r="D605" s="20" t="s">
        <v>740</v>
      </c>
      <c r="E605" s="20" t="s">
        <v>2725</v>
      </c>
      <c r="F605" s="20" t="s">
        <v>2726</v>
      </c>
      <c r="G605" s="21">
        <v>18.8</v>
      </c>
      <c r="H605" s="16">
        <v>29</v>
      </c>
      <c r="I605" s="16"/>
      <c r="J605" s="17">
        <v>545.20000000000005</v>
      </c>
      <c r="K605" s="22"/>
      <c r="L605" s="23"/>
      <c r="M605" s="23">
        <v>0</v>
      </c>
      <c r="N605" s="19">
        <v>37.6</v>
      </c>
      <c r="O605" s="19">
        <v>-94</v>
      </c>
      <c r="P605" s="48">
        <v>94</v>
      </c>
      <c r="Q605" s="17">
        <v>0</v>
      </c>
      <c r="R605" s="24">
        <v>545.20000000000005</v>
      </c>
      <c r="S605" s="18" t="s">
        <v>28</v>
      </c>
      <c r="T605" s="25">
        <v>5</v>
      </c>
    </row>
    <row r="606" spans="1:20" s="26" customFormat="1" x14ac:dyDescent="0.25">
      <c r="A606" s="16">
        <v>208437</v>
      </c>
      <c r="B606" s="30" t="s">
        <v>1194</v>
      </c>
      <c r="C606" s="20" t="s">
        <v>654</v>
      </c>
      <c r="D606" s="20" t="s">
        <v>715</v>
      </c>
      <c r="E606" s="20" t="s">
        <v>2727</v>
      </c>
      <c r="F606" s="20" t="s">
        <v>2728</v>
      </c>
      <c r="G606" s="21">
        <v>14.2</v>
      </c>
      <c r="H606" s="16">
        <v>26</v>
      </c>
      <c r="I606" s="16">
        <v>1</v>
      </c>
      <c r="J606" s="17">
        <v>355</v>
      </c>
      <c r="K606" s="22"/>
      <c r="L606" s="23">
        <v>215.32</v>
      </c>
      <c r="M606" s="23">
        <v>215.32</v>
      </c>
      <c r="N606" s="19">
        <v>28.4</v>
      </c>
      <c r="O606" s="19">
        <v>144.32</v>
      </c>
      <c r="P606" s="48">
        <v>71</v>
      </c>
      <c r="Q606" s="17">
        <v>144.32</v>
      </c>
      <c r="R606" s="24">
        <v>210.68</v>
      </c>
      <c r="S606" s="18" t="s">
        <v>11</v>
      </c>
      <c r="T606" s="25">
        <v>5</v>
      </c>
    </row>
    <row r="607" spans="1:20" s="26" customFormat="1" x14ac:dyDescent="0.25">
      <c r="A607" s="16">
        <v>217034</v>
      </c>
      <c r="B607" s="30" t="s">
        <v>293</v>
      </c>
      <c r="C607" s="20" t="s">
        <v>654</v>
      </c>
      <c r="D607" s="20" t="s">
        <v>715</v>
      </c>
      <c r="E607" s="20" t="s">
        <v>2729</v>
      </c>
      <c r="F607" s="20" t="s">
        <v>2730</v>
      </c>
      <c r="G607" s="21">
        <v>14.2</v>
      </c>
      <c r="H607" s="16">
        <v>26</v>
      </c>
      <c r="I607" s="16"/>
      <c r="J607" s="17">
        <v>369.2</v>
      </c>
      <c r="K607" s="22"/>
      <c r="L607" s="23">
        <v>59.1</v>
      </c>
      <c r="M607" s="23">
        <v>59.1</v>
      </c>
      <c r="N607" s="19">
        <v>28.4</v>
      </c>
      <c r="O607" s="19">
        <v>-11.899999999999999</v>
      </c>
      <c r="P607" s="48">
        <v>71</v>
      </c>
      <c r="Q607" s="17">
        <v>0</v>
      </c>
      <c r="R607" s="24">
        <v>369.2</v>
      </c>
      <c r="S607" s="18" t="s">
        <v>28</v>
      </c>
      <c r="T607" s="25">
        <v>5</v>
      </c>
    </row>
    <row r="608" spans="1:20" s="26" customFormat="1" x14ac:dyDescent="0.25">
      <c r="A608" s="16">
        <v>218167</v>
      </c>
      <c r="B608" s="30" t="s">
        <v>294</v>
      </c>
      <c r="C608" s="20" t="s">
        <v>654</v>
      </c>
      <c r="D608" s="20" t="s">
        <v>715</v>
      </c>
      <c r="E608" s="20" t="s">
        <v>2731</v>
      </c>
      <c r="F608" s="20" t="s">
        <v>2732</v>
      </c>
      <c r="G608" s="21">
        <v>18.8</v>
      </c>
      <c r="H608" s="16">
        <v>26</v>
      </c>
      <c r="I608" s="16"/>
      <c r="J608" s="17">
        <v>488.8</v>
      </c>
      <c r="K608" s="22"/>
      <c r="L608" s="23"/>
      <c r="M608" s="23">
        <v>0</v>
      </c>
      <c r="N608" s="19">
        <v>37.6</v>
      </c>
      <c r="O608" s="19">
        <v>-94</v>
      </c>
      <c r="P608" s="48">
        <v>94</v>
      </c>
      <c r="Q608" s="17">
        <v>0</v>
      </c>
      <c r="R608" s="24">
        <v>488.8</v>
      </c>
      <c r="S608" s="18" t="s">
        <v>28</v>
      </c>
      <c r="T608" s="25">
        <v>5</v>
      </c>
    </row>
    <row r="609" spans="1:20" s="26" customFormat="1" x14ac:dyDescent="0.25">
      <c r="A609" s="16">
        <v>222203</v>
      </c>
      <c r="B609" s="30" t="s">
        <v>1287</v>
      </c>
      <c r="C609" s="20" t="s">
        <v>654</v>
      </c>
      <c r="D609" s="20" t="s">
        <v>731</v>
      </c>
      <c r="E609" s="20" t="s">
        <v>2733</v>
      </c>
      <c r="F609" s="20" t="s">
        <v>2734</v>
      </c>
      <c r="G609" s="21">
        <v>18.8</v>
      </c>
      <c r="H609" s="16">
        <v>26</v>
      </c>
      <c r="I609" s="16"/>
      <c r="J609" s="17">
        <v>488.8</v>
      </c>
      <c r="K609" s="22"/>
      <c r="L609" s="23"/>
      <c r="M609" s="23">
        <v>0</v>
      </c>
      <c r="N609" s="19">
        <v>37.6</v>
      </c>
      <c r="O609" s="19">
        <v>-94</v>
      </c>
      <c r="P609" s="48">
        <v>94</v>
      </c>
      <c r="Q609" s="17">
        <v>0</v>
      </c>
      <c r="R609" s="24">
        <v>488.8</v>
      </c>
      <c r="S609" s="18" t="s">
        <v>28</v>
      </c>
      <c r="T609" s="25">
        <v>5</v>
      </c>
    </row>
    <row r="610" spans="1:20" s="26" customFormat="1" x14ac:dyDescent="0.25">
      <c r="A610" s="16">
        <v>224151</v>
      </c>
      <c r="B610" s="30" t="s">
        <v>1456</v>
      </c>
      <c r="C610" s="20" t="s">
        <v>654</v>
      </c>
      <c r="D610" s="20" t="s">
        <v>715</v>
      </c>
      <c r="E610" s="20" t="s">
        <v>2735</v>
      </c>
      <c r="F610" s="20" t="s">
        <v>2736</v>
      </c>
      <c r="G610" s="21">
        <v>14.2</v>
      </c>
      <c r="H610" s="16">
        <v>26</v>
      </c>
      <c r="I610" s="16"/>
      <c r="J610" s="17">
        <v>369.2</v>
      </c>
      <c r="K610" s="22"/>
      <c r="L610" s="23"/>
      <c r="M610" s="23">
        <v>0</v>
      </c>
      <c r="N610" s="19">
        <v>28.4</v>
      </c>
      <c r="O610" s="19">
        <v>-71</v>
      </c>
      <c r="P610" s="48">
        <v>71</v>
      </c>
      <c r="Q610" s="17">
        <v>0</v>
      </c>
      <c r="R610" s="24">
        <v>369.2</v>
      </c>
      <c r="S610" s="18" t="s">
        <v>28</v>
      </c>
      <c r="T610" s="25">
        <v>5</v>
      </c>
    </row>
    <row r="611" spans="1:20" s="26" customFormat="1" x14ac:dyDescent="0.25">
      <c r="A611" s="16">
        <v>228688</v>
      </c>
      <c r="B611" s="30" t="s">
        <v>295</v>
      </c>
      <c r="C611" s="20" t="s">
        <v>654</v>
      </c>
      <c r="D611" s="20" t="s">
        <v>715</v>
      </c>
      <c r="E611" s="20" t="s">
        <v>2737</v>
      </c>
      <c r="F611" s="20" t="s">
        <v>2738</v>
      </c>
      <c r="G611" s="21">
        <v>18.8</v>
      </c>
      <c r="H611" s="16">
        <v>26</v>
      </c>
      <c r="I611" s="16">
        <v>1</v>
      </c>
      <c r="J611" s="17">
        <v>470</v>
      </c>
      <c r="K611" s="22"/>
      <c r="L611" s="23"/>
      <c r="M611" s="23">
        <v>0</v>
      </c>
      <c r="N611" s="19">
        <v>37.6</v>
      </c>
      <c r="O611" s="19">
        <v>-94</v>
      </c>
      <c r="P611" s="48">
        <v>94</v>
      </c>
      <c r="Q611" s="17">
        <v>0</v>
      </c>
      <c r="R611" s="24">
        <v>470</v>
      </c>
      <c r="S611" s="18" t="s">
        <v>28</v>
      </c>
      <c r="T611" s="25">
        <v>5</v>
      </c>
    </row>
    <row r="612" spans="1:20" s="26" customFormat="1" x14ac:dyDescent="0.25">
      <c r="A612" s="16">
        <v>229513</v>
      </c>
      <c r="B612" s="30" t="s">
        <v>1072</v>
      </c>
      <c r="C612" s="20" t="s">
        <v>654</v>
      </c>
      <c r="D612" s="20" t="s">
        <v>715</v>
      </c>
      <c r="E612" s="20" t="s">
        <v>2739</v>
      </c>
      <c r="F612" s="20" t="s">
        <v>2740</v>
      </c>
      <c r="G612" s="21">
        <v>18.8</v>
      </c>
      <c r="H612" s="16">
        <v>26</v>
      </c>
      <c r="I612" s="16"/>
      <c r="J612" s="17">
        <v>488.8</v>
      </c>
      <c r="K612" s="22"/>
      <c r="L612" s="23"/>
      <c r="M612" s="23">
        <v>0</v>
      </c>
      <c r="N612" s="19">
        <v>37.6</v>
      </c>
      <c r="O612" s="19">
        <v>-94</v>
      </c>
      <c r="P612" s="48">
        <v>94</v>
      </c>
      <c r="Q612" s="17">
        <v>0</v>
      </c>
      <c r="R612" s="24">
        <v>488.8</v>
      </c>
      <c r="S612" s="18" t="s">
        <v>28</v>
      </c>
      <c r="T612" s="25">
        <v>5</v>
      </c>
    </row>
    <row r="613" spans="1:20" s="26" customFormat="1" x14ac:dyDescent="0.25">
      <c r="A613" s="16">
        <v>230387</v>
      </c>
      <c r="B613" s="30" t="s">
        <v>296</v>
      </c>
      <c r="C613" s="20" t="s">
        <v>654</v>
      </c>
      <c r="D613" s="20" t="s">
        <v>715</v>
      </c>
      <c r="E613" s="20" t="s">
        <v>2741</v>
      </c>
      <c r="F613" s="20" t="s">
        <v>2742</v>
      </c>
      <c r="G613" s="21">
        <v>14.2</v>
      </c>
      <c r="H613" s="16">
        <v>26</v>
      </c>
      <c r="I613" s="16"/>
      <c r="J613" s="17">
        <v>369.2</v>
      </c>
      <c r="K613" s="22"/>
      <c r="L613" s="23"/>
      <c r="M613" s="23">
        <v>0</v>
      </c>
      <c r="N613" s="19">
        <v>28.4</v>
      </c>
      <c r="O613" s="19">
        <v>-71</v>
      </c>
      <c r="P613" s="48">
        <v>71</v>
      </c>
      <c r="Q613" s="17">
        <v>0</v>
      </c>
      <c r="R613" s="24">
        <v>369.2</v>
      </c>
      <c r="S613" s="18" t="s">
        <v>28</v>
      </c>
      <c r="T613" s="25">
        <v>5</v>
      </c>
    </row>
    <row r="614" spans="1:20" s="26" customFormat="1" x14ac:dyDescent="0.25">
      <c r="A614" s="16">
        <v>231948</v>
      </c>
      <c r="B614" s="30" t="s">
        <v>827</v>
      </c>
      <c r="C614" s="20" t="s">
        <v>654</v>
      </c>
      <c r="D614" s="20" t="s">
        <v>715</v>
      </c>
      <c r="E614" s="20" t="s">
        <v>2743</v>
      </c>
      <c r="F614" s="20" t="s">
        <v>2744</v>
      </c>
      <c r="G614" s="21">
        <v>18.8</v>
      </c>
      <c r="H614" s="16">
        <v>26</v>
      </c>
      <c r="I614" s="16">
        <v>1</v>
      </c>
      <c r="J614" s="17">
        <v>470</v>
      </c>
      <c r="K614" s="22"/>
      <c r="L614" s="23"/>
      <c r="M614" s="23">
        <v>0</v>
      </c>
      <c r="N614" s="19">
        <v>37.6</v>
      </c>
      <c r="O614" s="19">
        <v>-94</v>
      </c>
      <c r="P614" s="48">
        <v>94</v>
      </c>
      <c r="Q614" s="17">
        <v>0</v>
      </c>
      <c r="R614" s="24">
        <v>470</v>
      </c>
      <c r="S614" s="18" t="s">
        <v>28</v>
      </c>
      <c r="T614" s="25">
        <v>5</v>
      </c>
    </row>
    <row r="615" spans="1:20" s="26" customFormat="1" x14ac:dyDescent="0.25">
      <c r="A615" s="16">
        <v>234140</v>
      </c>
      <c r="B615" s="30" t="s">
        <v>1195</v>
      </c>
      <c r="C615" s="20" t="s">
        <v>654</v>
      </c>
      <c r="D615" s="20" t="s">
        <v>715</v>
      </c>
      <c r="E615" s="20" t="s">
        <v>2745</v>
      </c>
      <c r="F615" s="20" t="s">
        <v>2746</v>
      </c>
      <c r="G615" s="21">
        <v>13.4</v>
      </c>
      <c r="H615" s="16">
        <v>26</v>
      </c>
      <c r="I615" s="16"/>
      <c r="J615" s="17">
        <v>348.40000000000003</v>
      </c>
      <c r="K615" s="22"/>
      <c r="L615" s="23"/>
      <c r="M615" s="23">
        <v>0</v>
      </c>
      <c r="N615" s="19">
        <v>26.8</v>
      </c>
      <c r="O615" s="19">
        <v>-67</v>
      </c>
      <c r="P615" s="48">
        <v>67</v>
      </c>
      <c r="Q615" s="17">
        <v>0</v>
      </c>
      <c r="R615" s="24">
        <v>348.40000000000003</v>
      </c>
      <c r="S615" s="18" t="s">
        <v>28</v>
      </c>
      <c r="T615" s="25">
        <v>5</v>
      </c>
    </row>
    <row r="616" spans="1:20" s="26" customFormat="1" x14ac:dyDescent="0.25">
      <c r="A616" s="16">
        <v>234307</v>
      </c>
      <c r="B616" s="30" t="s">
        <v>1288</v>
      </c>
      <c r="C616" s="20" t="s">
        <v>654</v>
      </c>
      <c r="D616" s="20" t="s">
        <v>715</v>
      </c>
      <c r="E616" s="20" t="s">
        <v>2747</v>
      </c>
      <c r="F616" s="20" t="s">
        <v>2748</v>
      </c>
      <c r="G616" s="21">
        <v>13.4</v>
      </c>
      <c r="H616" s="16">
        <v>26</v>
      </c>
      <c r="I616" s="16"/>
      <c r="J616" s="17">
        <v>348.40000000000003</v>
      </c>
      <c r="K616" s="22"/>
      <c r="L616" s="23">
        <v>36.700000000000003</v>
      </c>
      <c r="M616" s="23">
        <v>36.700000000000003</v>
      </c>
      <c r="N616" s="19">
        <v>26.8</v>
      </c>
      <c r="O616" s="19">
        <v>-30.299999999999997</v>
      </c>
      <c r="P616" s="48">
        <v>67</v>
      </c>
      <c r="Q616" s="17">
        <v>0</v>
      </c>
      <c r="R616" s="24">
        <v>348.40000000000003</v>
      </c>
      <c r="S616" s="18" t="s">
        <v>28</v>
      </c>
      <c r="T616" s="25">
        <v>5</v>
      </c>
    </row>
    <row r="617" spans="1:20" s="26" customFormat="1" x14ac:dyDescent="0.25">
      <c r="A617" s="16">
        <v>234339</v>
      </c>
      <c r="B617" s="30" t="s">
        <v>1289</v>
      </c>
      <c r="C617" s="20" t="s">
        <v>654</v>
      </c>
      <c r="D617" s="20" t="s">
        <v>715</v>
      </c>
      <c r="E617" s="20" t="s">
        <v>2749</v>
      </c>
      <c r="F617" s="20" t="s">
        <v>2750</v>
      </c>
      <c r="G617" s="21">
        <v>13.4</v>
      </c>
      <c r="H617" s="16">
        <v>26</v>
      </c>
      <c r="I617" s="16"/>
      <c r="J617" s="17">
        <v>348.40000000000003</v>
      </c>
      <c r="K617" s="22"/>
      <c r="L617" s="23"/>
      <c r="M617" s="23">
        <v>0</v>
      </c>
      <c r="N617" s="19">
        <v>26.8</v>
      </c>
      <c r="O617" s="19">
        <v>-67</v>
      </c>
      <c r="P617" s="48">
        <v>67</v>
      </c>
      <c r="Q617" s="17">
        <v>0</v>
      </c>
      <c r="R617" s="24">
        <v>348.40000000000003</v>
      </c>
      <c r="S617" s="18" t="s">
        <v>28</v>
      </c>
      <c r="T617" s="25">
        <v>5</v>
      </c>
    </row>
    <row r="618" spans="1:20" s="26" customFormat="1" x14ac:dyDescent="0.25">
      <c r="A618" s="16">
        <v>234396</v>
      </c>
      <c r="B618" s="30" t="s">
        <v>1315</v>
      </c>
      <c r="C618" s="20" t="s">
        <v>654</v>
      </c>
      <c r="D618" s="20" t="s">
        <v>715</v>
      </c>
      <c r="E618" s="20" t="s">
        <v>2751</v>
      </c>
      <c r="F618" s="20" t="s">
        <v>2752</v>
      </c>
      <c r="G618" s="21">
        <v>13.4</v>
      </c>
      <c r="H618" s="16">
        <v>26</v>
      </c>
      <c r="I618" s="16">
        <v>2</v>
      </c>
      <c r="J618" s="17">
        <v>321.60000000000002</v>
      </c>
      <c r="K618" s="22"/>
      <c r="L618" s="23"/>
      <c r="M618" s="23">
        <v>0</v>
      </c>
      <c r="N618" s="19">
        <v>26.8</v>
      </c>
      <c r="O618" s="19">
        <v>-67</v>
      </c>
      <c r="P618" s="48">
        <v>67</v>
      </c>
      <c r="Q618" s="17">
        <v>0</v>
      </c>
      <c r="R618" s="24">
        <v>321.60000000000002</v>
      </c>
      <c r="S618" s="18" t="s">
        <v>28</v>
      </c>
      <c r="T618" s="25">
        <v>5</v>
      </c>
    </row>
    <row r="619" spans="1:20" s="26" customFormat="1" x14ac:dyDescent="0.25">
      <c r="A619" s="16">
        <v>234805</v>
      </c>
      <c r="B619" s="30" t="s">
        <v>1364</v>
      </c>
      <c r="C619" s="20" t="s">
        <v>654</v>
      </c>
      <c r="D619" s="20" t="s">
        <v>715</v>
      </c>
      <c r="E619" s="20" t="s">
        <v>2753</v>
      </c>
      <c r="F619" s="20" t="s">
        <v>2754</v>
      </c>
      <c r="G619" s="21">
        <v>18.8</v>
      </c>
      <c r="H619" s="16">
        <v>26</v>
      </c>
      <c r="I619" s="16"/>
      <c r="J619" s="17">
        <v>488.8</v>
      </c>
      <c r="K619" s="22"/>
      <c r="L619" s="23">
        <v>451.2</v>
      </c>
      <c r="M619" s="23">
        <v>451.2</v>
      </c>
      <c r="N619" s="19">
        <v>37.6</v>
      </c>
      <c r="O619" s="19">
        <v>357.2</v>
      </c>
      <c r="P619" s="48">
        <v>94</v>
      </c>
      <c r="Q619" s="17">
        <v>357.2</v>
      </c>
      <c r="R619" s="24">
        <v>131.60000000000002</v>
      </c>
      <c r="S619" s="18" t="s">
        <v>11</v>
      </c>
      <c r="T619" s="25">
        <v>5</v>
      </c>
    </row>
    <row r="620" spans="1:20" s="26" customFormat="1" x14ac:dyDescent="0.25">
      <c r="A620" s="16">
        <v>209670</v>
      </c>
      <c r="B620" s="30" t="s">
        <v>297</v>
      </c>
      <c r="C620" s="20" t="s">
        <v>640</v>
      </c>
      <c r="D620" s="20" t="s">
        <v>702</v>
      </c>
      <c r="E620" s="20" t="s">
        <v>2755</v>
      </c>
      <c r="F620" s="20" t="s">
        <v>2756</v>
      </c>
      <c r="G620" s="21">
        <v>18.8</v>
      </c>
      <c r="H620" s="16">
        <v>26</v>
      </c>
      <c r="I620" s="16"/>
      <c r="J620" s="17">
        <v>488.8</v>
      </c>
      <c r="K620" s="22"/>
      <c r="L620" s="23"/>
      <c r="M620" s="23">
        <v>0</v>
      </c>
      <c r="N620" s="19">
        <v>37.6</v>
      </c>
      <c r="O620" s="19">
        <v>-94</v>
      </c>
      <c r="P620" s="48">
        <v>94</v>
      </c>
      <c r="Q620" s="17">
        <v>0</v>
      </c>
      <c r="R620" s="24">
        <v>488.8</v>
      </c>
      <c r="S620" s="18" t="s">
        <v>28</v>
      </c>
      <c r="T620" s="25">
        <v>5</v>
      </c>
    </row>
    <row r="621" spans="1:20" s="26" customFormat="1" x14ac:dyDescent="0.25">
      <c r="A621" s="16">
        <v>221177</v>
      </c>
      <c r="B621" s="30" t="s">
        <v>298</v>
      </c>
      <c r="C621" s="20" t="s">
        <v>640</v>
      </c>
      <c r="D621" s="20" t="s">
        <v>701</v>
      </c>
      <c r="E621" s="20" t="s">
        <v>2757</v>
      </c>
      <c r="F621" s="20" t="s">
        <v>2758</v>
      </c>
      <c r="G621" s="21">
        <v>18.8</v>
      </c>
      <c r="H621" s="16">
        <v>26</v>
      </c>
      <c r="I621" s="16"/>
      <c r="J621" s="17">
        <v>488.8</v>
      </c>
      <c r="K621" s="22"/>
      <c r="L621" s="23"/>
      <c r="M621" s="23">
        <v>0</v>
      </c>
      <c r="N621" s="19">
        <v>37.6</v>
      </c>
      <c r="O621" s="19">
        <v>-94</v>
      </c>
      <c r="P621" s="48">
        <v>94</v>
      </c>
      <c r="Q621" s="17">
        <v>0</v>
      </c>
      <c r="R621" s="24">
        <v>488.8</v>
      </c>
      <c r="S621" s="18" t="s">
        <v>28</v>
      </c>
      <c r="T621" s="25">
        <v>5</v>
      </c>
    </row>
    <row r="622" spans="1:20" s="26" customFormat="1" x14ac:dyDescent="0.25">
      <c r="A622" s="16">
        <v>226600</v>
      </c>
      <c r="B622" s="30" t="s">
        <v>1457</v>
      </c>
      <c r="C622" s="20" t="s">
        <v>640</v>
      </c>
      <c r="D622" s="20" t="s">
        <v>701</v>
      </c>
      <c r="E622" s="20" t="s">
        <v>2759</v>
      </c>
      <c r="F622" s="20" t="s">
        <v>2760</v>
      </c>
      <c r="G622" s="21">
        <v>18.8</v>
      </c>
      <c r="H622" s="16">
        <v>26</v>
      </c>
      <c r="I622" s="16"/>
      <c r="J622" s="17">
        <v>488.8</v>
      </c>
      <c r="K622" s="22"/>
      <c r="L622" s="23"/>
      <c r="M622" s="23">
        <v>0</v>
      </c>
      <c r="N622" s="19">
        <v>37.6</v>
      </c>
      <c r="O622" s="19">
        <v>-94</v>
      </c>
      <c r="P622" s="48">
        <v>94</v>
      </c>
      <c r="Q622" s="17">
        <v>0</v>
      </c>
      <c r="R622" s="24">
        <v>488.8</v>
      </c>
      <c r="S622" s="18" t="s">
        <v>28</v>
      </c>
      <c r="T622" s="25">
        <v>5</v>
      </c>
    </row>
    <row r="623" spans="1:20" s="26" customFormat="1" x14ac:dyDescent="0.25">
      <c r="A623" s="16">
        <v>230607</v>
      </c>
      <c r="B623" s="30" t="s">
        <v>1316</v>
      </c>
      <c r="C623" s="20" t="s">
        <v>640</v>
      </c>
      <c r="D623" s="20" t="s">
        <v>701</v>
      </c>
      <c r="E623" s="20" t="s">
        <v>2761</v>
      </c>
      <c r="F623" s="20" t="s">
        <v>2762</v>
      </c>
      <c r="G623" s="21">
        <v>13.4</v>
      </c>
      <c r="H623" s="16">
        <v>26</v>
      </c>
      <c r="I623" s="16"/>
      <c r="J623" s="17">
        <v>348.40000000000003</v>
      </c>
      <c r="K623" s="22"/>
      <c r="L623" s="23"/>
      <c r="M623" s="23">
        <v>0</v>
      </c>
      <c r="N623" s="19">
        <v>26.8</v>
      </c>
      <c r="O623" s="19">
        <v>-67</v>
      </c>
      <c r="P623" s="48">
        <v>67</v>
      </c>
      <c r="Q623" s="17">
        <v>0</v>
      </c>
      <c r="R623" s="24">
        <v>348.40000000000003</v>
      </c>
      <c r="S623" s="18" t="s">
        <v>28</v>
      </c>
      <c r="T623" s="25">
        <v>5</v>
      </c>
    </row>
    <row r="624" spans="1:20" s="26" customFormat="1" x14ac:dyDescent="0.25">
      <c r="A624" s="16">
        <v>231792</v>
      </c>
      <c r="B624" s="30" t="s">
        <v>828</v>
      </c>
      <c r="C624" s="20" t="s">
        <v>640</v>
      </c>
      <c r="D624" s="20" t="s">
        <v>702</v>
      </c>
      <c r="E624" s="20" t="s">
        <v>2763</v>
      </c>
      <c r="F624" s="20" t="s">
        <v>2764</v>
      </c>
      <c r="G624" s="21">
        <v>18.8</v>
      </c>
      <c r="H624" s="16">
        <v>26</v>
      </c>
      <c r="I624" s="16"/>
      <c r="J624" s="17">
        <v>488.8</v>
      </c>
      <c r="K624" s="22"/>
      <c r="L624" s="23"/>
      <c r="M624" s="23">
        <v>0</v>
      </c>
      <c r="N624" s="19">
        <v>37.6</v>
      </c>
      <c r="O624" s="19">
        <v>-94</v>
      </c>
      <c r="P624" s="48">
        <v>94</v>
      </c>
      <c r="Q624" s="17">
        <v>0</v>
      </c>
      <c r="R624" s="24">
        <v>488.8</v>
      </c>
      <c r="S624" s="18" t="s">
        <v>28</v>
      </c>
      <c r="T624" s="25">
        <v>5</v>
      </c>
    </row>
    <row r="625" spans="1:20" s="26" customFormat="1" x14ac:dyDescent="0.25">
      <c r="A625" s="16">
        <v>235057</v>
      </c>
      <c r="B625" s="30" t="s">
        <v>1458</v>
      </c>
      <c r="C625" s="20" t="s">
        <v>640</v>
      </c>
      <c r="D625" s="20" t="s">
        <v>701</v>
      </c>
      <c r="E625" s="20" t="s">
        <v>2765</v>
      </c>
      <c r="F625" s="20">
        <v>0</v>
      </c>
      <c r="G625" s="21">
        <v>13.4</v>
      </c>
      <c r="H625" s="16">
        <v>26</v>
      </c>
      <c r="I625" s="16"/>
      <c r="J625" s="17">
        <v>348.40000000000003</v>
      </c>
      <c r="K625" s="22"/>
      <c r="L625" s="23"/>
      <c r="M625" s="23">
        <v>0</v>
      </c>
      <c r="N625" s="19">
        <v>26.8</v>
      </c>
      <c r="O625" s="19">
        <v>-67</v>
      </c>
      <c r="P625" s="48">
        <v>67</v>
      </c>
      <c r="Q625" s="17">
        <v>0</v>
      </c>
      <c r="R625" s="24">
        <v>348.40000000000003</v>
      </c>
      <c r="S625" s="18" t="s">
        <v>28</v>
      </c>
      <c r="T625" s="25">
        <v>5</v>
      </c>
    </row>
    <row r="626" spans="1:20" s="26" customFormat="1" x14ac:dyDescent="0.25">
      <c r="A626" s="16">
        <v>209911</v>
      </c>
      <c r="B626" s="30" t="s">
        <v>1196</v>
      </c>
      <c r="C626" s="20" t="s">
        <v>655</v>
      </c>
      <c r="D626" s="20" t="s">
        <v>713</v>
      </c>
      <c r="E626" s="20" t="s">
        <v>2766</v>
      </c>
      <c r="F626" s="20" t="s">
        <v>2767</v>
      </c>
      <c r="G626" s="21">
        <v>14.2</v>
      </c>
      <c r="H626" s="16">
        <v>26</v>
      </c>
      <c r="I626" s="16"/>
      <c r="J626" s="17">
        <v>369.2</v>
      </c>
      <c r="K626" s="22"/>
      <c r="L626" s="23"/>
      <c r="M626" s="23">
        <v>0</v>
      </c>
      <c r="N626" s="19">
        <v>28.4</v>
      </c>
      <c r="O626" s="19">
        <v>-71</v>
      </c>
      <c r="P626" s="48">
        <v>71</v>
      </c>
      <c r="Q626" s="17">
        <v>0</v>
      </c>
      <c r="R626" s="24">
        <v>369.2</v>
      </c>
      <c r="S626" s="18" t="s">
        <v>28</v>
      </c>
      <c r="T626" s="25">
        <v>5</v>
      </c>
    </row>
    <row r="627" spans="1:20" s="26" customFormat="1" x14ac:dyDescent="0.25">
      <c r="A627" s="16">
        <v>219204</v>
      </c>
      <c r="B627" s="30" t="s">
        <v>334</v>
      </c>
      <c r="C627" s="20" t="s">
        <v>655</v>
      </c>
      <c r="D627" s="20" t="s">
        <v>733</v>
      </c>
      <c r="E627" s="20" t="s">
        <v>2768</v>
      </c>
      <c r="F627" s="20" t="s">
        <v>2769</v>
      </c>
      <c r="G627" s="21">
        <v>13.4</v>
      </c>
      <c r="H627" s="16">
        <v>26</v>
      </c>
      <c r="I627" s="16"/>
      <c r="J627" s="17">
        <v>348.40000000000003</v>
      </c>
      <c r="K627" s="22"/>
      <c r="L627" s="23"/>
      <c r="M627" s="23">
        <v>0</v>
      </c>
      <c r="N627" s="19">
        <v>26.8</v>
      </c>
      <c r="O627" s="19">
        <v>-67</v>
      </c>
      <c r="P627" s="48">
        <v>67</v>
      </c>
      <c r="Q627" s="17">
        <v>0</v>
      </c>
      <c r="R627" s="24">
        <v>348.40000000000003</v>
      </c>
      <c r="S627" s="18" t="s">
        <v>28</v>
      </c>
      <c r="T627" s="25">
        <v>5</v>
      </c>
    </row>
    <row r="628" spans="1:20" s="26" customFormat="1" x14ac:dyDescent="0.25">
      <c r="A628" s="16">
        <v>233181</v>
      </c>
      <c r="B628" s="30" t="s">
        <v>990</v>
      </c>
      <c r="C628" s="20" t="s">
        <v>655</v>
      </c>
      <c r="D628" s="20" t="s">
        <v>734</v>
      </c>
      <c r="E628" s="20" t="s">
        <v>2770</v>
      </c>
      <c r="F628" s="20" t="s">
        <v>2771</v>
      </c>
      <c r="G628" s="21">
        <v>13.4</v>
      </c>
      <c r="H628" s="16">
        <v>26</v>
      </c>
      <c r="I628" s="16">
        <v>1</v>
      </c>
      <c r="J628" s="17">
        <v>335</v>
      </c>
      <c r="K628" s="22"/>
      <c r="L628" s="23">
        <v>22.2</v>
      </c>
      <c r="M628" s="23">
        <v>22.2</v>
      </c>
      <c r="N628" s="19">
        <v>26.8</v>
      </c>
      <c r="O628" s="19">
        <v>-44.8</v>
      </c>
      <c r="P628" s="48">
        <v>67</v>
      </c>
      <c r="Q628" s="17">
        <v>0</v>
      </c>
      <c r="R628" s="24">
        <v>335</v>
      </c>
      <c r="S628" s="18" t="s">
        <v>28</v>
      </c>
      <c r="T628" s="25">
        <v>5</v>
      </c>
    </row>
    <row r="629" spans="1:20" s="26" customFormat="1" x14ac:dyDescent="0.25">
      <c r="A629" s="16">
        <v>203437</v>
      </c>
      <c r="B629" s="30" t="s">
        <v>303</v>
      </c>
      <c r="C629" s="20" t="s">
        <v>641</v>
      </c>
      <c r="D629" s="20" t="s">
        <v>704</v>
      </c>
      <c r="E629" s="20" t="s">
        <v>2772</v>
      </c>
      <c r="F629" s="20" t="s">
        <v>2773</v>
      </c>
      <c r="G629" s="21">
        <v>18.8</v>
      </c>
      <c r="H629" s="16">
        <v>26</v>
      </c>
      <c r="I629" s="16"/>
      <c r="J629" s="17">
        <v>488.8</v>
      </c>
      <c r="K629" s="22"/>
      <c r="L629" s="23"/>
      <c r="M629" s="23">
        <v>0</v>
      </c>
      <c r="N629" s="19">
        <v>37.6</v>
      </c>
      <c r="O629" s="19">
        <v>-94</v>
      </c>
      <c r="P629" s="48">
        <v>94</v>
      </c>
      <c r="Q629" s="17">
        <v>0</v>
      </c>
      <c r="R629" s="24">
        <v>488.8</v>
      </c>
      <c r="S629" s="18" t="s">
        <v>28</v>
      </c>
      <c r="T629" s="25">
        <v>5</v>
      </c>
    </row>
    <row r="630" spans="1:20" s="26" customFormat="1" x14ac:dyDescent="0.25">
      <c r="A630" s="16">
        <v>211379</v>
      </c>
      <c r="B630" s="30" t="s">
        <v>304</v>
      </c>
      <c r="C630" s="20" t="s">
        <v>641</v>
      </c>
      <c r="D630" s="20" t="s">
        <v>743</v>
      </c>
      <c r="E630" s="20" t="s">
        <v>2774</v>
      </c>
      <c r="F630" s="20" t="s">
        <v>2775</v>
      </c>
      <c r="G630" s="21">
        <v>14.2</v>
      </c>
      <c r="H630" s="16">
        <v>26</v>
      </c>
      <c r="I630" s="16"/>
      <c r="J630" s="17">
        <v>369.2</v>
      </c>
      <c r="K630" s="22"/>
      <c r="L630" s="23"/>
      <c r="M630" s="23">
        <v>0</v>
      </c>
      <c r="N630" s="19">
        <v>28.4</v>
      </c>
      <c r="O630" s="19">
        <v>-71</v>
      </c>
      <c r="P630" s="48">
        <v>71</v>
      </c>
      <c r="Q630" s="17">
        <v>0</v>
      </c>
      <c r="R630" s="24">
        <v>369.2</v>
      </c>
      <c r="S630" s="18" t="s">
        <v>28</v>
      </c>
      <c r="T630" s="25">
        <v>5</v>
      </c>
    </row>
    <row r="631" spans="1:20" s="26" customFormat="1" x14ac:dyDescent="0.25">
      <c r="A631" s="16">
        <v>211492</v>
      </c>
      <c r="B631" s="30" t="s">
        <v>305</v>
      </c>
      <c r="C631" s="20" t="s">
        <v>641</v>
      </c>
      <c r="D631" s="20" t="s">
        <v>743</v>
      </c>
      <c r="E631" s="20" t="s">
        <v>2776</v>
      </c>
      <c r="F631" s="20" t="s">
        <v>2777</v>
      </c>
      <c r="G631" s="21">
        <v>18.8</v>
      </c>
      <c r="H631" s="16">
        <v>26</v>
      </c>
      <c r="I631" s="16"/>
      <c r="J631" s="17">
        <v>488.8</v>
      </c>
      <c r="K631" s="22"/>
      <c r="L631" s="23"/>
      <c r="M631" s="23">
        <v>0</v>
      </c>
      <c r="N631" s="19">
        <v>37.6</v>
      </c>
      <c r="O631" s="19">
        <v>-94</v>
      </c>
      <c r="P631" s="48">
        <v>94</v>
      </c>
      <c r="Q631" s="17">
        <v>0</v>
      </c>
      <c r="R631" s="24">
        <v>488.8</v>
      </c>
      <c r="S631" s="18" t="s">
        <v>28</v>
      </c>
      <c r="T631" s="25">
        <v>5</v>
      </c>
    </row>
    <row r="632" spans="1:20" s="26" customFormat="1" x14ac:dyDescent="0.25">
      <c r="A632" s="16">
        <v>214636</v>
      </c>
      <c r="B632" s="30" t="s">
        <v>1073</v>
      </c>
      <c r="C632" s="20" t="s">
        <v>641</v>
      </c>
      <c r="D632" s="20" t="s">
        <v>705</v>
      </c>
      <c r="E632" s="20" t="s">
        <v>2778</v>
      </c>
      <c r="F632" s="20" t="s">
        <v>2779</v>
      </c>
      <c r="G632" s="21">
        <v>14.2</v>
      </c>
      <c r="H632" s="16">
        <v>26</v>
      </c>
      <c r="I632" s="16"/>
      <c r="J632" s="17">
        <v>369.2</v>
      </c>
      <c r="K632" s="22"/>
      <c r="L632" s="23"/>
      <c r="M632" s="23">
        <v>0</v>
      </c>
      <c r="N632" s="19">
        <v>28.4</v>
      </c>
      <c r="O632" s="19">
        <v>-71</v>
      </c>
      <c r="P632" s="48">
        <v>71</v>
      </c>
      <c r="Q632" s="17">
        <v>0</v>
      </c>
      <c r="R632" s="24">
        <v>369.2</v>
      </c>
      <c r="S632" s="18" t="s">
        <v>28</v>
      </c>
      <c r="T632" s="25">
        <v>5</v>
      </c>
    </row>
    <row r="633" spans="1:20" s="26" customFormat="1" x14ac:dyDescent="0.25">
      <c r="A633" s="16">
        <v>218050</v>
      </c>
      <c r="B633" s="30" t="s">
        <v>307</v>
      </c>
      <c r="C633" s="20" t="s">
        <v>641</v>
      </c>
      <c r="D633" s="20" t="s">
        <v>704</v>
      </c>
      <c r="E633" s="20" t="s">
        <v>2780</v>
      </c>
      <c r="F633" s="20" t="s">
        <v>2781</v>
      </c>
      <c r="G633" s="21">
        <v>18.8</v>
      </c>
      <c r="H633" s="16">
        <v>26</v>
      </c>
      <c r="I633" s="16"/>
      <c r="J633" s="17">
        <v>488.8</v>
      </c>
      <c r="K633" s="22"/>
      <c r="L633" s="23">
        <v>207.9</v>
      </c>
      <c r="M633" s="23">
        <v>207.9</v>
      </c>
      <c r="N633" s="19">
        <v>37.6</v>
      </c>
      <c r="O633" s="19">
        <v>113.9</v>
      </c>
      <c r="P633" s="48">
        <v>94</v>
      </c>
      <c r="Q633" s="17">
        <v>113.9</v>
      </c>
      <c r="R633" s="24">
        <v>374.9</v>
      </c>
      <c r="S633" s="18" t="s">
        <v>11</v>
      </c>
      <c r="T633" s="25">
        <v>5</v>
      </c>
    </row>
    <row r="634" spans="1:20" s="26" customFormat="1" x14ac:dyDescent="0.25">
      <c r="A634" s="16">
        <v>218807</v>
      </c>
      <c r="B634" s="30" t="s">
        <v>308</v>
      </c>
      <c r="C634" s="20" t="s">
        <v>641</v>
      </c>
      <c r="D634" s="20" t="s">
        <v>704</v>
      </c>
      <c r="E634" s="20" t="s">
        <v>2782</v>
      </c>
      <c r="F634" s="20" t="s">
        <v>2783</v>
      </c>
      <c r="G634" s="21">
        <v>18.8</v>
      </c>
      <c r="H634" s="16">
        <v>26</v>
      </c>
      <c r="I634" s="16"/>
      <c r="J634" s="17">
        <v>488.8</v>
      </c>
      <c r="K634" s="22"/>
      <c r="L634" s="23"/>
      <c r="M634" s="23">
        <v>0</v>
      </c>
      <c r="N634" s="19">
        <v>37.6</v>
      </c>
      <c r="O634" s="19">
        <v>-94</v>
      </c>
      <c r="P634" s="48">
        <v>94</v>
      </c>
      <c r="Q634" s="17">
        <v>0</v>
      </c>
      <c r="R634" s="24">
        <v>488.8</v>
      </c>
      <c r="S634" s="18" t="s">
        <v>28</v>
      </c>
      <c r="T634" s="25">
        <v>5</v>
      </c>
    </row>
    <row r="635" spans="1:20" s="26" customFormat="1" x14ac:dyDescent="0.25">
      <c r="A635" s="16">
        <v>221046</v>
      </c>
      <c r="B635" s="30" t="s">
        <v>309</v>
      </c>
      <c r="C635" s="20" t="s">
        <v>641</v>
      </c>
      <c r="D635" s="20" t="s">
        <v>704</v>
      </c>
      <c r="E635" s="20" t="s">
        <v>2784</v>
      </c>
      <c r="F635" s="20" t="s">
        <v>2785</v>
      </c>
      <c r="G635" s="21">
        <v>18.8</v>
      </c>
      <c r="H635" s="16">
        <v>26</v>
      </c>
      <c r="I635" s="16">
        <v>3</v>
      </c>
      <c r="J635" s="17">
        <v>432.40000000000003</v>
      </c>
      <c r="K635" s="22"/>
      <c r="L635" s="23"/>
      <c r="M635" s="23">
        <v>0</v>
      </c>
      <c r="N635" s="19">
        <v>37.6</v>
      </c>
      <c r="O635" s="19">
        <v>-94</v>
      </c>
      <c r="P635" s="48">
        <v>94</v>
      </c>
      <c r="Q635" s="17">
        <v>0</v>
      </c>
      <c r="R635" s="24">
        <v>432.40000000000003</v>
      </c>
      <c r="S635" s="18" t="s">
        <v>28</v>
      </c>
      <c r="T635" s="25">
        <v>5</v>
      </c>
    </row>
    <row r="636" spans="1:20" s="26" customFormat="1" x14ac:dyDescent="0.25">
      <c r="A636" s="16">
        <v>222574</v>
      </c>
      <c r="B636" s="30" t="s">
        <v>1074</v>
      </c>
      <c r="C636" s="20" t="s">
        <v>641</v>
      </c>
      <c r="D636" s="20" t="s">
        <v>744</v>
      </c>
      <c r="E636" s="20" t="s">
        <v>2786</v>
      </c>
      <c r="F636" s="20" t="s">
        <v>2787</v>
      </c>
      <c r="G636" s="21">
        <v>18.8</v>
      </c>
      <c r="H636" s="16">
        <v>26</v>
      </c>
      <c r="I636" s="16"/>
      <c r="J636" s="17">
        <v>488.8</v>
      </c>
      <c r="K636" s="22"/>
      <c r="L636" s="23">
        <v>432.4</v>
      </c>
      <c r="M636" s="23">
        <v>432.4</v>
      </c>
      <c r="N636" s="19">
        <v>37.6</v>
      </c>
      <c r="O636" s="19">
        <v>338.4</v>
      </c>
      <c r="P636" s="48">
        <v>94</v>
      </c>
      <c r="Q636" s="17">
        <v>338.4</v>
      </c>
      <c r="R636" s="24">
        <v>150.40000000000003</v>
      </c>
      <c r="S636" s="18" t="s">
        <v>11</v>
      </c>
      <c r="T636" s="25">
        <v>5</v>
      </c>
    </row>
    <row r="637" spans="1:20" s="26" customFormat="1" x14ac:dyDescent="0.25">
      <c r="A637" s="16">
        <v>222724</v>
      </c>
      <c r="B637" s="30" t="s">
        <v>310</v>
      </c>
      <c r="C637" s="20" t="s">
        <v>641</v>
      </c>
      <c r="D637" s="20" t="s">
        <v>704</v>
      </c>
      <c r="E637" s="20" t="s">
        <v>2788</v>
      </c>
      <c r="F637" s="20" t="s">
        <v>2789</v>
      </c>
      <c r="G637" s="21">
        <v>14.2</v>
      </c>
      <c r="H637" s="16">
        <v>26</v>
      </c>
      <c r="I637" s="16"/>
      <c r="J637" s="17">
        <v>369.2</v>
      </c>
      <c r="K637" s="22"/>
      <c r="L637" s="23"/>
      <c r="M637" s="23">
        <v>0</v>
      </c>
      <c r="N637" s="19">
        <v>28.4</v>
      </c>
      <c r="O637" s="19">
        <v>-71</v>
      </c>
      <c r="P637" s="48">
        <v>71</v>
      </c>
      <c r="Q637" s="17">
        <v>0</v>
      </c>
      <c r="R637" s="24">
        <v>369.2</v>
      </c>
      <c r="S637" s="18" t="s">
        <v>28</v>
      </c>
      <c r="T637" s="25">
        <v>5</v>
      </c>
    </row>
    <row r="638" spans="1:20" s="26" customFormat="1" x14ac:dyDescent="0.25">
      <c r="A638" s="16">
        <v>222867</v>
      </c>
      <c r="B638" s="30" t="s">
        <v>1197</v>
      </c>
      <c r="C638" s="20" t="s">
        <v>641</v>
      </c>
      <c r="D638" s="20" t="s">
        <v>704</v>
      </c>
      <c r="E638" s="20" t="s">
        <v>2790</v>
      </c>
      <c r="F638" s="20" t="s">
        <v>2791</v>
      </c>
      <c r="G638" s="21">
        <v>13.8</v>
      </c>
      <c r="H638" s="16">
        <v>26</v>
      </c>
      <c r="I638" s="16"/>
      <c r="J638" s="17">
        <v>358.8</v>
      </c>
      <c r="K638" s="22"/>
      <c r="L638" s="23">
        <v>164.6</v>
      </c>
      <c r="M638" s="23">
        <v>164.6</v>
      </c>
      <c r="N638" s="19">
        <v>27.6</v>
      </c>
      <c r="O638" s="19">
        <v>95.6</v>
      </c>
      <c r="P638" s="48">
        <v>69</v>
      </c>
      <c r="Q638" s="17">
        <v>95.6</v>
      </c>
      <c r="R638" s="24">
        <v>263.20000000000005</v>
      </c>
      <c r="S638" s="18" t="s">
        <v>11</v>
      </c>
      <c r="T638" s="25">
        <v>5</v>
      </c>
    </row>
    <row r="639" spans="1:20" s="26" customFormat="1" x14ac:dyDescent="0.25">
      <c r="A639" s="16">
        <v>231793</v>
      </c>
      <c r="B639" s="30" t="s">
        <v>829</v>
      </c>
      <c r="C639" s="20" t="s">
        <v>641</v>
      </c>
      <c r="D639" s="20" t="s">
        <v>704</v>
      </c>
      <c r="E639" s="20" t="s">
        <v>2792</v>
      </c>
      <c r="F639" s="20" t="s">
        <v>2793</v>
      </c>
      <c r="G639" s="21">
        <v>18.8</v>
      </c>
      <c r="H639" s="16">
        <v>26</v>
      </c>
      <c r="I639" s="16"/>
      <c r="J639" s="17">
        <v>488.8</v>
      </c>
      <c r="K639" s="22"/>
      <c r="L639" s="23"/>
      <c r="M639" s="23">
        <v>0</v>
      </c>
      <c r="N639" s="19">
        <v>37.6</v>
      </c>
      <c r="O639" s="19">
        <v>-94</v>
      </c>
      <c r="P639" s="48">
        <v>94</v>
      </c>
      <c r="Q639" s="17">
        <v>0</v>
      </c>
      <c r="R639" s="24">
        <v>488.8</v>
      </c>
      <c r="S639" s="18" t="s">
        <v>28</v>
      </c>
      <c r="T639" s="25">
        <v>5</v>
      </c>
    </row>
    <row r="640" spans="1:20" s="26" customFormat="1" x14ac:dyDescent="0.25">
      <c r="A640" s="16">
        <v>233249</v>
      </c>
      <c r="B640" s="30" t="s">
        <v>991</v>
      </c>
      <c r="C640" s="20" t="s">
        <v>641</v>
      </c>
      <c r="D640" s="20" t="s">
        <v>704</v>
      </c>
      <c r="E640" s="20" t="s">
        <v>2794</v>
      </c>
      <c r="F640" s="20" t="s">
        <v>2795</v>
      </c>
      <c r="G640" s="21">
        <v>18.8</v>
      </c>
      <c r="H640" s="16">
        <v>26</v>
      </c>
      <c r="I640" s="16"/>
      <c r="J640" s="17">
        <v>488.8</v>
      </c>
      <c r="K640" s="22"/>
      <c r="L640" s="23"/>
      <c r="M640" s="23">
        <v>0</v>
      </c>
      <c r="N640" s="19">
        <v>37.6</v>
      </c>
      <c r="O640" s="19">
        <v>-94</v>
      </c>
      <c r="P640" s="48">
        <v>94</v>
      </c>
      <c r="Q640" s="17">
        <v>0</v>
      </c>
      <c r="R640" s="24">
        <v>488.8</v>
      </c>
      <c r="S640" s="18" t="s">
        <v>28</v>
      </c>
      <c r="T640" s="25">
        <v>5</v>
      </c>
    </row>
    <row r="641" spans="1:20" s="26" customFormat="1" x14ac:dyDescent="0.25">
      <c r="A641" s="16">
        <v>233250</v>
      </c>
      <c r="B641" s="30" t="s">
        <v>992</v>
      </c>
      <c r="C641" s="20" t="s">
        <v>641</v>
      </c>
      <c r="D641" s="20" t="s">
        <v>704</v>
      </c>
      <c r="E641" s="20" t="s">
        <v>2796</v>
      </c>
      <c r="F641" s="20" t="s">
        <v>2797</v>
      </c>
      <c r="G641" s="21">
        <v>18.8</v>
      </c>
      <c r="H641" s="16">
        <v>26</v>
      </c>
      <c r="I641" s="16"/>
      <c r="J641" s="17">
        <v>488.8</v>
      </c>
      <c r="K641" s="22"/>
      <c r="L641" s="23"/>
      <c r="M641" s="23">
        <v>0</v>
      </c>
      <c r="N641" s="19">
        <v>37.6</v>
      </c>
      <c r="O641" s="19">
        <v>-94</v>
      </c>
      <c r="P641" s="48">
        <v>94</v>
      </c>
      <c r="Q641" s="17">
        <v>0</v>
      </c>
      <c r="R641" s="24">
        <v>488.8</v>
      </c>
      <c r="S641" s="18" t="s">
        <v>28</v>
      </c>
      <c r="T641" s="25">
        <v>5</v>
      </c>
    </row>
    <row r="642" spans="1:20" s="26" customFormat="1" x14ac:dyDescent="0.25">
      <c r="A642" s="16">
        <v>234628</v>
      </c>
      <c r="B642" s="30" t="s">
        <v>1317</v>
      </c>
      <c r="C642" s="20" t="s">
        <v>641</v>
      </c>
      <c r="D642" s="20" t="s">
        <v>704</v>
      </c>
      <c r="E642" s="20" t="s">
        <v>2798</v>
      </c>
      <c r="F642" s="20" t="s">
        <v>2799</v>
      </c>
      <c r="G642" s="21">
        <v>18.8</v>
      </c>
      <c r="H642" s="16">
        <v>26</v>
      </c>
      <c r="I642" s="16">
        <v>4</v>
      </c>
      <c r="J642" s="17">
        <v>413.6</v>
      </c>
      <c r="K642" s="22"/>
      <c r="L642" s="23"/>
      <c r="M642" s="23">
        <v>0</v>
      </c>
      <c r="N642" s="19">
        <v>37.6</v>
      </c>
      <c r="O642" s="19">
        <v>-94</v>
      </c>
      <c r="P642" s="48">
        <v>94</v>
      </c>
      <c r="Q642" s="17">
        <v>0</v>
      </c>
      <c r="R642" s="24">
        <v>413.6</v>
      </c>
      <c r="S642" s="18" t="s">
        <v>28</v>
      </c>
      <c r="T642" s="25">
        <v>5</v>
      </c>
    </row>
    <row r="643" spans="1:20" s="26" customFormat="1" x14ac:dyDescent="0.25">
      <c r="A643" s="16">
        <v>234669</v>
      </c>
      <c r="B643" s="30" t="s">
        <v>1365</v>
      </c>
      <c r="C643" s="20" t="s">
        <v>641</v>
      </c>
      <c r="D643" s="20" t="s">
        <v>743</v>
      </c>
      <c r="E643" s="20" t="s">
        <v>2800</v>
      </c>
      <c r="F643" s="20" t="s">
        <v>2801</v>
      </c>
      <c r="G643" s="21">
        <v>13.4</v>
      </c>
      <c r="H643" s="16">
        <v>26</v>
      </c>
      <c r="I643" s="16"/>
      <c r="J643" s="17">
        <v>348.40000000000003</v>
      </c>
      <c r="K643" s="22"/>
      <c r="L643" s="23"/>
      <c r="M643" s="23">
        <v>0</v>
      </c>
      <c r="N643" s="19">
        <v>26.8</v>
      </c>
      <c r="O643" s="19">
        <v>-67</v>
      </c>
      <c r="P643" s="48">
        <v>67</v>
      </c>
      <c r="Q643" s="17">
        <v>0</v>
      </c>
      <c r="R643" s="24">
        <v>348.40000000000003</v>
      </c>
      <c r="S643" s="18" t="s">
        <v>28</v>
      </c>
      <c r="T643" s="25">
        <v>5</v>
      </c>
    </row>
    <row r="644" spans="1:20" s="26" customFormat="1" x14ac:dyDescent="0.25">
      <c r="A644" s="16">
        <v>222581</v>
      </c>
      <c r="B644" s="30" t="s">
        <v>311</v>
      </c>
      <c r="C644" s="20" t="s">
        <v>645</v>
      </c>
      <c r="D644" s="20" t="s">
        <v>711</v>
      </c>
      <c r="E644" s="20" t="s">
        <v>2802</v>
      </c>
      <c r="F644" s="20" t="s">
        <v>2803</v>
      </c>
      <c r="G644" s="21">
        <v>18.8</v>
      </c>
      <c r="H644" s="16">
        <v>26</v>
      </c>
      <c r="I644" s="16"/>
      <c r="J644" s="17">
        <v>488.8</v>
      </c>
      <c r="K644" s="22"/>
      <c r="L644" s="23"/>
      <c r="M644" s="23">
        <v>0</v>
      </c>
      <c r="N644" s="19">
        <v>37.6</v>
      </c>
      <c r="O644" s="19">
        <v>-94</v>
      </c>
      <c r="P644" s="48">
        <v>94</v>
      </c>
      <c r="Q644" s="17">
        <v>0</v>
      </c>
      <c r="R644" s="24">
        <v>488.8</v>
      </c>
      <c r="S644" s="18" t="s">
        <v>28</v>
      </c>
      <c r="T644" s="25">
        <v>5</v>
      </c>
    </row>
    <row r="645" spans="1:20" s="26" customFormat="1" x14ac:dyDescent="0.25">
      <c r="A645" s="16">
        <v>215994</v>
      </c>
      <c r="B645" s="30" t="s">
        <v>312</v>
      </c>
      <c r="C645" s="20" t="s">
        <v>647</v>
      </c>
      <c r="D645" s="20" t="s">
        <v>724</v>
      </c>
      <c r="E645" s="20" t="s">
        <v>2804</v>
      </c>
      <c r="F645" s="20" t="s">
        <v>2805</v>
      </c>
      <c r="G645" s="21">
        <v>13.4</v>
      </c>
      <c r="H645" s="16">
        <v>26</v>
      </c>
      <c r="I645" s="16"/>
      <c r="J645" s="17">
        <v>348.40000000000003</v>
      </c>
      <c r="K645" s="22"/>
      <c r="L645" s="23"/>
      <c r="M645" s="23">
        <v>0</v>
      </c>
      <c r="N645" s="19">
        <v>26.8</v>
      </c>
      <c r="O645" s="19">
        <v>-67</v>
      </c>
      <c r="P645" s="48">
        <v>67</v>
      </c>
      <c r="Q645" s="17">
        <v>0</v>
      </c>
      <c r="R645" s="24">
        <v>348.40000000000003</v>
      </c>
      <c r="S645" s="18" t="s">
        <v>28</v>
      </c>
      <c r="T645" s="25">
        <v>6</v>
      </c>
    </row>
    <row r="646" spans="1:20" s="26" customFormat="1" x14ac:dyDescent="0.25">
      <c r="A646" s="16">
        <v>228199</v>
      </c>
      <c r="B646" s="30" t="s">
        <v>323</v>
      </c>
      <c r="C646" s="20" t="s">
        <v>647</v>
      </c>
      <c r="D646" s="20" t="s">
        <v>721</v>
      </c>
      <c r="E646" s="20" t="s">
        <v>2806</v>
      </c>
      <c r="F646" s="20" t="s">
        <v>2807</v>
      </c>
      <c r="G646" s="21">
        <v>13.4</v>
      </c>
      <c r="H646" s="16">
        <v>26</v>
      </c>
      <c r="I646" s="16"/>
      <c r="J646" s="17">
        <v>348.40000000000003</v>
      </c>
      <c r="K646" s="22"/>
      <c r="L646" s="23"/>
      <c r="M646" s="23">
        <v>0</v>
      </c>
      <c r="N646" s="19">
        <v>26.8</v>
      </c>
      <c r="O646" s="19">
        <v>-67</v>
      </c>
      <c r="P646" s="48">
        <v>67</v>
      </c>
      <c r="Q646" s="17">
        <v>0</v>
      </c>
      <c r="R646" s="24">
        <v>348.40000000000003</v>
      </c>
      <c r="S646" s="18" t="s">
        <v>28</v>
      </c>
      <c r="T646" s="25">
        <v>6</v>
      </c>
    </row>
    <row r="647" spans="1:20" s="26" customFormat="1" x14ac:dyDescent="0.25">
      <c r="A647" s="16">
        <v>210398</v>
      </c>
      <c r="B647" s="30" t="s">
        <v>314</v>
      </c>
      <c r="C647" s="20" t="s">
        <v>648</v>
      </c>
      <c r="D647" s="20" t="s">
        <v>737</v>
      </c>
      <c r="E647" s="20" t="s">
        <v>2808</v>
      </c>
      <c r="F647" s="20" t="s">
        <v>2809</v>
      </c>
      <c r="G647" s="21">
        <v>10</v>
      </c>
      <c r="H647" s="16">
        <v>26</v>
      </c>
      <c r="I647" s="16"/>
      <c r="J647" s="17">
        <v>260</v>
      </c>
      <c r="K647" s="22"/>
      <c r="L647" s="23"/>
      <c r="M647" s="23">
        <v>0</v>
      </c>
      <c r="N647" s="19">
        <v>20</v>
      </c>
      <c r="O647" s="19">
        <v>-50</v>
      </c>
      <c r="P647" s="48">
        <v>50</v>
      </c>
      <c r="Q647" s="17">
        <v>0</v>
      </c>
      <c r="R647" s="24">
        <v>260</v>
      </c>
      <c r="S647" s="18" t="s">
        <v>28</v>
      </c>
      <c r="T647" s="25">
        <v>6</v>
      </c>
    </row>
    <row r="648" spans="1:20" s="26" customFormat="1" x14ac:dyDescent="0.25">
      <c r="A648" s="16">
        <v>217095</v>
      </c>
      <c r="B648" s="30" t="s">
        <v>315</v>
      </c>
      <c r="C648" s="20" t="s">
        <v>648</v>
      </c>
      <c r="D648" s="20" t="s">
        <v>718</v>
      </c>
      <c r="E648" s="20" t="s">
        <v>2810</v>
      </c>
      <c r="F648" s="20" t="s">
        <v>2811</v>
      </c>
      <c r="G648" s="21">
        <v>18.8</v>
      </c>
      <c r="H648" s="16">
        <v>26</v>
      </c>
      <c r="I648" s="16"/>
      <c r="J648" s="17">
        <v>488.8</v>
      </c>
      <c r="K648" s="22"/>
      <c r="L648" s="23"/>
      <c r="M648" s="23">
        <v>0</v>
      </c>
      <c r="N648" s="19">
        <v>37.6</v>
      </c>
      <c r="O648" s="19">
        <v>-94</v>
      </c>
      <c r="P648" s="48">
        <v>94</v>
      </c>
      <c r="Q648" s="17">
        <v>0</v>
      </c>
      <c r="R648" s="24">
        <v>488.8</v>
      </c>
      <c r="S648" s="18" t="s">
        <v>28</v>
      </c>
      <c r="T648" s="25">
        <v>6</v>
      </c>
    </row>
    <row r="649" spans="1:20" s="26" customFormat="1" x14ac:dyDescent="0.25">
      <c r="A649" s="16">
        <v>219463</v>
      </c>
      <c r="B649" s="30" t="s">
        <v>316</v>
      </c>
      <c r="C649" s="20" t="s">
        <v>650</v>
      </c>
      <c r="D649" s="20" t="s">
        <v>738</v>
      </c>
      <c r="E649" s="20" t="s">
        <v>2812</v>
      </c>
      <c r="F649" s="20" t="s">
        <v>2813</v>
      </c>
      <c r="G649" s="21">
        <v>18.8</v>
      </c>
      <c r="H649" s="16">
        <v>26</v>
      </c>
      <c r="I649" s="16"/>
      <c r="J649" s="17">
        <v>488.8</v>
      </c>
      <c r="K649" s="22"/>
      <c r="L649" s="23"/>
      <c r="M649" s="23">
        <v>0</v>
      </c>
      <c r="N649" s="19">
        <v>37.6</v>
      </c>
      <c r="O649" s="19">
        <v>-94</v>
      </c>
      <c r="P649" s="48">
        <v>94</v>
      </c>
      <c r="Q649" s="17">
        <v>0</v>
      </c>
      <c r="R649" s="24">
        <v>488.8</v>
      </c>
      <c r="S649" s="18" t="s">
        <v>28</v>
      </c>
      <c r="T649" s="25">
        <v>6</v>
      </c>
    </row>
    <row r="650" spans="1:20" s="26" customFormat="1" x14ac:dyDescent="0.25">
      <c r="A650" s="16">
        <v>202841</v>
      </c>
      <c r="B650" s="30" t="s">
        <v>1198</v>
      </c>
      <c r="C650" s="20" t="s">
        <v>651</v>
      </c>
      <c r="D650" s="20" t="s">
        <v>719</v>
      </c>
      <c r="E650" s="20" t="s">
        <v>2814</v>
      </c>
      <c r="F650" s="20" t="s">
        <v>2815</v>
      </c>
      <c r="G650" s="21">
        <v>13.4</v>
      </c>
      <c r="H650" s="16">
        <v>16</v>
      </c>
      <c r="I650" s="16"/>
      <c r="J650" s="17">
        <v>214.4</v>
      </c>
      <c r="K650" s="22"/>
      <c r="L650" s="23">
        <v>178.5</v>
      </c>
      <c r="M650" s="23">
        <v>178.5</v>
      </c>
      <c r="N650" s="19">
        <v>26.8</v>
      </c>
      <c r="O650" s="19">
        <v>111.5</v>
      </c>
      <c r="P650" s="48">
        <v>67</v>
      </c>
      <c r="Q650" s="17">
        <v>111.5</v>
      </c>
      <c r="R650" s="24">
        <v>102.9</v>
      </c>
      <c r="S650" s="18" t="s">
        <v>11</v>
      </c>
      <c r="T650" s="25">
        <v>6</v>
      </c>
    </row>
    <row r="651" spans="1:20" s="26" customFormat="1" x14ac:dyDescent="0.25">
      <c r="A651" s="16">
        <v>203011</v>
      </c>
      <c r="B651" s="30" t="s">
        <v>317</v>
      </c>
      <c r="C651" s="20" t="s">
        <v>651</v>
      </c>
      <c r="D651" s="20" t="s">
        <v>719</v>
      </c>
      <c r="E651" s="20" t="s">
        <v>2816</v>
      </c>
      <c r="F651" s="20" t="s">
        <v>2817</v>
      </c>
      <c r="G651" s="21">
        <v>13.4</v>
      </c>
      <c r="H651" s="16">
        <v>16</v>
      </c>
      <c r="I651" s="16"/>
      <c r="J651" s="17">
        <v>214.4</v>
      </c>
      <c r="K651" s="22"/>
      <c r="L651" s="23"/>
      <c r="M651" s="23">
        <v>0</v>
      </c>
      <c r="N651" s="19">
        <v>26.8</v>
      </c>
      <c r="O651" s="19">
        <v>-67</v>
      </c>
      <c r="P651" s="48">
        <v>67</v>
      </c>
      <c r="Q651" s="17">
        <v>0</v>
      </c>
      <c r="R651" s="24">
        <v>214.4</v>
      </c>
      <c r="S651" s="18" t="s">
        <v>28</v>
      </c>
      <c r="T651" s="25">
        <v>6</v>
      </c>
    </row>
    <row r="652" spans="1:20" s="26" customFormat="1" x14ac:dyDescent="0.25">
      <c r="A652" s="16">
        <v>212501</v>
      </c>
      <c r="B652" s="30" t="s">
        <v>1459</v>
      </c>
      <c r="C652" s="20" t="s">
        <v>651</v>
      </c>
      <c r="D652" s="20" t="s">
        <v>716</v>
      </c>
      <c r="E652" s="20" t="s">
        <v>2818</v>
      </c>
      <c r="F652" s="20" t="s">
        <v>2819</v>
      </c>
      <c r="G652" s="21">
        <v>10</v>
      </c>
      <c r="H652" s="16">
        <v>26</v>
      </c>
      <c r="I652" s="16">
        <v>1</v>
      </c>
      <c r="J652" s="17">
        <v>250</v>
      </c>
      <c r="K652" s="22"/>
      <c r="L652" s="23"/>
      <c r="M652" s="23">
        <v>0</v>
      </c>
      <c r="N652" s="19">
        <v>20</v>
      </c>
      <c r="O652" s="19">
        <v>-50</v>
      </c>
      <c r="P652" s="48">
        <v>50</v>
      </c>
      <c r="Q652" s="17">
        <v>0</v>
      </c>
      <c r="R652" s="24">
        <v>250</v>
      </c>
      <c r="S652" s="18" t="s">
        <v>28</v>
      </c>
      <c r="T652" s="25">
        <v>6</v>
      </c>
    </row>
    <row r="653" spans="1:20" s="26" customFormat="1" x14ac:dyDescent="0.25">
      <c r="A653" s="16">
        <v>214981</v>
      </c>
      <c r="B653" s="30" t="s">
        <v>318</v>
      </c>
      <c r="C653" s="20" t="s">
        <v>651</v>
      </c>
      <c r="D653" s="20" t="s">
        <v>717</v>
      </c>
      <c r="E653" s="20" t="s">
        <v>2820</v>
      </c>
      <c r="F653" s="20" t="s">
        <v>2821</v>
      </c>
      <c r="G653" s="21">
        <v>18.8</v>
      </c>
      <c r="H653" s="16">
        <v>16</v>
      </c>
      <c r="I653" s="16"/>
      <c r="J653" s="17">
        <v>300.8</v>
      </c>
      <c r="K653" s="22"/>
      <c r="L653" s="23"/>
      <c r="M653" s="23">
        <v>0</v>
      </c>
      <c r="N653" s="19">
        <v>37.6</v>
      </c>
      <c r="O653" s="19">
        <v>-94</v>
      </c>
      <c r="P653" s="48">
        <v>94</v>
      </c>
      <c r="Q653" s="17">
        <v>0</v>
      </c>
      <c r="R653" s="24">
        <v>300.8</v>
      </c>
      <c r="S653" s="18" t="s">
        <v>28</v>
      </c>
      <c r="T653" s="25">
        <v>6</v>
      </c>
    </row>
    <row r="654" spans="1:20" s="26" customFormat="1" x14ac:dyDescent="0.25">
      <c r="A654" s="16">
        <v>217074</v>
      </c>
      <c r="B654" s="30" t="s">
        <v>320</v>
      </c>
      <c r="C654" s="20" t="s">
        <v>651</v>
      </c>
      <c r="D654" s="20" t="s">
        <v>719</v>
      </c>
      <c r="E654" s="20" t="s">
        <v>2822</v>
      </c>
      <c r="F654" s="20" t="s">
        <v>2823</v>
      </c>
      <c r="G654" s="21">
        <v>13.4</v>
      </c>
      <c r="H654" s="16">
        <v>16</v>
      </c>
      <c r="I654" s="16"/>
      <c r="J654" s="17">
        <v>214.4</v>
      </c>
      <c r="K654" s="22"/>
      <c r="L654" s="23"/>
      <c r="M654" s="23">
        <v>0</v>
      </c>
      <c r="N654" s="19">
        <v>26.8</v>
      </c>
      <c r="O654" s="19">
        <v>-67</v>
      </c>
      <c r="P654" s="48">
        <v>67</v>
      </c>
      <c r="Q654" s="17">
        <v>0</v>
      </c>
      <c r="R654" s="24">
        <v>214.4</v>
      </c>
      <c r="S654" s="18" t="s">
        <v>28</v>
      </c>
      <c r="T654" s="25">
        <v>6</v>
      </c>
    </row>
    <row r="655" spans="1:20" s="26" customFormat="1" x14ac:dyDescent="0.25">
      <c r="A655" s="16">
        <v>228058</v>
      </c>
      <c r="B655" s="30" t="s">
        <v>322</v>
      </c>
      <c r="C655" s="20" t="s">
        <v>651</v>
      </c>
      <c r="D655" s="20" t="s">
        <v>717</v>
      </c>
      <c r="E655" s="20" t="s">
        <v>2824</v>
      </c>
      <c r="F655" s="20" t="s">
        <v>2825</v>
      </c>
      <c r="G655" s="21">
        <v>18.8</v>
      </c>
      <c r="H655" s="16">
        <v>16</v>
      </c>
      <c r="I655" s="16"/>
      <c r="J655" s="17">
        <v>300.8</v>
      </c>
      <c r="K655" s="22"/>
      <c r="L655" s="23"/>
      <c r="M655" s="23">
        <v>0</v>
      </c>
      <c r="N655" s="19">
        <v>37.6</v>
      </c>
      <c r="O655" s="19">
        <v>-94</v>
      </c>
      <c r="P655" s="48">
        <v>94</v>
      </c>
      <c r="Q655" s="17">
        <v>0</v>
      </c>
      <c r="R655" s="24">
        <v>300.8</v>
      </c>
      <c r="S655" s="18" t="s">
        <v>28</v>
      </c>
      <c r="T655" s="25">
        <v>6</v>
      </c>
    </row>
    <row r="656" spans="1:20" s="26" customFormat="1" x14ac:dyDescent="0.25">
      <c r="A656" s="16">
        <v>228852</v>
      </c>
      <c r="B656" s="30" t="s">
        <v>324</v>
      </c>
      <c r="C656" s="20" t="s">
        <v>651</v>
      </c>
      <c r="D656" s="20" t="s">
        <v>719</v>
      </c>
      <c r="E656" s="20" t="s">
        <v>2826</v>
      </c>
      <c r="F656" s="20" t="s">
        <v>2827</v>
      </c>
      <c r="G656" s="21">
        <v>18.8</v>
      </c>
      <c r="H656" s="16">
        <v>16</v>
      </c>
      <c r="I656" s="16"/>
      <c r="J656" s="17">
        <v>300.8</v>
      </c>
      <c r="K656" s="22"/>
      <c r="L656" s="23"/>
      <c r="M656" s="23">
        <v>0</v>
      </c>
      <c r="N656" s="19">
        <v>37.6</v>
      </c>
      <c r="O656" s="19">
        <v>-94</v>
      </c>
      <c r="P656" s="48">
        <v>94</v>
      </c>
      <c r="Q656" s="17">
        <v>0</v>
      </c>
      <c r="R656" s="24">
        <v>300.8</v>
      </c>
      <c r="S656" s="18" t="s">
        <v>28</v>
      </c>
      <c r="T656" s="25">
        <v>6</v>
      </c>
    </row>
    <row r="657" spans="1:20" s="26" customFormat="1" x14ac:dyDescent="0.25">
      <c r="A657" s="16">
        <v>229064</v>
      </c>
      <c r="B657" s="30" t="s">
        <v>1075</v>
      </c>
      <c r="C657" s="20" t="s">
        <v>651</v>
      </c>
      <c r="D657" s="20" t="s">
        <v>719</v>
      </c>
      <c r="E657" s="20" t="s">
        <v>2828</v>
      </c>
      <c r="F657" s="20" t="s">
        <v>2829</v>
      </c>
      <c r="G657" s="21">
        <v>13.4</v>
      </c>
      <c r="H657" s="16">
        <v>16</v>
      </c>
      <c r="I657" s="16"/>
      <c r="J657" s="17">
        <v>214.4</v>
      </c>
      <c r="K657" s="22"/>
      <c r="L657" s="23"/>
      <c r="M657" s="23">
        <v>0</v>
      </c>
      <c r="N657" s="19">
        <v>26.8</v>
      </c>
      <c r="O657" s="19">
        <v>-67</v>
      </c>
      <c r="P657" s="48">
        <v>67</v>
      </c>
      <c r="Q657" s="17">
        <v>0</v>
      </c>
      <c r="R657" s="24">
        <v>214.4</v>
      </c>
      <c r="S657" s="18" t="s">
        <v>28</v>
      </c>
      <c r="T657" s="25">
        <v>6</v>
      </c>
    </row>
    <row r="658" spans="1:20" s="26" customFormat="1" x14ac:dyDescent="0.25">
      <c r="A658" s="16">
        <v>231075</v>
      </c>
      <c r="B658" s="30" t="s">
        <v>1199</v>
      </c>
      <c r="C658" s="20" t="s">
        <v>651</v>
      </c>
      <c r="D658" s="20" t="s">
        <v>719</v>
      </c>
      <c r="E658" s="20" t="s">
        <v>2830</v>
      </c>
      <c r="F658" s="20" t="s">
        <v>2831</v>
      </c>
      <c r="G658" s="21">
        <v>18.8</v>
      </c>
      <c r="H658" s="16">
        <v>16</v>
      </c>
      <c r="I658" s="16"/>
      <c r="J658" s="17">
        <v>300.8</v>
      </c>
      <c r="K658" s="22"/>
      <c r="L658" s="23"/>
      <c r="M658" s="23">
        <v>0</v>
      </c>
      <c r="N658" s="19">
        <v>37.6</v>
      </c>
      <c r="O658" s="19">
        <v>-94</v>
      </c>
      <c r="P658" s="48">
        <v>94</v>
      </c>
      <c r="Q658" s="17">
        <v>0</v>
      </c>
      <c r="R658" s="24">
        <v>300.8</v>
      </c>
      <c r="S658" s="18" t="s">
        <v>28</v>
      </c>
      <c r="T658" s="25">
        <v>6</v>
      </c>
    </row>
    <row r="659" spans="1:20" s="26" customFormat="1" x14ac:dyDescent="0.25">
      <c r="A659" s="16">
        <v>233884</v>
      </c>
      <c r="B659" s="30" t="s">
        <v>1076</v>
      </c>
      <c r="C659" s="20" t="s">
        <v>651</v>
      </c>
      <c r="D659" s="20" t="s">
        <v>716</v>
      </c>
      <c r="E659" s="20" t="s">
        <v>2832</v>
      </c>
      <c r="F659" s="20" t="s">
        <v>2833</v>
      </c>
      <c r="G659" s="21">
        <v>13.4</v>
      </c>
      <c r="H659" s="16">
        <v>16</v>
      </c>
      <c r="I659" s="16"/>
      <c r="J659" s="17">
        <v>214.4</v>
      </c>
      <c r="K659" s="22"/>
      <c r="L659" s="23"/>
      <c r="M659" s="23">
        <v>0</v>
      </c>
      <c r="N659" s="19">
        <v>26.8</v>
      </c>
      <c r="O659" s="19">
        <v>-67</v>
      </c>
      <c r="P659" s="48">
        <v>67</v>
      </c>
      <c r="Q659" s="17">
        <v>0</v>
      </c>
      <c r="R659" s="24">
        <v>214.4</v>
      </c>
      <c r="S659" s="18" t="s">
        <v>28</v>
      </c>
      <c r="T659" s="25">
        <v>6</v>
      </c>
    </row>
    <row r="660" spans="1:20" s="26" customFormat="1" x14ac:dyDescent="0.25">
      <c r="A660" s="16">
        <v>219929</v>
      </c>
      <c r="B660" s="30" t="s">
        <v>359</v>
      </c>
      <c r="C660" s="20" t="s">
        <v>635</v>
      </c>
      <c r="D660" s="20" t="s">
        <v>689</v>
      </c>
      <c r="E660" s="20" t="s">
        <v>2834</v>
      </c>
      <c r="F660" s="20" t="s">
        <v>2835</v>
      </c>
      <c r="G660" s="21">
        <v>18.8</v>
      </c>
      <c r="H660" s="16">
        <v>22</v>
      </c>
      <c r="I660" s="16">
        <v>1</v>
      </c>
      <c r="J660" s="17">
        <v>394.8</v>
      </c>
      <c r="K660" s="22"/>
      <c r="L660" s="23"/>
      <c r="M660" s="23">
        <v>0</v>
      </c>
      <c r="N660" s="19">
        <v>37.6</v>
      </c>
      <c r="O660" s="19">
        <v>-94</v>
      </c>
      <c r="P660" s="48">
        <v>94</v>
      </c>
      <c r="Q660" s="17">
        <v>0</v>
      </c>
      <c r="R660" s="24">
        <v>394.8</v>
      </c>
      <c r="S660" s="18" t="s">
        <v>28</v>
      </c>
      <c r="T660" s="25">
        <v>6</v>
      </c>
    </row>
    <row r="661" spans="1:20" s="26" customFormat="1" x14ac:dyDescent="0.25">
      <c r="A661" s="16">
        <v>231616</v>
      </c>
      <c r="B661" s="30" t="s">
        <v>830</v>
      </c>
      <c r="C661" s="20" t="s">
        <v>636</v>
      </c>
      <c r="D661" s="20" t="s">
        <v>729</v>
      </c>
      <c r="E661" s="20" t="s">
        <v>2836</v>
      </c>
      <c r="F661" s="20" t="s">
        <v>2837</v>
      </c>
      <c r="G661" s="21">
        <v>18.8</v>
      </c>
      <c r="H661" s="16">
        <v>22</v>
      </c>
      <c r="I661" s="16">
        <v>2</v>
      </c>
      <c r="J661" s="17">
        <v>376</v>
      </c>
      <c r="K661" s="22"/>
      <c r="L661" s="23"/>
      <c r="M661" s="23">
        <v>0</v>
      </c>
      <c r="N661" s="19">
        <v>37.6</v>
      </c>
      <c r="O661" s="19">
        <v>-94</v>
      </c>
      <c r="P661" s="48">
        <v>94</v>
      </c>
      <c r="Q661" s="17">
        <v>0</v>
      </c>
      <c r="R661" s="24">
        <v>376</v>
      </c>
      <c r="S661" s="18" t="s">
        <v>28</v>
      </c>
      <c r="T661" s="25">
        <v>6</v>
      </c>
    </row>
    <row r="662" spans="1:20" s="26" customFormat="1" x14ac:dyDescent="0.25">
      <c r="A662" s="16">
        <v>231617</v>
      </c>
      <c r="B662" s="30" t="s">
        <v>831</v>
      </c>
      <c r="C662" s="20" t="s">
        <v>636</v>
      </c>
      <c r="D662" s="20" t="s">
        <v>729</v>
      </c>
      <c r="E662" s="20" t="s">
        <v>2838</v>
      </c>
      <c r="F662" s="20" t="s">
        <v>2839</v>
      </c>
      <c r="G662" s="21">
        <v>9.4</v>
      </c>
      <c r="H662" s="16">
        <v>22</v>
      </c>
      <c r="I662" s="16"/>
      <c r="J662" s="17">
        <v>206.8</v>
      </c>
      <c r="K662" s="22"/>
      <c r="L662" s="23"/>
      <c r="M662" s="23">
        <v>0</v>
      </c>
      <c r="N662" s="19">
        <v>18.8</v>
      </c>
      <c r="O662" s="19">
        <v>-47</v>
      </c>
      <c r="P662" s="48">
        <v>47</v>
      </c>
      <c r="Q662" s="17">
        <v>0</v>
      </c>
      <c r="R662" s="24">
        <v>206.8</v>
      </c>
      <c r="S662" s="18" t="s">
        <v>28</v>
      </c>
      <c r="T662" s="25">
        <v>6</v>
      </c>
    </row>
    <row r="663" spans="1:20" s="26" customFormat="1" x14ac:dyDescent="0.25">
      <c r="A663" s="16">
        <v>234715</v>
      </c>
      <c r="B663" s="30" t="s">
        <v>1366</v>
      </c>
      <c r="C663" s="20" t="s">
        <v>636</v>
      </c>
      <c r="D663" s="20" t="s">
        <v>729</v>
      </c>
      <c r="E663" s="20" t="s">
        <v>2840</v>
      </c>
      <c r="F663" s="20" t="s">
        <v>2841</v>
      </c>
      <c r="G663" s="21">
        <v>10</v>
      </c>
      <c r="H663" s="16">
        <v>22</v>
      </c>
      <c r="I663" s="16">
        <v>1</v>
      </c>
      <c r="J663" s="17">
        <v>210</v>
      </c>
      <c r="K663" s="22"/>
      <c r="L663" s="23">
        <v>190</v>
      </c>
      <c r="M663" s="23">
        <v>190</v>
      </c>
      <c r="N663" s="19">
        <v>20</v>
      </c>
      <c r="O663" s="19">
        <v>140</v>
      </c>
      <c r="P663" s="48">
        <v>50</v>
      </c>
      <c r="Q663" s="17">
        <v>140</v>
      </c>
      <c r="R663" s="24">
        <v>70</v>
      </c>
      <c r="S663" s="18" t="s">
        <v>11</v>
      </c>
      <c r="T663" s="25">
        <v>6</v>
      </c>
    </row>
    <row r="664" spans="1:20" s="26" customFormat="1" x14ac:dyDescent="0.25">
      <c r="A664" s="16">
        <v>234716</v>
      </c>
      <c r="B664" s="30" t="s">
        <v>1367</v>
      </c>
      <c r="C664" s="20" t="s">
        <v>636</v>
      </c>
      <c r="D664" s="20" t="s">
        <v>729</v>
      </c>
      <c r="E664" s="20" t="s">
        <v>2842</v>
      </c>
      <c r="F664" s="20" t="s">
        <v>2843</v>
      </c>
      <c r="G664" s="21">
        <v>10</v>
      </c>
      <c r="H664" s="16">
        <v>22</v>
      </c>
      <c r="I664" s="16"/>
      <c r="J664" s="17">
        <v>220</v>
      </c>
      <c r="K664" s="22"/>
      <c r="L664" s="23">
        <v>190</v>
      </c>
      <c r="M664" s="23">
        <v>190</v>
      </c>
      <c r="N664" s="19">
        <v>20</v>
      </c>
      <c r="O664" s="19">
        <v>140</v>
      </c>
      <c r="P664" s="48">
        <v>50</v>
      </c>
      <c r="Q664" s="17">
        <v>140</v>
      </c>
      <c r="R664" s="24">
        <v>80</v>
      </c>
      <c r="S664" s="18" t="s">
        <v>11</v>
      </c>
      <c r="T664" s="25">
        <v>6</v>
      </c>
    </row>
    <row r="665" spans="1:20" s="26" customFormat="1" x14ac:dyDescent="0.25">
      <c r="A665" s="16">
        <v>213425</v>
      </c>
      <c r="B665" s="30" t="s">
        <v>1200</v>
      </c>
      <c r="C665" s="20" t="s">
        <v>653</v>
      </c>
      <c r="D665" s="20" t="s">
        <v>704</v>
      </c>
      <c r="E665" s="20" t="s">
        <v>2844</v>
      </c>
      <c r="F665" s="20" t="s">
        <v>2845</v>
      </c>
      <c r="G665" s="21">
        <v>18.8</v>
      </c>
      <c r="H665" s="16">
        <v>26</v>
      </c>
      <c r="I665" s="16"/>
      <c r="J665" s="17">
        <v>488.8</v>
      </c>
      <c r="K665" s="22"/>
      <c r="L665" s="23"/>
      <c r="M665" s="23">
        <v>0</v>
      </c>
      <c r="N665" s="19">
        <v>37.6</v>
      </c>
      <c r="O665" s="19">
        <v>-94</v>
      </c>
      <c r="P665" s="48">
        <v>94</v>
      </c>
      <c r="Q665" s="17">
        <v>0</v>
      </c>
      <c r="R665" s="24">
        <v>488.8</v>
      </c>
      <c r="S665" s="18" t="s">
        <v>28</v>
      </c>
      <c r="T665" s="25">
        <v>6</v>
      </c>
    </row>
    <row r="666" spans="1:20" s="26" customFormat="1" x14ac:dyDescent="0.25">
      <c r="A666" s="16">
        <v>221904</v>
      </c>
      <c r="B666" s="30" t="s">
        <v>326</v>
      </c>
      <c r="C666" s="20" t="s">
        <v>654</v>
      </c>
      <c r="D666" s="20" t="s">
        <v>731</v>
      </c>
      <c r="E666" s="20" t="s">
        <v>2846</v>
      </c>
      <c r="F666" s="20" t="s">
        <v>2847</v>
      </c>
      <c r="G666" s="21">
        <v>18.8</v>
      </c>
      <c r="H666" s="16">
        <v>26</v>
      </c>
      <c r="I666" s="16"/>
      <c r="J666" s="17">
        <v>488.8</v>
      </c>
      <c r="K666" s="22"/>
      <c r="L666" s="23">
        <v>18.8</v>
      </c>
      <c r="M666" s="23">
        <v>18.8</v>
      </c>
      <c r="N666" s="19">
        <v>37.6</v>
      </c>
      <c r="O666" s="19">
        <v>-75.2</v>
      </c>
      <c r="P666" s="48">
        <v>94</v>
      </c>
      <c r="Q666" s="17">
        <v>0</v>
      </c>
      <c r="R666" s="24">
        <v>488.8</v>
      </c>
      <c r="S666" s="18" t="s">
        <v>28</v>
      </c>
      <c r="T666" s="25">
        <v>6</v>
      </c>
    </row>
    <row r="667" spans="1:20" s="26" customFormat="1" x14ac:dyDescent="0.25">
      <c r="A667" s="16">
        <v>228851</v>
      </c>
      <c r="B667" s="30" t="s">
        <v>1077</v>
      </c>
      <c r="C667" s="20" t="s">
        <v>654</v>
      </c>
      <c r="D667" s="20" t="s">
        <v>715</v>
      </c>
      <c r="E667" s="20" t="s">
        <v>2848</v>
      </c>
      <c r="F667" s="20" t="s">
        <v>2849</v>
      </c>
      <c r="G667" s="21">
        <v>10</v>
      </c>
      <c r="H667" s="16">
        <v>26</v>
      </c>
      <c r="I667" s="16"/>
      <c r="J667" s="17">
        <v>260</v>
      </c>
      <c r="K667" s="22"/>
      <c r="L667" s="23">
        <v>67.349999999999994</v>
      </c>
      <c r="M667" s="23">
        <v>67.349999999999994</v>
      </c>
      <c r="N667" s="19">
        <v>20</v>
      </c>
      <c r="O667" s="19">
        <v>17.349999999999994</v>
      </c>
      <c r="P667" s="48">
        <v>50</v>
      </c>
      <c r="Q667" s="17">
        <v>0</v>
      </c>
      <c r="R667" s="24">
        <v>260</v>
      </c>
      <c r="S667" s="18" t="s">
        <v>28</v>
      </c>
      <c r="T667" s="25">
        <v>6</v>
      </c>
    </row>
    <row r="668" spans="1:20" s="26" customFormat="1" x14ac:dyDescent="0.25">
      <c r="A668" s="16">
        <v>215704</v>
      </c>
      <c r="B668" s="30" t="s">
        <v>327</v>
      </c>
      <c r="C668" s="20" t="s">
        <v>640</v>
      </c>
      <c r="D668" s="20" t="s">
        <v>702</v>
      </c>
      <c r="E668" s="20" t="s">
        <v>2850</v>
      </c>
      <c r="F668" s="20" t="s">
        <v>2851</v>
      </c>
      <c r="G668" s="21">
        <v>18.8</v>
      </c>
      <c r="H668" s="16">
        <v>26</v>
      </c>
      <c r="I668" s="16">
        <v>1</v>
      </c>
      <c r="J668" s="17">
        <v>470</v>
      </c>
      <c r="K668" s="22"/>
      <c r="L668" s="23"/>
      <c r="M668" s="23">
        <v>0</v>
      </c>
      <c r="N668" s="19">
        <v>37.6</v>
      </c>
      <c r="O668" s="19">
        <v>-94</v>
      </c>
      <c r="P668" s="48">
        <v>94</v>
      </c>
      <c r="Q668" s="17">
        <v>0</v>
      </c>
      <c r="R668" s="24">
        <v>470</v>
      </c>
      <c r="S668" s="18" t="s">
        <v>28</v>
      </c>
      <c r="T668" s="25">
        <v>6</v>
      </c>
    </row>
    <row r="669" spans="1:20" s="26" customFormat="1" x14ac:dyDescent="0.25">
      <c r="A669" s="16">
        <v>208543</v>
      </c>
      <c r="B669" s="30" t="s">
        <v>328</v>
      </c>
      <c r="C669" s="20" t="s">
        <v>655</v>
      </c>
      <c r="D669" s="20" t="s">
        <v>713</v>
      </c>
      <c r="E669" s="20" t="s">
        <v>2852</v>
      </c>
      <c r="F669" s="20" t="s">
        <v>2853</v>
      </c>
      <c r="G669" s="21">
        <v>13.4</v>
      </c>
      <c r="H669" s="16">
        <v>26</v>
      </c>
      <c r="I669" s="16"/>
      <c r="J669" s="17">
        <v>348.40000000000003</v>
      </c>
      <c r="K669" s="22"/>
      <c r="L669" s="23"/>
      <c r="M669" s="23">
        <v>0</v>
      </c>
      <c r="N669" s="19">
        <v>26.8</v>
      </c>
      <c r="O669" s="19">
        <v>-67</v>
      </c>
      <c r="P669" s="48">
        <v>67</v>
      </c>
      <c r="Q669" s="17">
        <v>0</v>
      </c>
      <c r="R669" s="24">
        <v>348.40000000000003</v>
      </c>
      <c r="S669" s="18" t="s">
        <v>28</v>
      </c>
      <c r="T669" s="25">
        <v>6</v>
      </c>
    </row>
    <row r="670" spans="1:20" s="26" customFormat="1" x14ac:dyDescent="0.25">
      <c r="A670" s="16">
        <v>6317</v>
      </c>
      <c r="B670" s="30" t="s">
        <v>1460</v>
      </c>
      <c r="C670" s="20" t="s">
        <v>641</v>
      </c>
      <c r="D670" s="20" t="s">
        <v>704</v>
      </c>
      <c r="E670" s="20" t="s">
        <v>2854</v>
      </c>
      <c r="F670" s="20" t="s">
        <v>2855</v>
      </c>
      <c r="G670" s="21">
        <v>13.4</v>
      </c>
      <c r="H670" s="16">
        <v>26</v>
      </c>
      <c r="I670" s="16">
        <v>2</v>
      </c>
      <c r="J670" s="17">
        <v>321.60000000000002</v>
      </c>
      <c r="K670" s="22"/>
      <c r="L670" s="23"/>
      <c r="M670" s="23">
        <v>0</v>
      </c>
      <c r="N670" s="19">
        <v>26.8</v>
      </c>
      <c r="O670" s="19">
        <v>-67</v>
      </c>
      <c r="P670" s="48">
        <v>67</v>
      </c>
      <c r="Q670" s="17">
        <v>0</v>
      </c>
      <c r="R670" s="24">
        <v>321.60000000000002</v>
      </c>
      <c r="S670" s="18" t="s">
        <v>28</v>
      </c>
      <c r="T670" s="25">
        <v>6</v>
      </c>
    </row>
    <row r="671" spans="1:20" s="26" customFormat="1" x14ac:dyDescent="0.25">
      <c r="A671" s="16">
        <v>229698</v>
      </c>
      <c r="B671" s="30" t="s">
        <v>301</v>
      </c>
      <c r="C671" s="20" t="s">
        <v>641</v>
      </c>
      <c r="D671" s="20" t="s">
        <v>704</v>
      </c>
      <c r="E671" s="20" t="s">
        <v>2856</v>
      </c>
      <c r="F671" s="20" t="s">
        <v>2857</v>
      </c>
      <c r="G671" s="21">
        <v>18.8</v>
      </c>
      <c r="H671" s="16">
        <v>26</v>
      </c>
      <c r="I671" s="16">
        <v>10</v>
      </c>
      <c r="J671" s="17">
        <v>300.8</v>
      </c>
      <c r="K671" s="22"/>
      <c r="L671" s="23"/>
      <c r="M671" s="23">
        <v>0</v>
      </c>
      <c r="N671" s="19">
        <v>37.6</v>
      </c>
      <c r="O671" s="19">
        <v>-94</v>
      </c>
      <c r="P671" s="48">
        <v>94</v>
      </c>
      <c r="Q671" s="17">
        <v>0</v>
      </c>
      <c r="R671" s="24">
        <v>300.8</v>
      </c>
      <c r="S671" s="18" t="s">
        <v>28</v>
      </c>
      <c r="T671" s="25">
        <v>6</v>
      </c>
    </row>
    <row r="672" spans="1:20" s="26" customFormat="1" x14ac:dyDescent="0.25">
      <c r="A672" s="16">
        <v>229935</v>
      </c>
      <c r="B672" s="30" t="s">
        <v>330</v>
      </c>
      <c r="C672" s="20" t="s">
        <v>641</v>
      </c>
      <c r="D672" s="20" t="s">
        <v>704</v>
      </c>
      <c r="E672" s="20" t="s">
        <v>2858</v>
      </c>
      <c r="F672" s="20" t="s">
        <v>2859</v>
      </c>
      <c r="G672" s="21">
        <v>13.4</v>
      </c>
      <c r="H672" s="16">
        <v>26</v>
      </c>
      <c r="I672" s="16">
        <v>1</v>
      </c>
      <c r="J672" s="17">
        <v>335</v>
      </c>
      <c r="K672" s="22"/>
      <c r="L672" s="23"/>
      <c r="M672" s="23">
        <v>0</v>
      </c>
      <c r="N672" s="19">
        <v>26.8</v>
      </c>
      <c r="O672" s="19">
        <v>-67</v>
      </c>
      <c r="P672" s="48">
        <v>67</v>
      </c>
      <c r="Q672" s="17">
        <v>0</v>
      </c>
      <c r="R672" s="24">
        <v>335</v>
      </c>
      <c r="S672" s="18" t="s">
        <v>28</v>
      </c>
      <c r="T672" s="25">
        <v>6</v>
      </c>
    </row>
    <row r="673" spans="1:20" s="26" customFormat="1" x14ac:dyDescent="0.25">
      <c r="A673" s="16">
        <v>209689</v>
      </c>
      <c r="B673" s="30" t="s">
        <v>1461</v>
      </c>
      <c r="C673" s="20" t="s">
        <v>647</v>
      </c>
      <c r="D673" s="20" t="s">
        <v>720</v>
      </c>
      <c r="E673" s="20" t="s">
        <v>2860</v>
      </c>
      <c r="F673" s="20" t="s">
        <v>2861</v>
      </c>
      <c r="G673" s="21">
        <v>18.8</v>
      </c>
      <c r="H673" s="16">
        <v>26</v>
      </c>
      <c r="I673" s="16"/>
      <c r="J673" s="17">
        <v>488.8</v>
      </c>
      <c r="K673" s="22"/>
      <c r="L673" s="23"/>
      <c r="M673" s="23">
        <v>0</v>
      </c>
      <c r="N673" s="19">
        <v>37.6</v>
      </c>
      <c r="O673" s="19">
        <v>-94</v>
      </c>
      <c r="P673" s="48">
        <v>94</v>
      </c>
      <c r="Q673" s="17">
        <v>0</v>
      </c>
      <c r="R673" s="24">
        <v>488.8</v>
      </c>
      <c r="S673" s="18" t="s">
        <v>28</v>
      </c>
      <c r="T673" s="25">
        <v>7</v>
      </c>
    </row>
    <row r="674" spans="1:20" s="26" customFormat="1" x14ac:dyDescent="0.25">
      <c r="A674" s="16">
        <v>222687</v>
      </c>
      <c r="B674" s="30" t="s">
        <v>1462</v>
      </c>
      <c r="C674" s="20" t="s">
        <v>647</v>
      </c>
      <c r="D674" s="20" t="s">
        <v>722</v>
      </c>
      <c r="E674" s="20" t="s">
        <v>2862</v>
      </c>
      <c r="F674" s="20" t="s">
        <v>2863</v>
      </c>
      <c r="G674" s="21">
        <v>18.8</v>
      </c>
      <c r="H674" s="16">
        <v>26</v>
      </c>
      <c r="I674" s="16"/>
      <c r="J674" s="17">
        <v>488.8</v>
      </c>
      <c r="K674" s="22"/>
      <c r="L674" s="23"/>
      <c r="M674" s="23">
        <v>0</v>
      </c>
      <c r="N674" s="19">
        <v>37.6</v>
      </c>
      <c r="O674" s="19">
        <v>-94</v>
      </c>
      <c r="P674" s="48">
        <v>94</v>
      </c>
      <c r="Q674" s="17">
        <v>0</v>
      </c>
      <c r="R674" s="24">
        <v>488.8</v>
      </c>
      <c r="S674" s="18" t="s">
        <v>28</v>
      </c>
      <c r="T674" s="25">
        <v>7</v>
      </c>
    </row>
    <row r="675" spans="1:20" s="26" customFormat="1" x14ac:dyDescent="0.25">
      <c r="A675" s="16">
        <v>219504</v>
      </c>
      <c r="B675" s="30" t="s">
        <v>331</v>
      </c>
      <c r="C675" s="20" t="s">
        <v>651</v>
      </c>
      <c r="D675" s="20" t="s">
        <v>719</v>
      </c>
      <c r="E675" s="20" t="s">
        <v>2864</v>
      </c>
      <c r="F675" s="20" t="s">
        <v>2865</v>
      </c>
      <c r="G675" s="21">
        <v>28.5</v>
      </c>
      <c r="H675" s="16">
        <v>26</v>
      </c>
      <c r="I675" s="16"/>
      <c r="J675" s="17">
        <v>741</v>
      </c>
      <c r="K675" s="22"/>
      <c r="L675" s="23"/>
      <c r="M675" s="23">
        <v>0</v>
      </c>
      <c r="N675" s="19">
        <v>57</v>
      </c>
      <c r="O675" s="19">
        <v>-142.5</v>
      </c>
      <c r="P675" s="48">
        <v>142.5</v>
      </c>
      <c r="Q675" s="17">
        <v>0</v>
      </c>
      <c r="R675" s="24">
        <v>741</v>
      </c>
      <c r="S675" s="18" t="s">
        <v>28</v>
      </c>
      <c r="T675" s="25">
        <v>7</v>
      </c>
    </row>
    <row r="676" spans="1:20" s="26" customFormat="1" x14ac:dyDescent="0.25">
      <c r="A676" s="16">
        <v>214437</v>
      </c>
      <c r="B676" s="30" t="s">
        <v>941</v>
      </c>
      <c r="C676" s="20" t="s">
        <v>635</v>
      </c>
      <c r="D676" s="20" t="s">
        <v>689</v>
      </c>
      <c r="E676" s="20" t="s">
        <v>2866</v>
      </c>
      <c r="F676" s="20" t="s">
        <v>2867</v>
      </c>
      <c r="G676" s="21">
        <v>18.8</v>
      </c>
      <c r="H676" s="16">
        <v>20</v>
      </c>
      <c r="I676" s="16"/>
      <c r="J676" s="17">
        <v>376</v>
      </c>
      <c r="K676" s="22"/>
      <c r="L676" s="23"/>
      <c r="M676" s="23">
        <v>0</v>
      </c>
      <c r="N676" s="19">
        <v>37.6</v>
      </c>
      <c r="O676" s="19">
        <v>-94</v>
      </c>
      <c r="P676" s="48">
        <v>94</v>
      </c>
      <c r="Q676" s="17">
        <v>0</v>
      </c>
      <c r="R676" s="24">
        <v>376</v>
      </c>
      <c r="S676" s="18" t="s">
        <v>28</v>
      </c>
      <c r="T676" s="25">
        <v>7</v>
      </c>
    </row>
    <row r="677" spans="1:20" s="26" customFormat="1" x14ac:dyDescent="0.25">
      <c r="A677" s="16">
        <v>214766</v>
      </c>
      <c r="B677" s="30" t="s">
        <v>332</v>
      </c>
      <c r="C677" s="20" t="s">
        <v>654</v>
      </c>
      <c r="D677" s="20" t="s">
        <v>715</v>
      </c>
      <c r="E677" s="20" t="s">
        <v>2868</v>
      </c>
      <c r="F677" s="20" t="s">
        <v>2869</v>
      </c>
      <c r="G677" s="21">
        <v>18.8</v>
      </c>
      <c r="H677" s="16">
        <v>26</v>
      </c>
      <c r="I677" s="16">
        <v>1</v>
      </c>
      <c r="J677" s="17">
        <v>470</v>
      </c>
      <c r="K677" s="22"/>
      <c r="L677" s="23"/>
      <c r="M677" s="23">
        <v>0</v>
      </c>
      <c r="N677" s="19">
        <v>37.6</v>
      </c>
      <c r="O677" s="19">
        <v>-94</v>
      </c>
      <c r="P677" s="48">
        <v>94</v>
      </c>
      <c r="Q677" s="17">
        <v>0</v>
      </c>
      <c r="R677" s="24">
        <v>470</v>
      </c>
      <c r="S677" s="18" t="s">
        <v>28</v>
      </c>
      <c r="T677" s="25">
        <v>7</v>
      </c>
    </row>
    <row r="678" spans="1:20" s="26" customFormat="1" x14ac:dyDescent="0.25">
      <c r="A678" s="16">
        <v>229758</v>
      </c>
      <c r="B678" s="30" t="s">
        <v>333</v>
      </c>
      <c r="C678" s="20" t="s">
        <v>640</v>
      </c>
      <c r="D678" s="20" t="s">
        <v>701</v>
      </c>
      <c r="E678" s="20" t="s">
        <v>2870</v>
      </c>
      <c r="F678" s="20" t="s">
        <v>2871</v>
      </c>
      <c r="G678" s="21">
        <v>18.8</v>
      </c>
      <c r="H678" s="16">
        <v>26</v>
      </c>
      <c r="I678" s="16"/>
      <c r="J678" s="17">
        <v>488.8</v>
      </c>
      <c r="K678" s="22"/>
      <c r="L678" s="23"/>
      <c r="M678" s="23">
        <v>0</v>
      </c>
      <c r="N678" s="19">
        <v>37.6</v>
      </c>
      <c r="O678" s="19">
        <v>-94</v>
      </c>
      <c r="P678" s="48">
        <v>94</v>
      </c>
      <c r="Q678" s="17">
        <v>0</v>
      </c>
      <c r="R678" s="24">
        <v>488.8</v>
      </c>
      <c r="S678" s="18" t="s">
        <v>28</v>
      </c>
      <c r="T678" s="25">
        <v>7</v>
      </c>
    </row>
    <row r="679" spans="1:20" s="26" customFormat="1" x14ac:dyDescent="0.25">
      <c r="A679" s="16">
        <v>203290</v>
      </c>
      <c r="B679" s="30" t="s">
        <v>335</v>
      </c>
      <c r="C679" s="20" t="s">
        <v>641</v>
      </c>
      <c r="D679" s="20" t="s">
        <v>704</v>
      </c>
      <c r="E679" s="20" t="s">
        <v>2872</v>
      </c>
      <c r="F679" s="20" t="s">
        <v>2873</v>
      </c>
      <c r="G679" s="21">
        <v>18.8</v>
      </c>
      <c r="H679" s="16">
        <v>26</v>
      </c>
      <c r="I679" s="16"/>
      <c r="J679" s="17">
        <v>488.8</v>
      </c>
      <c r="K679" s="22"/>
      <c r="L679" s="23"/>
      <c r="M679" s="23">
        <v>0</v>
      </c>
      <c r="N679" s="19">
        <v>37.6</v>
      </c>
      <c r="O679" s="19">
        <v>-94</v>
      </c>
      <c r="P679" s="48">
        <v>94</v>
      </c>
      <c r="Q679" s="17">
        <v>0</v>
      </c>
      <c r="R679" s="24">
        <v>488.8</v>
      </c>
      <c r="S679" s="18" t="s">
        <v>28</v>
      </c>
      <c r="T679" s="25">
        <v>7</v>
      </c>
    </row>
    <row r="680" spans="1:20" s="26" customFormat="1" x14ac:dyDescent="0.25">
      <c r="A680" s="16">
        <v>220828</v>
      </c>
      <c r="B680" s="30" t="s">
        <v>336</v>
      </c>
      <c r="C680" s="20" t="s">
        <v>641</v>
      </c>
      <c r="D680" s="20" t="s">
        <v>705</v>
      </c>
      <c r="E680" s="20" t="s">
        <v>2874</v>
      </c>
      <c r="F680" s="20" t="s">
        <v>2875</v>
      </c>
      <c r="G680" s="21">
        <v>18.8</v>
      </c>
      <c r="H680" s="16">
        <v>26</v>
      </c>
      <c r="I680" s="16">
        <v>1</v>
      </c>
      <c r="J680" s="17">
        <v>470</v>
      </c>
      <c r="K680" s="22"/>
      <c r="L680" s="23"/>
      <c r="M680" s="23">
        <v>0</v>
      </c>
      <c r="N680" s="19">
        <v>37.6</v>
      </c>
      <c r="O680" s="19">
        <v>-94</v>
      </c>
      <c r="P680" s="48">
        <v>94</v>
      </c>
      <c r="Q680" s="17">
        <v>0</v>
      </c>
      <c r="R680" s="24">
        <v>470</v>
      </c>
      <c r="S680" s="18" t="s">
        <v>28</v>
      </c>
      <c r="T680" s="25">
        <v>7</v>
      </c>
    </row>
    <row r="681" spans="1:20" s="26" customFormat="1" x14ac:dyDescent="0.25">
      <c r="A681" s="16">
        <v>223173</v>
      </c>
      <c r="B681" s="30" t="s">
        <v>299</v>
      </c>
      <c r="C681" s="20" t="s">
        <v>641</v>
      </c>
      <c r="D681" s="20" t="s">
        <v>704</v>
      </c>
      <c r="E681" s="20" t="s">
        <v>2876</v>
      </c>
      <c r="F681" s="20" t="s">
        <v>2877</v>
      </c>
      <c r="G681" s="21">
        <v>18.8</v>
      </c>
      <c r="H681" s="16">
        <v>26</v>
      </c>
      <c r="I681" s="16">
        <v>1</v>
      </c>
      <c r="J681" s="17">
        <v>470</v>
      </c>
      <c r="K681" s="22"/>
      <c r="L681" s="23"/>
      <c r="M681" s="23">
        <v>0</v>
      </c>
      <c r="N681" s="19">
        <v>37.6</v>
      </c>
      <c r="O681" s="19">
        <v>-94</v>
      </c>
      <c r="P681" s="48">
        <v>94</v>
      </c>
      <c r="Q681" s="17">
        <v>0</v>
      </c>
      <c r="R681" s="24">
        <v>470</v>
      </c>
      <c r="S681" s="18" t="s">
        <v>28</v>
      </c>
      <c r="T681" s="25">
        <v>7</v>
      </c>
    </row>
    <row r="682" spans="1:20" s="26" customFormat="1" x14ac:dyDescent="0.25">
      <c r="A682" s="16">
        <v>229831</v>
      </c>
      <c r="B682" s="30" t="s">
        <v>1463</v>
      </c>
      <c r="C682" s="20" t="s">
        <v>641</v>
      </c>
      <c r="D682" s="20" t="s">
        <v>704</v>
      </c>
      <c r="E682" s="20" t="s">
        <v>2878</v>
      </c>
      <c r="F682" s="20" t="s">
        <v>2879</v>
      </c>
      <c r="G682" s="21">
        <v>18.8</v>
      </c>
      <c r="H682" s="16">
        <v>26</v>
      </c>
      <c r="I682" s="16"/>
      <c r="J682" s="17">
        <v>488.8</v>
      </c>
      <c r="K682" s="22"/>
      <c r="L682" s="23"/>
      <c r="M682" s="23">
        <v>0</v>
      </c>
      <c r="N682" s="19">
        <v>37.6</v>
      </c>
      <c r="O682" s="19">
        <v>-94</v>
      </c>
      <c r="P682" s="48">
        <v>94</v>
      </c>
      <c r="Q682" s="17">
        <v>0</v>
      </c>
      <c r="R682" s="24">
        <v>488.8</v>
      </c>
      <c r="S682" s="18" t="s">
        <v>28</v>
      </c>
      <c r="T682" s="25">
        <v>7</v>
      </c>
    </row>
    <row r="683" spans="1:20" s="26" customFormat="1" x14ac:dyDescent="0.25">
      <c r="A683" s="16">
        <v>232530</v>
      </c>
      <c r="B683" s="30" t="s">
        <v>905</v>
      </c>
      <c r="C683" s="20" t="s">
        <v>641</v>
      </c>
      <c r="D683" s="20" t="s">
        <v>704</v>
      </c>
      <c r="E683" s="20" t="s">
        <v>2880</v>
      </c>
      <c r="F683" s="20" t="s">
        <v>2881</v>
      </c>
      <c r="G683" s="21">
        <v>18.8</v>
      </c>
      <c r="H683" s="16">
        <v>26</v>
      </c>
      <c r="I683" s="16">
        <v>1</v>
      </c>
      <c r="J683" s="17">
        <v>470</v>
      </c>
      <c r="K683" s="22"/>
      <c r="L683" s="23"/>
      <c r="M683" s="23">
        <v>0</v>
      </c>
      <c r="N683" s="19">
        <v>37.6</v>
      </c>
      <c r="O683" s="19">
        <v>-94</v>
      </c>
      <c r="P683" s="48">
        <v>94</v>
      </c>
      <c r="Q683" s="17">
        <v>0</v>
      </c>
      <c r="R683" s="24">
        <v>470</v>
      </c>
      <c r="S683" s="18" t="s">
        <v>28</v>
      </c>
      <c r="T683" s="25">
        <v>7</v>
      </c>
    </row>
    <row r="684" spans="1:20" s="26" customFormat="1" x14ac:dyDescent="0.25">
      <c r="A684" s="16">
        <v>220124</v>
      </c>
      <c r="B684" s="30" t="s">
        <v>337</v>
      </c>
      <c r="C684" s="20" t="s">
        <v>658</v>
      </c>
      <c r="D684" s="20" t="s">
        <v>746</v>
      </c>
      <c r="E684" s="20" t="s">
        <v>2882</v>
      </c>
      <c r="F684" s="20" t="s">
        <v>2883</v>
      </c>
      <c r="G684" s="21">
        <v>18.8</v>
      </c>
      <c r="H684" s="16">
        <v>26</v>
      </c>
      <c r="I684" s="16">
        <v>1</v>
      </c>
      <c r="J684" s="17">
        <v>470</v>
      </c>
      <c r="K684" s="22"/>
      <c r="L684" s="23"/>
      <c r="M684" s="23">
        <v>0</v>
      </c>
      <c r="N684" s="19">
        <v>37.6</v>
      </c>
      <c r="O684" s="19">
        <v>-94</v>
      </c>
      <c r="P684" s="48">
        <v>94</v>
      </c>
      <c r="Q684" s="17">
        <v>0</v>
      </c>
      <c r="R684" s="24">
        <v>470</v>
      </c>
      <c r="S684" s="18" t="s">
        <v>28</v>
      </c>
      <c r="T684" s="25">
        <v>8</v>
      </c>
    </row>
    <row r="685" spans="1:20" s="26" customFormat="1" x14ac:dyDescent="0.25">
      <c r="A685" s="16">
        <v>234128</v>
      </c>
      <c r="B685" s="30" t="s">
        <v>1464</v>
      </c>
      <c r="C685" s="20" t="s">
        <v>651</v>
      </c>
      <c r="D685" s="20" t="s">
        <v>716</v>
      </c>
      <c r="E685" s="20" t="s">
        <v>2884</v>
      </c>
      <c r="F685" s="20" t="s">
        <v>2885</v>
      </c>
      <c r="G685" s="21">
        <v>18.8</v>
      </c>
      <c r="H685" s="16">
        <v>16</v>
      </c>
      <c r="I685" s="16">
        <v>7</v>
      </c>
      <c r="J685" s="17">
        <v>169.20000000000002</v>
      </c>
      <c r="K685" s="22"/>
      <c r="L685" s="23"/>
      <c r="M685" s="23">
        <v>0</v>
      </c>
      <c r="N685" s="19">
        <v>37.6</v>
      </c>
      <c r="O685" s="19">
        <v>-94</v>
      </c>
      <c r="P685" s="48">
        <v>94</v>
      </c>
      <c r="Q685" s="17">
        <v>0</v>
      </c>
      <c r="R685" s="24">
        <v>169.20000000000002</v>
      </c>
      <c r="S685" s="18" t="s">
        <v>28</v>
      </c>
      <c r="T685" s="25">
        <v>8</v>
      </c>
    </row>
    <row r="686" spans="1:20" s="26" customFormat="1" x14ac:dyDescent="0.25">
      <c r="A686" s="16">
        <v>232301</v>
      </c>
      <c r="B686" s="30" t="s">
        <v>906</v>
      </c>
      <c r="C686" s="20" t="s">
        <v>636</v>
      </c>
      <c r="D686" s="20" t="s">
        <v>729</v>
      </c>
      <c r="E686" s="20" t="s">
        <v>2886</v>
      </c>
      <c r="F686" s="20" t="s">
        <v>2887</v>
      </c>
      <c r="G686" s="21">
        <v>9.4</v>
      </c>
      <c r="H686" s="16">
        <v>22</v>
      </c>
      <c r="I686" s="16">
        <v>3</v>
      </c>
      <c r="J686" s="17">
        <v>178.6</v>
      </c>
      <c r="K686" s="22"/>
      <c r="L686" s="23"/>
      <c r="M686" s="23">
        <v>0</v>
      </c>
      <c r="N686" s="19">
        <v>18.8</v>
      </c>
      <c r="O686" s="19">
        <v>-47</v>
      </c>
      <c r="P686" s="48">
        <v>47</v>
      </c>
      <c r="Q686" s="17">
        <v>0</v>
      </c>
      <c r="R686" s="24">
        <v>178.6</v>
      </c>
      <c r="S686" s="18" t="s">
        <v>28</v>
      </c>
      <c r="T686" s="25">
        <v>8</v>
      </c>
    </row>
    <row r="687" spans="1:20" s="26" customFormat="1" x14ac:dyDescent="0.25">
      <c r="A687" s="16">
        <v>232408</v>
      </c>
      <c r="B687" s="30" t="s">
        <v>907</v>
      </c>
      <c r="C687" s="20" t="s">
        <v>636</v>
      </c>
      <c r="D687" s="20" t="s">
        <v>729</v>
      </c>
      <c r="E687" s="20" t="s">
        <v>2888</v>
      </c>
      <c r="F687" s="20" t="s">
        <v>2889</v>
      </c>
      <c r="G687" s="21">
        <v>18.8</v>
      </c>
      <c r="H687" s="16">
        <v>22</v>
      </c>
      <c r="I687" s="16"/>
      <c r="J687" s="17">
        <v>413.6</v>
      </c>
      <c r="K687" s="22"/>
      <c r="L687" s="23"/>
      <c r="M687" s="23">
        <v>0</v>
      </c>
      <c r="N687" s="19">
        <v>37.6</v>
      </c>
      <c r="O687" s="19">
        <v>-94</v>
      </c>
      <c r="P687" s="48">
        <v>94</v>
      </c>
      <c r="Q687" s="17">
        <v>0</v>
      </c>
      <c r="R687" s="24">
        <v>413.6</v>
      </c>
      <c r="S687" s="18" t="s">
        <v>28</v>
      </c>
      <c r="T687" s="25">
        <v>8</v>
      </c>
    </row>
    <row r="688" spans="1:20" s="26" customFormat="1" x14ac:dyDescent="0.25">
      <c r="A688" s="16">
        <v>232409</v>
      </c>
      <c r="B688" s="30" t="s">
        <v>908</v>
      </c>
      <c r="C688" s="20" t="s">
        <v>636</v>
      </c>
      <c r="D688" s="20" t="s">
        <v>729</v>
      </c>
      <c r="E688" s="20" t="s">
        <v>2890</v>
      </c>
      <c r="F688" s="20" t="s">
        <v>2891</v>
      </c>
      <c r="G688" s="21">
        <v>9.4</v>
      </c>
      <c r="H688" s="16">
        <v>22</v>
      </c>
      <c r="I688" s="16">
        <v>2</v>
      </c>
      <c r="J688" s="17">
        <v>188</v>
      </c>
      <c r="K688" s="22"/>
      <c r="L688" s="23"/>
      <c r="M688" s="23">
        <v>0</v>
      </c>
      <c r="N688" s="19">
        <v>18.8</v>
      </c>
      <c r="O688" s="19">
        <v>-47</v>
      </c>
      <c r="P688" s="48">
        <v>47</v>
      </c>
      <c r="Q688" s="17">
        <v>0</v>
      </c>
      <c r="R688" s="24">
        <v>188</v>
      </c>
      <c r="S688" s="18" t="s">
        <v>28</v>
      </c>
      <c r="T688" s="25">
        <v>8</v>
      </c>
    </row>
    <row r="689" spans="1:20" s="26" customFormat="1" x14ac:dyDescent="0.25">
      <c r="A689" s="16">
        <v>232410</v>
      </c>
      <c r="B689" s="30" t="s">
        <v>909</v>
      </c>
      <c r="C689" s="20" t="s">
        <v>636</v>
      </c>
      <c r="D689" s="20" t="s">
        <v>729</v>
      </c>
      <c r="E689" s="20" t="s">
        <v>2892</v>
      </c>
      <c r="F689" s="20" t="s">
        <v>2893</v>
      </c>
      <c r="G689" s="21">
        <v>9.4</v>
      </c>
      <c r="H689" s="16">
        <v>22</v>
      </c>
      <c r="I689" s="16">
        <v>1</v>
      </c>
      <c r="J689" s="17">
        <v>197.4</v>
      </c>
      <c r="K689" s="22"/>
      <c r="L689" s="23"/>
      <c r="M689" s="23">
        <v>0</v>
      </c>
      <c r="N689" s="19">
        <v>18.8</v>
      </c>
      <c r="O689" s="19">
        <v>-47</v>
      </c>
      <c r="P689" s="48">
        <v>47</v>
      </c>
      <c r="Q689" s="17">
        <v>0</v>
      </c>
      <c r="R689" s="24">
        <v>197.4</v>
      </c>
      <c r="S689" s="18" t="s">
        <v>28</v>
      </c>
      <c r="T689" s="25">
        <v>8</v>
      </c>
    </row>
    <row r="690" spans="1:20" s="26" customFormat="1" x14ac:dyDescent="0.25">
      <c r="A690" s="16">
        <v>218926</v>
      </c>
      <c r="B690" s="30" t="s">
        <v>339</v>
      </c>
      <c r="C690" s="20" t="s">
        <v>653</v>
      </c>
      <c r="D690" s="20" t="s">
        <v>891</v>
      </c>
      <c r="E690" s="20" t="s">
        <v>2894</v>
      </c>
      <c r="F690" s="20" t="s">
        <v>2895</v>
      </c>
      <c r="G690" s="21">
        <v>18.8</v>
      </c>
      <c r="H690" s="16">
        <v>26</v>
      </c>
      <c r="I690" s="16">
        <v>2</v>
      </c>
      <c r="J690" s="17">
        <v>451.20000000000005</v>
      </c>
      <c r="K690" s="22"/>
      <c r="L690" s="23"/>
      <c r="M690" s="23">
        <v>0</v>
      </c>
      <c r="N690" s="19">
        <v>37.6</v>
      </c>
      <c r="O690" s="19">
        <v>-94</v>
      </c>
      <c r="P690" s="48">
        <v>94</v>
      </c>
      <c r="Q690" s="17">
        <v>0</v>
      </c>
      <c r="R690" s="24">
        <v>451.20000000000005</v>
      </c>
      <c r="S690" s="18" t="s">
        <v>28</v>
      </c>
      <c r="T690" s="25">
        <v>8</v>
      </c>
    </row>
    <row r="691" spans="1:20" s="26" customFormat="1" x14ac:dyDescent="0.25">
      <c r="A691" s="16">
        <v>219888</v>
      </c>
      <c r="B691" s="30" t="s">
        <v>341</v>
      </c>
      <c r="C691" s="20" t="s">
        <v>640</v>
      </c>
      <c r="D691" s="20" t="s">
        <v>702</v>
      </c>
      <c r="E691" s="20" t="s">
        <v>2896</v>
      </c>
      <c r="F691" s="20" t="s">
        <v>2897</v>
      </c>
      <c r="G691" s="21">
        <v>18.8</v>
      </c>
      <c r="H691" s="16">
        <v>26</v>
      </c>
      <c r="I691" s="16">
        <v>11</v>
      </c>
      <c r="J691" s="17">
        <v>282</v>
      </c>
      <c r="K691" s="22"/>
      <c r="L691" s="23"/>
      <c r="M691" s="23">
        <v>0</v>
      </c>
      <c r="N691" s="19">
        <v>37.6</v>
      </c>
      <c r="O691" s="19">
        <v>-94</v>
      </c>
      <c r="P691" s="48">
        <v>94</v>
      </c>
      <c r="Q691" s="17">
        <v>0</v>
      </c>
      <c r="R691" s="24">
        <v>282</v>
      </c>
      <c r="S691" s="18" t="s">
        <v>28</v>
      </c>
      <c r="T691" s="25">
        <v>8</v>
      </c>
    </row>
    <row r="692" spans="1:20" s="26" customFormat="1" x14ac:dyDescent="0.25">
      <c r="A692" s="16">
        <v>223990</v>
      </c>
      <c r="B692" s="30" t="s">
        <v>1078</v>
      </c>
      <c r="C692" s="20" t="s">
        <v>655</v>
      </c>
      <c r="D692" s="20" t="s">
        <v>732</v>
      </c>
      <c r="E692" s="20" t="s">
        <v>2898</v>
      </c>
      <c r="F692" s="20" t="s">
        <v>2899</v>
      </c>
      <c r="G692" s="21">
        <v>18.8</v>
      </c>
      <c r="H692" s="16">
        <v>26</v>
      </c>
      <c r="I692" s="16">
        <v>1</v>
      </c>
      <c r="J692" s="17">
        <v>470</v>
      </c>
      <c r="K692" s="22"/>
      <c r="L692" s="23"/>
      <c r="M692" s="23">
        <v>0</v>
      </c>
      <c r="N692" s="19">
        <v>37.6</v>
      </c>
      <c r="O692" s="19">
        <v>-94</v>
      </c>
      <c r="P692" s="48">
        <v>94</v>
      </c>
      <c r="Q692" s="17">
        <v>0</v>
      </c>
      <c r="R692" s="24">
        <v>470</v>
      </c>
      <c r="S692" s="18" t="s">
        <v>28</v>
      </c>
      <c r="T692" s="25">
        <v>8</v>
      </c>
    </row>
    <row r="693" spans="1:20" s="26" customFormat="1" x14ac:dyDescent="0.25">
      <c r="A693" s="16">
        <v>221932</v>
      </c>
      <c r="B693" s="30" t="s">
        <v>342</v>
      </c>
      <c r="C693" s="20" t="s">
        <v>645</v>
      </c>
      <c r="D693" s="20" t="s">
        <v>748</v>
      </c>
      <c r="E693" s="20" t="s">
        <v>2900</v>
      </c>
      <c r="F693" s="20" t="s">
        <v>2901</v>
      </c>
      <c r="G693" s="21">
        <v>18.8</v>
      </c>
      <c r="H693" s="16">
        <v>26</v>
      </c>
      <c r="I693" s="16"/>
      <c r="J693" s="17">
        <v>488.8</v>
      </c>
      <c r="K693" s="22"/>
      <c r="L693" s="23"/>
      <c r="M693" s="23">
        <v>0</v>
      </c>
      <c r="N693" s="19">
        <v>37.6</v>
      </c>
      <c r="O693" s="19">
        <v>-94</v>
      </c>
      <c r="P693" s="48">
        <v>94</v>
      </c>
      <c r="Q693" s="17">
        <v>0</v>
      </c>
      <c r="R693" s="24">
        <v>488.8</v>
      </c>
      <c r="S693" s="18" t="s">
        <v>28</v>
      </c>
      <c r="T693" s="25">
        <v>8</v>
      </c>
    </row>
    <row r="694" spans="1:20" s="26" customFormat="1" x14ac:dyDescent="0.25">
      <c r="A694" s="16">
        <v>213049</v>
      </c>
      <c r="B694" s="30" t="s">
        <v>343</v>
      </c>
      <c r="C694" s="20" t="s">
        <v>647</v>
      </c>
      <c r="D694" s="20" t="s">
        <v>722</v>
      </c>
      <c r="E694" s="20" t="s">
        <v>2902</v>
      </c>
      <c r="F694" s="20" t="s">
        <v>2903</v>
      </c>
      <c r="G694" s="21">
        <v>18.8</v>
      </c>
      <c r="H694" s="16">
        <v>26</v>
      </c>
      <c r="I694" s="16"/>
      <c r="J694" s="17">
        <v>488.8</v>
      </c>
      <c r="K694" s="22"/>
      <c r="L694" s="23"/>
      <c r="M694" s="23">
        <v>0</v>
      </c>
      <c r="N694" s="19">
        <v>37.6</v>
      </c>
      <c r="O694" s="19">
        <v>-94</v>
      </c>
      <c r="P694" s="48">
        <v>94</v>
      </c>
      <c r="Q694" s="17">
        <v>0</v>
      </c>
      <c r="R694" s="24">
        <v>488.8</v>
      </c>
      <c r="S694" s="18" t="s">
        <v>28</v>
      </c>
      <c r="T694" s="25">
        <v>9</v>
      </c>
    </row>
    <row r="695" spans="1:20" s="26" customFormat="1" x14ac:dyDescent="0.25">
      <c r="A695" s="16">
        <v>219636</v>
      </c>
      <c r="B695" s="30" t="s">
        <v>344</v>
      </c>
      <c r="C695" s="20" t="s">
        <v>647</v>
      </c>
      <c r="D695" s="20" t="s">
        <v>720</v>
      </c>
      <c r="E695" s="20" t="s">
        <v>2904</v>
      </c>
      <c r="F695" s="20" t="s">
        <v>2905</v>
      </c>
      <c r="G695" s="21">
        <v>18.8</v>
      </c>
      <c r="H695" s="16">
        <v>26</v>
      </c>
      <c r="I695" s="16">
        <v>1</v>
      </c>
      <c r="J695" s="17">
        <v>470</v>
      </c>
      <c r="K695" s="22"/>
      <c r="L695" s="23"/>
      <c r="M695" s="23">
        <v>0</v>
      </c>
      <c r="N695" s="19">
        <v>37.6</v>
      </c>
      <c r="O695" s="19">
        <v>-94</v>
      </c>
      <c r="P695" s="48">
        <v>94</v>
      </c>
      <c r="Q695" s="17">
        <v>0</v>
      </c>
      <c r="R695" s="24">
        <v>470</v>
      </c>
      <c r="S695" s="18" t="s">
        <v>28</v>
      </c>
      <c r="T695" s="25">
        <v>9</v>
      </c>
    </row>
    <row r="696" spans="1:20" s="26" customFormat="1" x14ac:dyDescent="0.25">
      <c r="A696" s="16">
        <v>234547</v>
      </c>
      <c r="B696" s="30" t="s">
        <v>1318</v>
      </c>
      <c r="C696" s="20" t="s">
        <v>647</v>
      </c>
      <c r="D696" s="20" t="s">
        <v>721</v>
      </c>
      <c r="E696" s="20" t="s">
        <v>2906</v>
      </c>
      <c r="F696" s="20" t="s">
        <v>2907</v>
      </c>
      <c r="G696" s="21">
        <v>10</v>
      </c>
      <c r="H696" s="16">
        <v>26</v>
      </c>
      <c r="I696" s="16"/>
      <c r="J696" s="17">
        <v>260</v>
      </c>
      <c r="K696" s="22"/>
      <c r="L696" s="23"/>
      <c r="M696" s="23">
        <v>0</v>
      </c>
      <c r="N696" s="19">
        <v>20</v>
      </c>
      <c r="O696" s="19">
        <v>-50</v>
      </c>
      <c r="P696" s="48">
        <v>50</v>
      </c>
      <c r="Q696" s="17">
        <v>0</v>
      </c>
      <c r="R696" s="24">
        <v>260</v>
      </c>
      <c r="S696" s="18" t="s">
        <v>28</v>
      </c>
      <c r="T696" s="25">
        <v>9</v>
      </c>
    </row>
    <row r="697" spans="1:20" s="26" customFormat="1" x14ac:dyDescent="0.25">
      <c r="A697" s="16">
        <v>220332</v>
      </c>
      <c r="B697" s="30" t="s">
        <v>346</v>
      </c>
      <c r="C697" s="20" t="s">
        <v>648</v>
      </c>
      <c r="D697" s="20" t="s">
        <v>718</v>
      </c>
      <c r="E697" s="20" t="s">
        <v>2908</v>
      </c>
      <c r="F697" s="20" t="s">
        <v>2909</v>
      </c>
      <c r="G697" s="21">
        <v>10</v>
      </c>
      <c r="H697" s="16">
        <v>26</v>
      </c>
      <c r="I697" s="16">
        <v>3</v>
      </c>
      <c r="J697" s="17">
        <v>230</v>
      </c>
      <c r="K697" s="22"/>
      <c r="L697" s="23"/>
      <c r="M697" s="23">
        <v>0</v>
      </c>
      <c r="N697" s="19">
        <v>20</v>
      </c>
      <c r="O697" s="19">
        <v>-50</v>
      </c>
      <c r="P697" s="48">
        <v>50</v>
      </c>
      <c r="Q697" s="17">
        <v>0</v>
      </c>
      <c r="R697" s="24">
        <v>230</v>
      </c>
      <c r="S697" s="18" t="s">
        <v>28</v>
      </c>
      <c r="T697" s="25">
        <v>9</v>
      </c>
    </row>
    <row r="698" spans="1:20" s="26" customFormat="1" x14ac:dyDescent="0.25">
      <c r="A698" s="16">
        <v>232179</v>
      </c>
      <c r="B698" s="30" t="s">
        <v>886</v>
      </c>
      <c r="C698" s="20" t="s">
        <v>650</v>
      </c>
      <c r="D698" s="20" t="s">
        <v>726</v>
      </c>
      <c r="E698" s="20" t="s">
        <v>2910</v>
      </c>
      <c r="F698" s="20" t="s">
        <v>2911</v>
      </c>
      <c r="G698" s="21">
        <v>10</v>
      </c>
      <c r="H698" s="16">
        <v>26</v>
      </c>
      <c r="I698" s="16"/>
      <c r="J698" s="17">
        <v>260</v>
      </c>
      <c r="K698" s="22"/>
      <c r="L698" s="23"/>
      <c r="M698" s="23">
        <v>0</v>
      </c>
      <c r="N698" s="19">
        <v>20</v>
      </c>
      <c r="O698" s="19">
        <v>-50</v>
      </c>
      <c r="P698" s="48">
        <v>50</v>
      </c>
      <c r="Q698" s="17">
        <v>0</v>
      </c>
      <c r="R698" s="24">
        <v>260</v>
      </c>
      <c r="S698" s="18" t="s">
        <v>28</v>
      </c>
      <c r="T698" s="25">
        <v>9</v>
      </c>
    </row>
    <row r="699" spans="1:20" s="26" customFormat="1" x14ac:dyDescent="0.25">
      <c r="A699" s="65">
        <v>234523</v>
      </c>
      <c r="B699" s="30" t="s">
        <v>1319</v>
      </c>
      <c r="C699" s="20" t="s">
        <v>650</v>
      </c>
      <c r="D699" s="20" t="s">
        <v>726</v>
      </c>
      <c r="E699" s="20" t="s">
        <v>2912</v>
      </c>
      <c r="F699" s="20" t="s">
        <v>4180</v>
      </c>
      <c r="G699" s="21">
        <v>10</v>
      </c>
      <c r="H699" s="16">
        <v>0</v>
      </c>
      <c r="I699" s="16">
        <v>0</v>
      </c>
      <c r="J699" s="17">
        <v>0</v>
      </c>
      <c r="K699" s="22"/>
      <c r="L699" s="23"/>
      <c r="M699" s="23">
        <v>0</v>
      </c>
      <c r="N699" s="19">
        <v>20</v>
      </c>
      <c r="O699" s="19">
        <v>-50</v>
      </c>
      <c r="P699" s="48">
        <v>50</v>
      </c>
      <c r="Q699" s="17">
        <v>0</v>
      </c>
      <c r="R699" s="24">
        <v>0</v>
      </c>
      <c r="S699" s="18" t="s">
        <v>12</v>
      </c>
      <c r="T699" s="25">
        <v>9</v>
      </c>
    </row>
    <row r="700" spans="1:20" s="26" customFormat="1" x14ac:dyDescent="0.25">
      <c r="A700" s="16">
        <v>213181</v>
      </c>
      <c r="B700" s="30" t="s">
        <v>347</v>
      </c>
      <c r="C700" s="20" t="s">
        <v>651</v>
      </c>
      <c r="D700" s="20" t="s">
        <v>719</v>
      </c>
      <c r="E700" s="20" t="s">
        <v>2914</v>
      </c>
      <c r="F700" s="20" t="s">
        <v>2915</v>
      </c>
      <c r="G700" s="21">
        <v>18.8</v>
      </c>
      <c r="H700" s="16">
        <v>16</v>
      </c>
      <c r="I700" s="16"/>
      <c r="J700" s="17">
        <v>300.8</v>
      </c>
      <c r="K700" s="22"/>
      <c r="L700" s="23"/>
      <c r="M700" s="23">
        <v>0</v>
      </c>
      <c r="N700" s="19">
        <v>37.6</v>
      </c>
      <c r="O700" s="19">
        <v>-94</v>
      </c>
      <c r="P700" s="48">
        <v>94</v>
      </c>
      <c r="Q700" s="17">
        <v>0</v>
      </c>
      <c r="R700" s="24">
        <v>300.8</v>
      </c>
      <c r="S700" s="18" t="s">
        <v>28</v>
      </c>
      <c r="T700" s="25">
        <v>9</v>
      </c>
    </row>
    <row r="701" spans="1:20" s="26" customFormat="1" x14ac:dyDescent="0.25">
      <c r="A701" s="16">
        <v>219711</v>
      </c>
      <c r="B701" s="30" t="s">
        <v>348</v>
      </c>
      <c r="C701" s="20" t="s">
        <v>651</v>
      </c>
      <c r="D701" s="20" t="s">
        <v>719</v>
      </c>
      <c r="E701" s="20" t="s">
        <v>2916</v>
      </c>
      <c r="F701" s="20" t="s">
        <v>2917</v>
      </c>
      <c r="G701" s="21">
        <v>10</v>
      </c>
      <c r="H701" s="16">
        <v>16</v>
      </c>
      <c r="I701" s="16"/>
      <c r="J701" s="17">
        <v>160</v>
      </c>
      <c r="K701" s="22"/>
      <c r="L701" s="23"/>
      <c r="M701" s="23">
        <v>0</v>
      </c>
      <c r="N701" s="19">
        <v>20</v>
      </c>
      <c r="O701" s="19">
        <v>-50</v>
      </c>
      <c r="P701" s="48">
        <v>50</v>
      </c>
      <c r="Q701" s="17">
        <v>0</v>
      </c>
      <c r="R701" s="24">
        <v>160</v>
      </c>
      <c r="S701" s="18" t="s">
        <v>28</v>
      </c>
      <c r="T701" s="25">
        <v>9</v>
      </c>
    </row>
    <row r="702" spans="1:20" s="26" customFormat="1" x14ac:dyDescent="0.25">
      <c r="A702" s="16">
        <v>228393</v>
      </c>
      <c r="B702" s="30" t="s">
        <v>349</v>
      </c>
      <c r="C702" s="20" t="s">
        <v>651</v>
      </c>
      <c r="D702" s="20" t="s">
        <v>719</v>
      </c>
      <c r="E702" s="20" t="s">
        <v>2918</v>
      </c>
      <c r="F702" s="20" t="s">
        <v>2919</v>
      </c>
      <c r="G702" s="21">
        <v>10</v>
      </c>
      <c r="H702" s="16">
        <v>26</v>
      </c>
      <c r="I702" s="16"/>
      <c r="J702" s="17">
        <v>260</v>
      </c>
      <c r="K702" s="22"/>
      <c r="L702" s="23"/>
      <c r="M702" s="23">
        <v>0</v>
      </c>
      <c r="N702" s="19">
        <v>20</v>
      </c>
      <c r="O702" s="19">
        <v>-50</v>
      </c>
      <c r="P702" s="48">
        <v>50</v>
      </c>
      <c r="Q702" s="17">
        <v>0</v>
      </c>
      <c r="R702" s="24">
        <v>260</v>
      </c>
      <c r="S702" s="18" t="s">
        <v>28</v>
      </c>
      <c r="T702" s="25">
        <v>9</v>
      </c>
    </row>
    <row r="703" spans="1:20" s="26" customFormat="1" x14ac:dyDescent="0.25">
      <c r="A703" s="16">
        <v>228706</v>
      </c>
      <c r="B703" s="30" t="s">
        <v>1465</v>
      </c>
      <c r="C703" s="20" t="s">
        <v>651</v>
      </c>
      <c r="D703" s="20" t="s">
        <v>719</v>
      </c>
      <c r="E703" s="20" t="s">
        <v>2920</v>
      </c>
      <c r="F703" s="20" t="s">
        <v>2921</v>
      </c>
      <c r="G703" s="21">
        <v>10</v>
      </c>
      <c r="H703" s="16">
        <v>16</v>
      </c>
      <c r="I703" s="16"/>
      <c r="J703" s="17">
        <v>160</v>
      </c>
      <c r="K703" s="22"/>
      <c r="L703" s="23"/>
      <c r="M703" s="23">
        <v>0</v>
      </c>
      <c r="N703" s="19">
        <v>20</v>
      </c>
      <c r="O703" s="19">
        <v>-50</v>
      </c>
      <c r="P703" s="48">
        <v>50</v>
      </c>
      <c r="Q703" s="17">
        <v>0</v>
      </c>
      <c r="R703" s="24">
        <v>160</v>
      </c>
      <c r="S703" s="18" t="s">
        <v>28</v>
      </c>
      <c r="T703" s="25">
        <v>9</v>
      </c>
    </row>
    <row r="704" spans="1:20" s="26" customFormat="1" x14ac:dyDescent="0.25">
      <c r="A704" s="16">
        <v>229974</v>
      </c>
      <c r="B704" s="30" t="s">
        <v>350</v>
      </c>
      <c r="C704" s="20" t="s">
        <v>651</v>
      </c>
      <c r="D704" s="20" t="s">
        <v>717</v>
      </c>
      <c r="E704" s="20" t="s">
        <v>2922</v>
      </c>
      <c r="F704" s="20" t="s">
        <v>2923</v>
      </c>
      <c r="G704" s="21">
        <v>10</v>
      </c>
      <c r="H704" s="16">
        <v>16</v>
      </c>
      <c r="I704" s="16"/>
      <c r="J704" s="17">
        <v>160</v>
      </c>
      <c r="K704" s="22"/>
      <c r="L704" s="23"/>
      <c r="M704" s="23">
        <v>0</v>
      </c>
      <c r="N704" s="19">
        <v>20</v>
      </c>
      <c r="O704" s="19">
        <v>-50</v>
      </c>
      <c r="P704" s="48">
        <v>50</v>
      </c>
      <c r="Q704" s="17">
        <v>0</v>
      </c>
      <c r="R704" s="24">
        <v>160</v>
      </c>
      <c r="S704" s="18" t="s">
        <v>28</v>
      </c>
      <c r="T704" s="25">
        <v>9</v>
      </c>
    </row>
    <row r="705" spans="1:20" s="26" customFormat="1" x14ac:dyDescent="0.25">
      <c r="A705" s="16">
        <v>231213</v>
      </c>
      <c r="B705" s="30" t="s">
        <v>770</v>
      </c>
      <c r="C705" s="20" t="s">
        <v>651</v>
      </c>
      <c r="D705" s="20" t="s">
        <v>719</v>
      </c>
      <c r="E705" s="20" t="s">
        <v>2924</v>
      </c>
      <c r="F705" s="20" t="s">
        <v>2925</v>
      </c>
      <c r="G705" s="21">
        <v>10</v>
      </c>
      <c r="H705" s="16">
        <v>16</v>
      </c>
      <c r="I705" s="16"/>
      <c r="J705" s="17">
        <v>160</v>
      </c>
      <c r="K705" s="22"/>
      <c r="L705" s="23"/>
      <c r="M705" s="23">
        <v>0</v>
      </c>
      <c r="N705" s="19">
        <v>20</v>
      </c>
      <c r="O705" s="19">
        <v>-50</v>
      </c>
      <c r="P705" s="48">
        <v>50</v>
      </c>
      <c r="Q705" s="17">
        <v>0</v>
      </c>
      <c r="R705" s="24">
        <v>160</v>
      </c>
      <c r="S705" s="18" t="s">
        <v>28</v>
      </c>
      <c r="T705" s="25">
        <v>9</v>
      </c>
    </row>
    <row r="706" spans="1:20" s="26" customFormat="1" x14ac:dyDescent="0.25">
      <c r="A706" s="65">
        <v>234231</v>
      </c>
      <c r="B706" s="30" t="s">
        <v>1201</v>
      </c>
      <c r="C706" s="20" t="s">
        <v>651</v>
      </c>
      <c r="D706" s="20" t="s">
        <v>716</v>
      </c>
      <c r="E706" s="20" t="s">
        <v>2926</v>
      </c>
      <c r="F706" s="20" t="s">
        <v>2927</v>
      </c>
      <c r="G706" s="21">
        <v>10</v>
      </c>
      <c r="H706" s="16">
        <v>16</v>
      </c>
      <c r="I706" s="16"/>
      <c r="J706" s="17">
        <v>160</v>
      </c>
      <c r="K706" s="22"/>
      <c r="L706" s="23"/>
      <c r="M706" s="23">
        <v>0</v>
      </c>
      <c r="N706" s="19">
        <v>20</v>
      </c>
      <c r="O706" s="19">
        <v>-50</v>
      </c>
      <c r="P706" s="48">
        <v>50</v>
      </c>
      <c r="Q706" s="17">
        <v>0</v>
      </c>
      <c r="R706" s="24">
        <v>160</v>
      </c>
      <c r="S706" s="18" t="s">
        <v>28</v>
      </c>
      <c r="T706" s="25">
        <v>9</v>
      </c>
    </row>
    <row r="707" spans="1:20" s="26" customFormat="1" x14ac:dyDescent="0.25">
      <c r="A707" s="16">
        <v>234521</v>
      </c>
      <c r="B707" s="30" t="s">
        <v>1320</v>
      </c>
      <c r="C707" s="20" t="s">
        <v>651</v>
      </c>
      <c r="D707" s="20" t="s">
        <v>716</v>
      </c>
      <c r="E707" s="20" t="s">
        <v>2928</v>
      </c>
      <c r="F707" s="20" t="s">
        <v>2929</v>
      </c>
      <c r="G707" s="21">
        <v>10</v>
      </c>
      <c r="H707" s="16">
        <v>16</v>
      </c>
      <c r="I707" s="16">
        <v>1</v>
      </c>
      <c r="J707" s="17">
        <v>150</v>
      </c>
      <c r="K707" s="22"/>
      <c r="L707" s="23"/>
      <c r="M707" s="23">
        <v>0</v>
      </c>
      <c r="N707" s="19">
        <v>20</v>
      </c>
      <c r="O707" s="19">
        <v>-50</v>
      </c>
      <c r="P707" s="48">
        <v>50</v>
      </c>
      <c r="Q707" s="17">
        <v>0</v>
      </c>
      <c r="R707" s="24">
        <v>150</v>
      </c>
      <c r="S707" s="18" t="s">
        <v>28</v>
      </c>
      <c r="T707" s="25">
        <v>9</v>
      </c>
    </row>
    <row r="708" spans="1:20" s="26" customFormat="1" x14ac:dyDescent="0.25">
      <c r="A708" s="16">
        <v>234809</v>
      </c>
      <c r="B708" s="30" t="s">
        <v>1368</v>
      </c>
      <c r="C708" s="20" t="s">
        <v>651</v>
      </c>
      <c r="D708" s="20" t="s">
        <v>719</v>
      </c>
      <c r="E708" s="20" t="s">
        <v>2930</v>
      </c>
      <c r="F708" s="20" t="s">
        <v>2931</v>
      </c>
      <c r="G708" s="21">
        <v>10</v>
      </c>
      <c r="H708" s="16">
        <v>16</v>
      </c>
      <c r="I708" s="16"/>
      <c r="J708" s="17">
        <v>160</v>
      </c>
      <c r="K708" s="22"/>
      <c r="L708" s="23"/>
      <c r="M708" s="23">
        <v>0</v>
      </c>
      <c r="N708" s="19">
        <v>20</v>
      </c>
      <c r="O708" s="19">
        <v>-50</v>
      </c>
      <c r="P708" s="48">
        <v>50</v>
      </c>
      <c r="Q708" s="17">
        <v>0</v>
      </c>
      <c r="R708" s="24">
        <v>160</v>
      </c>
      <c r="S708" s="18" t="s">
        <v>28</v>
      </c>
      <c r="T708" s="25">
        <v>9</v>
      </c>
    </row>
    <row r="709" spans="1:20" s="26" customFormat="1" x14ac:dyDescent="0.25">
      <c r="A709" s="16">
        <v>212619</v>
      </c>
      <c r="B709" s="30" t="s">
        <v>478</v>
      </c>
      <c r="C709" s="20" t="s">
        <v>652</v>
      </c>
      <c r="D709" s="20" t="s">
        <v>728</v>
      </c>
      <c r="E709" s="20" t="s">
        <v>2934</v>
      </c>
      <c r="F709" s="20" t="s">
        <v>2935</v>
      </c>
      <c r="G709" s="21">
        <v>18.8</v>
      </c>
      <c r="H709" s="16">
        <v>26</v>
      </c>
      <c r="I709" s="16"/>
      <c r="J709" s="17">
        <v>488.8</v>
      </c>
      <c r="K709" s="22"/>
      <c r="L709" s="23"/>
      <c r="M709" s="23">
        <v>0</v>
      </c>
      <c r="N709" s="19">
        <v>37.6</v>
      </c>
      <c r="O709" s="19">
        <v>-94</v>
      </c>
      <c r="P709" s="48">
        <v>94</v>
      </c>
      <c r="Q709" s="17">
        <v>0</v>
      </c>
      <c r="R709" s="24">
        <v>488.8</v>
      </c>
      <c r="S709" s="18" t="s">
        <v>28</v>
      </c>
      <c r="T709" s="25">
        <v>9</v>
      </c>
    </row>
    <row r="710" spans="1:20" s="26" customFormat="1" x14ac:dyDescent="0.25">
      <c r="A710" s="16">
        <v>234784</v>
      </c>
      <c r="B710" s="30" t="s">
        <v>1369</v>
      </c>
      <c r="C710" s="20" t="s">
        <v>636</v>
      </c>
      <c r="D710" s="20" t="s">
        <v>729</v>
      </c>
      <c r="E710" s="20" t="s">
        <v>2936</v>
      </c>
      <c r="F710" s="20" t="s">
        <v>2937</v>
      </c>
      <c r="G710" s="21">
        <v>18.8</v>
      </c>
      <c r="H710" s="16">
        <v>22</v>
      </c>
      <c r="I710" s="16"/>
      <c r="J710" s="17">
        <v>413.6</v>
      </c>
      <c r="K710" s="22"/>
      <c r="L710" s="23">
        <v>357.2</v>
      </c>
      <c r="M710" s="23">
        <v>357.2</v>
      </c>
      <c r="N710" s="19">
        <v>37.6</v>
      </c>
      <c r="O710" s="19">
        <v>263.2</v>
      </c>
      <c r="P710" s="48">
        <v>94</v>
      </c>
      <c r="Q710" s="17">
        <v>263.2</v>
      </c>
      <c r="R710" s="24">
        <v>150.40000000000003</v>
      </c>
      <c r="S710" s="18" t="s">
        <v>11</v>
      </c>
      <c r="T710" s="25">
        <v>9</v>
      </c>
    </row>
    <row r="711" spans="1:20" s="26" customFormat="1" x14ac:dyDescent="0.25">
      <c r="A711" s="16">
        <v>6547</v>
      </c>
      <c r="B711" s="30" t="s">
        <v>352</v>
      </c>
      <c r="C711" s="20" t="s">
        <v>653</v>
      </c>
      <c r="D711" s="20" t="s">
        <v>891</v>
      </c>
      <c r="E711" s="20" t="s">
        <v>2938</v>
      </c>
      <c r="F711" s="20" t="s">
        <v>2939</v>
      </c>
      <c r="G711" s="21">
        <v>18.8</v>
      </c>
      <c r="H711" s="16">
        <v>26</v>
      </c>
      <c r="I711" s="16"/>
      <c r="J711" s="17">
        <v>488.8</v>
      </c>
      <c r="K711" s="22"/>
      <c r="L711" s="23">
        <v>141.80000000000001</v>
      </c>
      <c r="M711" s="23">
        <v>141.80000000000001</v>
      </c>
      <c r="N711" s="19">
        <v>37.6</v>
      </c>
      <c r="O711" s="19">
        <v>47.800000000000011</v>
      </c>
      <c r="P711" s="48">
        <v>94</v>
      </c>
      <c r="Q711" s="17">
        <v>47.800000000000011</v>
      </c>
      <c r="R711" s="24">
        <v>441</v>
      </c>
      <c r="S711" s="18" t="s">
        <v>11</v>
      </c>
      <c r="T711" s="25">
        <v>9</v>
      </c>
    </row>
    <row r="712" spans="1:20" s="26" customFormat="1" x14ac:dyDescent="0.25">
      <c r="A712" s="16">
        <v>215967</v>
      </c>
      <c r="B712" s="30" t="s">
        <v>353</v>
      </c>
      <c r="C712" s="20" t="s">
        <v>653</v>
      </c>
      <c r="D712" s="20" t="s">
        <v>714</v>
      </c>
      <c r="E712" s="20" t="s">
        <v>2940</v>
      </c>
      <c r="F712" s="20" t="s">
        <v>2941</v>
      </c>
      <c r="G712" s="21">
        <v>18.8</v>
      </c>
      <c r="H712" s="16">
        <v>26</v>
      </c>
      <c r="I712" s="16"/>
      <c r="J712" s="17">
        <v>488.8</v>
      </c>
      <c r="K712" s="22"/>
      <c r="L712" s="23"/>
      <c r="M712" s="23">
        <v>0</v>
      </c>
      <c r="N712" s="19">
        <v>37.6</v>
      </c>
      <c r="O712" s="19">
        <v>-94</v>
      </c>
      <c r="P712" s="48">
        <v>94</v>
      </c>
      <c r="Q712" s="17">
        <v>0</v>
      </c>
      <c r="R712" s="24">
        <v>488.8</v>
      </c>
      <c r="S712" s="18" t="s">
        <v>28</v>
      </c>
      <c r="T712" s="25">
        <v>9</v>
      </c>
    </row>
    <row r="713" spans="1:20" s="26" customFormat="1" x14ac:dyDescent="0.25">
      <c r="A713" s="16">
        <v>220115</v>
      </c>
      <c r="B713" s="30" t="s">
        <v>354</v>
      </c>
      <c r="C713" s="20" t="s">
        <v>653</v>
      </c>
      <c r="D713" s="20" t="s">
        <v>891</v>
      </c>
      <c r="E713" s="20" t="s">
        <v>2942</v>
      </c>
      <c r="F713" s="20" t="s">
        <v>2943</v>
      </c>
      <c r="G713" s="21">
        <v>18.8</v>
      </c>
      <c r="H713" s="16">
        <v>26</v>
      </c>
      <c r="I713" s="16"/>
      <c r="J713" s="17">
        <v>488.8</v>
      </c>
      <c r="K713" s="22"/>
      <c r="L713" s="23"/>
      <c r="M713" s="23">
        <v>0</v>
      </c>
      <c r="N713" s="19">
        <v>37.6</v>
      </c>
      <c r="O713" s="19">
        <v>-94</v>
      </c>
      <c r="P713" s="48">
        <v>94</v>
      </c>
      <c r="Q713" s="17">
        <v>0</v>
      </c>
      <c r="R713" s="24">
        <v>488.8</v>
      </c>
      <c r="S713" s="18" t="s">
        <v>28</v>
      </c>
      <c r="T713" s="25">
        <v>9</v>
      </c>
    </row>
    <row r="714" spans="1:20" s="26" customFormat="1" x14ac:dyDescent="0.25">
      <c r="A714" s="16">
        <v>224204</v>
      </c>
      <c r="B714" s="30" t="s">
        <v>1290</v>
      </c>
      <c r="C714" s="20" t="s">
        <v>653</v>
      </c>
      <c r="D714" s="20" t="s">
        <v>714</v>
      </c>
      <c r="E714" s="20" t="s">
        <v>2944</v>
      </c>
      <c r="F714" s="20" t="s">
        <v>2945</v>
      </c>
      <c r="G714" s="21">
        <v>18.8</v>
      </c>
      <c r="H714" s="16">
        <v>26</v>
      </c>
      <c r="I714" s="16">
        <v>6</v>
      </c>
      <c r="J714" s="17">
        <v>376</v>
      </c>
      <c r="K714" s="22"/>
      <c r="L714" s="23"/>
      <c r="M714" s="23">
        <v>0</v>
      </c>
      <c r="N714" s="19">
        <v>37.6</v>
      </c>
      <c r="O714" s="19">
        <v>-94</v>
      </c>
      <c r="P714" s="48">
        <v>94</v>
      </c>
      <c r="Q714" s="17">
        <v>0</v>
      </c>
      <c r="R714" s="24">
        <v>376</v>
      </c>
      <c r="S714" s="18" t="s">
        <v>28</v>
      </c>
      <c r="T714" s="25">
        <v>9</v>
      </c>
    </row>
    <row r="715" spans="1:20" s="26" customFormat="1" x14ac:dyDescent="0.25">
      <c r="A715" s="16">
        <v>226533</v>
      </c>
      <c r="B715" s="30" t="s">
        <v>1203</v>
      </c>
      <c r="C715" s="20" t="s">
        <v>653</v>
      </c>
      <c r="D715" s="20" t="s">
        <v>891</v>
      </c>
      <c r="E715" s="20" t="s">
        <v>2946</v>
      </c>
      <c r="F715" s="20" t="s">
        <v>2947</v>
      </c>
      <c r="G715" s="21">
        <v>18.8</v>
      </c>
      <c r="H715" s="16">
        <v>26</v>
      </c>
      <c r="I715" s="16"/>
      <c r="J715" s="17">
        <v>488.8</v>
      </c>
      <c r="K715" s="22"/>
      <c r="L715" s="23"/>
      <c r="M715" s="23">
        <v>0</v>
      </c>
      <c r="N715" s="19">
        <v>37.6</v>
      </c>
      <c r="O715" s="19">
        <v>-94</v>
      </c>
      <c r="P715" s="48">
        <v>94</v>
      </c>
      <c r="Q715" s="17">
        <v>0</v>
      </c>
      <c r="R715" s="24">
        <v>488.8</v>
      </c>
      <c r="S715" s="18" t="s">
        <v>28</v>
      </c>
      <c r="T715" s="25">
        <v>9</v>
      </c>
    </row>
    <row r="716" spans="1:20" s="26" customFormat="1" x14ac:dyDescent="0.25">
      <c r="A716" s="16">
        <v>231661</v>
      </c>
      <c r="B716" s="30" t="s">
        <v>1321</v>
      </c>
      <c r="C716" s="20" t="s">
        <v>653</v>
      </c>
      <c r="D716" s="20" t="s">
        <v>714</v>
      </c>
      <c r="E716" s="20" t="s">
        <v>2948</v>
      </c>
      <c r="F716" s="20" t="s">
        <v>2949</v>
      </c>
      <c r="G716" s="21">
        <v>18.8</v>
      </c>
      <c r="H716" s="16">
        <v>26</v>
      </c>
      <c r="I716" s="16"/>
      <c r="J716" s="17">
        <v>488.8</v>
      </c>
      <c r="K716" s="22"/>
      <c r="L716" s="23"/>
      <c r="M716" s="23">
        <v>0</v>
      </c>
      <c r="N716" s="19">
        <v>37.6</v>
      </c>
      <c r="O716" s="19">
        <v>-94</v>
      </c>
      <c r="P716" s="48">
        <v>94</v>
      </c>
      <c r="Q716" s="17">
        <v>0</v>
      </c>
      <c r="R716" s="24">
        <v>488.8</v>
      </c>
      <c r="S716" s="18" t="s">
        <v>28</v>
      </c>
      <c r="T716" s="25">
        <v>9</v>
      </c>
    </row>
    <row r="717" spans="1:20" s="26" customFormat="1" x14ac:dyDescent="0.25">
      <c r="A717" s="16">
        <v>232980</v>
      </c>
      <c r="B717" s="30" t="s">
        <v>993</v>
      </c>
      <c r="C717" s="20" t="s">
        <v>653</v>
      </c>
      <c r="D717" s="20" t="s">
        <v>714</v>
      </c>
      <c r="E717" s="20" t="s">
        <v>2950</v>
      </c>
      <c r="F717" s="20" t="s">
        <v>2951</v>
      </c>
      <c r="G717" s="21">
        <v>10</v>
      </c>
      <c r="H717" s="16">
        <v>26</v>
      </c>
      <c r="I717" s="16"/>
      <c r="J717" s="17">
        <v>260</v>
      </c>
      <c r="K717" s="22"/>
      <c r="L717" s="23"/>
      <c r="M717" s="23">
        <v>0</v>
      </c>
      <c r="N717" s="19">
        <v>20</v>
      </c>
      <c r="O717" s="19">
        <v>-50</v>
      </c>
      <c r="P717" s="48">
        <v>50</v>
      </c>
      <c r="Q717" s="17">
        <v>0</v>
      </c>
      <c r="R717" s="24">
        <v>260</v>
      </c>
      <c r="S717" s="18" t="s">
        <v>28</v>
      </c>
      <c r="T717" s="25">
        <v>9</v>
      </c>
    </row>
    <row r="718" spans="1:20" s="26" customFormat="1" x14ac:dyDescent="0.25">
      <c r="A718" s="16">
        <v>234345</v>
      </c>
      <c r="B718" s="30" t="s">
        <v>1291</v>
      </c>
      <c r="C718" s="20" t="s">
        <v>653</v>
      </c>
      <c r="D718" s="20" t="s">
        <v>714</v>
      </c>
      <c r="E718" s="20" t="s">
        <v>2952</v>
      </c>
      <c r="F718" s="20" t="s">
        <v>2953</v>
      </c>
      <c r="G718" s="21">
        <v>10</v>
      </c>
      <c r="H718" s="16">
        <v>26</v>
      </c>
      <c r="I718" s="16"/>
      <c r="J718" s="17">
        <v>260</v>
      </c>
      <c r="K718" s="22"/>
      <c r="L718" s="23"/>
      <c r="M718" s="23">
        <v>0</v>
      </c>
      <c r="N718" s="19">
        <v>20</v>
      </c>
      <c r="O718" s="19">
        <v>-50</v>
      </c>
      <c r="P718" s="48">
        <v>50</v>
      </c>
      <c r="Q718" s="17">
        <v>0</v>
      </c>
      <c r="R718" s="24">
        <v>260</v>
      </c>
      <c r="S718" s="18" t="s">
        <v>28</v>
      </c>
      <c r="T718" s="25">
        <v>9</v>
      </c>
    </row>
    <row r="719" spans="1:20" s="26" customFormat="1" x14ac:dyDescent="0.25">
      <c r="A719" s="16">
        <v>216299</v>
      </c>
      <c r="B719" s="30" t="s">
        <v>1079</v>
      </c>
      <c r="C719" s="20" t="s">
        <v>654</v>
      </c>
      <c r="D719" s="20" t="s">
        <v>715</v>
      </c>
      <c r="E719" s="20" t="s">
        <v>2954</v>
      </c>
      <c r="F719" s="20" t="s">
        <v>2955</v>
      </c>
      <c r="G719" s="21">
        <v>10</v>
      </c>
      <c r="H719" s="16">
        <v>26</v>
      </c>
      <c r="I719" s="16"/>
      <c r="J719" s="17">
        <v>260</v>
      </c>
      <c r="K719" s="22"/>
      <c r="L719" s="23"/>
      <c r="M719" s="23">
        <v>0</v>
      </c>
      <c r="N719" s="19">
        <v>20</v>
      </c>
      <c r="O719" s="19">
        <v>-50</v>
      </c>
      <c r="P719" s="48">
        <v>50</v>
      </c>
      <c r="Q719" s="17">
        <v>0</v>
      </c>
      <c r="R719" s="24">
        <v>260</v>
      </c>
      <c r="S719" s="18" t="s">
        <v>28</v>
      </c>
      <c r="T719" s="25">
        <v>9</v>
      </c>
    </row>
    <row r="720" spans="1:20" s="26" customFormat="1" x14ac:dyDescent="0.25">
      <c r="A720" s="16">
        <v>222480</v>
      </c>
      <c r="B720" s="30" t="s">
        <v>1322</v>
      </c>
      <c r="C720" s="20" t="s">
        <v>654</v>
      </c>
      <c r="D720" s="20" t="s">
        <v>745</v>
      </c>
      <c r="E720" s="20" t="s">
        <v>2956</v>
      </c>
      <c r="F720" s="20" t="s">
        <v>2957</v>
      </c>
      <c r="G720" s="21">
        <v>18.8</v>
      </c>
      <c r="H720" s="16">
        <v>26</v>
      </c>
      <c r="I720" s="16">
        <v>1</v>
      </c>
      <c r="J720" s="17">
        <v>470</v>
      </c>
      <c r="K720" s="22"/>
      <c r="L720" s="23"/>
      <c r="M720" s="23">
        <v>0</v>
      </c>
      <c r="N720" s="19">
        <v>37.6</v>
      </c>
      <c r="O720" s="19">
        <v>-94</v>
      </c>
      <c r="P720" s="48">
        <v>94</v>
      </c>
      <c r="Q720" s="17">
        <v>0</v>
      </c>
      <c r="R720" s="24">
        <v>470</v>
      </c>
      <c r="S720" s="18" t="s">
        <v>28</v>
      </c>
      <c r="T720" s="25">
        <v>9</v>
      </c>
    </row>
    <row r="721" spans="1:20" s="26" customFormat="1" x14ac:dyDescent="0.25">
      <c r="A721" s="16">
        <v>228668</v>
      </c>
      <c r="B721" s="30" t="s">
        <v>1080</v>
      </c>
      <c r="C721" s="20" t="s">
        <v>654</v>
      </c>
      <c r="D721" s="20" t="s">
        <v>715</v>
      </c>
      <c r="E721" s="20" t="s">
        <v>2958</v>
      </c>
      <c r="F721" s="20" t="s">
        <v>2959</v>
      </c>
      <c r="G721" s="21">
        <v>10</v>
      </c>
      <c r="H721" s="16">
        <v>26</v>
      </c>
      <c r="I721" s="16"/>
      <c r="J721" s="17">
        <v>260</v>
      </c>
      <c r="K721" s="22"/>
      <c r="L721" s="23"/>
      <c r="M721" s="23">
        <v>0</v>
      </c>
      <c r="N721" s="19">
        <v>20</v>
      </c>
      <c r="O721" s="19">
        <v>-50</v>
      </c>
      <c r="P721" s="48">
        <v>50</v>
      </c>
      <c r="Q721" s="17">
        <v>0</v>
      </c>
      <c r="R721" s="24">
        <v>260</v>
      </c>
      <c r="S721" s="18" t="s">
        <v>28</v>
      </c>
      <c r="T721" s="25">
        <v>9</v>
      </c>
    </row>
    <row r="722" spans="1:20" s="26" customFormat="1" x14ac:dyDescent="0.25">
      <c r="A722" s="16">
        <v>215646</v>
      </c>
      <c r="B722" s="30" t="s">
        <v>1467</v>
      </c>
      <c r="C722" s="20" t="s">
        <v>640</v>
      </c>
      <c r="D722" s="20" t="s">
        <v>702</v>
      </c>
      <c r="E722" s="20" t="s">
        <v>2960</v>
      </c>
      <c r="F722" s="20" t="s">
        <v>2961</v>
      </c>
      <c r="G722" s="21">
        <v>18.8</v>
      </c>
      <c r="H722" s="16">
        <v>26</v>
      </c>
      <c r="I722" s="16"/>
      <c r="J722" s="17">
        <v>488.8</v>
      </c>
      <c r="K722" s="22"/>
      <c r="L722" s="23"/>
      <c r="M722" s="23">
        <v>0</v>
      </c>
      <c r="N722" s="19">
        <v>37.6</v>
      </c>
      <c r="O722" s="19">
        <v>-94</v>
      </c>
      <c r="P722" s="48">
        <v>94</v>
      </c>
      <c r="Q722" s="17">
        <v>0</v>
      </c>
      <c r="R722" s="24">
        <v>488.8</v>
      </c>
      <c r="S722" s="18" t="s">
        <v>28</v>
      </c>
      <c r="T722" s="25">
        <v>9</v>
      </c>
    </row>
    <row r="723" spans="1:20" s="26" customFormat="1" x14ac:dyDescent="0.25">
      <c r="A723" s="16">
        <v>234476</v>
      </c>
      <c r="B723" s="30" t="s">
        <v>1292</v>
      </c>
      <c r="C723" s="20" t="s">
        <v>640</v>
      </c>
      <c r="D723" s="20" t="s">
        <v>701</v>
      </c>
      <c r="E723" s="20" t="s">
        <v>2962</v>
      </c>
      <c r="F723" s="20" t="s">
        <v>2963</v>
      </c>
      <c r="G723" s="21">
        <v>10</v>
      </c>
      <c r="H723" s="16">
        <v>26</v>
      </c>
      <c r="I723" s="16"/>
      <c r="J723" s="17">
        <v>260</v>
      </c>
      <c r="K723" s="22"/>
      <c r="L723" s="23"/>
      <c r="M723" s="23">
        <v>0</v>
      </c>
      <c r="N723" s="19">
        <v>20</v>
      </c>
      <c r="O723" s="19">
        <v>-50</v>
      </c>
      <c r="P723" s="48">
        <v>50</v>
      </c>
      <c r="Q723" s="17">
        <v>0</v>
      </c>
      <c r="R723" s="24">
        <v>260</v>
      </c>
      <c r="S723" s="18" t="s">
        <v>28</v>
      </c>
      <c r="T723" s="25">
        <v>9</v>
      </c>
    </row>
    <row r="724" spans="1:20" s="26" customFormat="1" x14ac:dyDescent="0.25">
      <c r="A724" s="16">
        <v>203709</v>
      </c>
      <c r="B724" s="30" t="s">
        <v>355</v>
      </c>
      <c r="C724" s="20" t="s">
        <v>655</v>
      </c>
      <c r="D724" s="20" t="s">
        <v>749</v>
      </c>
      <c r="E724" s="20" t="s">
        <v>2964</v>
      </c>
      <c r="F724" s="20" t="s">
        <v>2965</v>
      </c>
      <c r="G724" s="21">
        <v>18.8</v>
      </c>
      <c r="H724" s="16">
        <v>26</v>
      </c>
      <c r="I724" s="16">
        <v>1</v>
      </c>
      <c r="J724" s="17">
        <v>470</v>
      </c>
      <c r="K724" s="22"/>
      <c r="L724" s="23"/>
      <c r="M724" s="23">
        <v>0</v>
      </c>
      <c r="N724" s="19">
        <v>37.6</v>
      </c>
      <c r="O724" s="19">
        <v>-94</v>
      </c>
      <c r="P724" s="48">
        <v>94</v>
      </c>
      <c r="Q724" s="17">
        <v>0</v>
      </c>
      <c r="R724" s="24">
        <v>470</v>
      </c>
      <c r="S724" s="18" t="s">
        <v>28</v>
      </c>
      <c r="T724" s="25">
        <v>9</v>
      </c>
    </row>
    <row r="725" spans="1:20" s="26" customFormat="1" x14ac:dyDescent="0.25">
      <c r="A725" s="16">
        <v>232385</v>
      </c>
      <c r="B725" s="30" t="s">
        <v>910</v>
      </c>
      <c r="C725" s="20" t="s">
        <v>655</v>
      </c>
      <c r="D725" s="20" t="s">
        <v>713</v>
      </c>
      <c r="E725" s="20" t="s">
        <v>2966</v>
      </c>
      <c r="F725" s="20" t="s">
        <v>2967</v>
      </c>
      <c r="G725" s="21">
        <v>10</v>
      </c>
      <c r="H725" s="16">
        <v>26</v>
      </c>
      <c r="I725" s="16">
        <v>1</v>
      </c>
      <c r="J725" s="17">
        <v>250</v>
      </c>
      <c r="K725" s="22"/>
      <c r="L725" s="23"/>
      <c r="M725" s="23">
        <v>0</v>
      </c>
      <c r="N725" s="19">
        <v>20</v>
      </c>
      <c r="O725" s="19">
        <v>-50</v>
      </c>
      <c r="P725" s="48">
        <v>50</v>
      </c>
      <c r="Q725" s="17">
        <v>0</v>
      </c>
      <c r="R725" s="24">
        <v>250</v>
      </c>
      <c r="S725" s="18" t="s">
        <v>28</v>
      </c>
      <c r="T725" s="25">
        <v>9</v>
      </c>
    </row>
    <row r="726" spans="1:20" s="26" customFormat="1" x14ac:dyDescent="0.25">
      <c r="A726" s="16">
        <v>224262</v>
      </c>
      <c r="B726" s="30" t="s">
        <v>356</v>
      </c>
      <c r="C726" s="20" t="s">
        <v>641</v>
      </c>
      <c r="D726" s="20" t="s">
        <v>704</v>
      </c>
      <c r="E726" s="20" t="s">
        <v>2968</v>
      </c>
      <c r="F726" s="20" t="s">
        <v>2969</v>
      </c>
      <c r="G726" s="21">
        <v>10</v>
      </c>
      <c r="H726" s="16">
        <v>26</v>
      </c>
      <c r="I726" s="16"/>
      <c r="J726" s="17">
        <v>260</v>
      </c>
      <c r="K726" s="22"/>
      <c r="L726" s="23"/>
      <c r="M726" s="23">
        <v>0</v>
      </c>
      <c r="N726" s="19">
        <v>20</v>
      </c>
      <c r="O726" s="19">
        <v>-50</v>
      </c>
      <c r="P726" s="48">
        <v>50</v>
      </c>
      <c r="Q726" s="17">
        <v>0</v>
      </c>
      <c r="R726" s="24">
        <v>260</v>
      </c>
      <c r="S726" s="18" t="s">
        <v>28</v>
      </c>
      <c r="T726" s="25">
        <v>9</v>
      </c>
    </row>
    <row r="727" spans="1:20" s="26" customFormat="1" x14ac:dyDescent="0.25">
      <c r="A727" s="16">
        <v>230434</v>
      </c>
      <c r="B727" s="30" t="s">
        <v>357</v>
      </c>
      <c r="C727" s="20" t="s">
        <v>641</v>
      </c>
      <c r="D727" s="20" t="s">
        <v>704</v>
      </c>
      <c r="E727" s="20" t="s">
        <v>2970</v>
      </c>
      <c r="F727" s="20" t="s">
        <v>2971</v>
      </c>
      <c r="G727" s="21">
        <v>10</v>
      </c>
      <c r="H727" s="16">
        <v>26</v>
      </c>
      <c r="I727" s="16"/>
      <c r="J727" s="17">
        <v>260</v>
      </c>
      <c r="K727" s="22"/>
      <c r="L727" s="23"/>
      <c r="M727" s="23">
        <v>0</v>
      </c>
      <c r="N727" s="19">
        <v>20</v>
      </c>
      <c r="O727" s="19">
        <v>-50</v>
      </c>
      <c r="P727" s="48">
        <v>50</v>
      </c>
      <c r="Q727" s="17">
        <v>0</v>
      </c>
      <c r="R727" s="24">
        <v>260</v>
      </c>
      <c r="S727" s="18" t="s">
        <v>28</v>
      </c>
      <c r="T727" s="25">
        <v>9</v>
      </c>
    </row>
    <row r="728" spans="1:20" s="26" customFormat="1" x14ac:dyDescent="0.25">
      <c r="A728" s="16">
        <v>232594</v>
      </c>
      <c r="B728" s="30" t="s">
        <v>942</v>
      </c>
      <c r="C728" s="20" t="s">
        <v>641</v>
      </c>
      <c r="D728" s="20" t="s">
        <v>704</v>
      </c>
      <c r="E728" s="20" t="s">
        <v>2972</v>
      </c>
      <c r="F728" s="20" t="s">
        <v>2973</v>
      </c>
      <c r="G728" s="21">
        <v>10</v>
      </c>
      <c r="H728" s="16">
        <v>26</v>
      </c>
      <c r="I728" s="16"/>
      <c r="J728" s="17">
        <v>260</v>
      </c>
      <c r="K728" s="22"/>
      <c r="L728" s="23"/>
      <c r="M728" s="23">
        <v>0</v>
      </c>
      <c r="N728" s="19">
        <v>20</v>
      </c>
      <c r="O728" s="19">
        <v>-50</v>
      </c>
      <c r="P728" s="48">
        <v>50</v>
      </c>
      <c r="Q728" s="17">
        <v>0</v>
      </c>
      <c r="R728" s="24">
        <v>260</v>
      </c>
      <c r="S728" s="18" t="s">
        <v>28</v>
      </c>
      <c r="T728" s="25">
        <v>9</v>
      </c>
    </row>
    <row r="729" spans="1:20" s="26" customFormat="1" x14ac:dyDescent="0.25">
      <c r="A729" s="16">
        <v>234599</v>
      </c>
      <c r="B729" s="30" t="s">
        <v>1370</v>
      </c>
      <c r="C729" s="20" t="s">
        <v>641</v>
      </c>
      <c r="D729" s="20" t="s">
        <v>704</v>
      </c>
      <c r="E729" s="20" t="s">
        <v>2974</v>
      </c>
      <c r="F729" s="20" t="s">
        <v>2975</v>
      </c>
      <c r="G729" s="21">
        <v>10</v>
      </c>
      <c r="H729" s="16">
        <v>26</v>
      </c>
      <c r="I729" s="16"/>
      <c r="J729" s="17">
        <v>260</v>
      </c>
      <c r="K729" s="22"/>
      <c r="L729" s="23"/>
      <c r="M729" s="23">
        <v>0</v>
      </c>
      <c r="N729" s="19">
        <v>20</v>
      </c>
      <c r="O729" s="19">
        <v>-50</v>
      </c>
      <c r="P729" s="48">
        <v>50</v>
      </c>
      <c r="Q729" s="17">
        <v>0</v>
      </c>
      <c r="R729" s="24">
        <v>260</v>
      </c>
      <c r="S729" s="18" t="s">
        <v>28</v>
      </c>
      <c r="T729" s="25">
        <v>9</v>
      </c>
    </row>
    <row r="730" spans="1:20" s="26" customFormat="1" x14ac:dyDescent="0.25">
      <c r="A730" s="16">
        <v>231112</v>
      </c>
      <c r="B730" s="30" t="s">
        <v>1468</v>
      </c>
      <c r="C730" s="20" t="s">
        <v>645</v>
      </c>
      <c r="D730" s="20" t="s">
        <v>711</v>
      </c>
      <c r="E730" s="20" t="s">
        <v>2976</v>
      </c>
      <c r="F730" s="20" t="s">
        <v>2977</v>
      </c>
      <c r="G730" s="21">
        <v>10</v>
      </c>
      <c r="H730" s="16">
        <v>26</v>
      </c>
      <c r="I730" s="16"/>
      <c r="J730" s="17">
        <v>260</v>
      </c>
      <c r="K730" s="22"/>
      <c r="L730" s="23"/>
      <c r="M730" s="23">
        <v>0</v>
      </c>
      <c r="N730" s="19">
        <v>20</v>
      </c>
      <c r="O730" s="19">
        <v>-50</v>
      </c>
      <c r="P730" s="48">
        <v>50</v>
      </c>
      <c r="Q730" s="17">
        <v>0</v>
      </c>
      <c r="R730" s="24">
        <v>260</v>
      </c>
      <c r="S730" s="18" t="s">
        <v>28</v>
      </c>
      <c r="T730" s="25">
        <v>9</v>
      </c>
    </row>
    <row r="731" spans="1:20" s="26" customFormat="1" x14ac:dyDescent="0.25">
      <c r="A731" s="16">
        <v>226297</v>
      </c>
      <c r="B731" s="30" t="s">
        <v>406</v>
      </c>
      <c r="C731" s="20" t="s">
        <v>649</v>
      </c>
      <c r="D731" s="20" t="s">
        <v>750</v>
      </c>
      <c r="E731" s="20" t="s">
        <v>2978</v>
      </c>
      <c r="F731" s="20" t="s">
        <v>2979</v>
      </c>
      <c r="G731" s="21">
        <v>18.8</v>
      </c>
      <c r="H731" s="16">
        <v>26</v>
      </c>
      <c r="I731" s="16"/>
      <c r="J731" s="17">
        <v>488.8</v>
      </c>
      <c r="K731" s="22"/>
      <c r="L731" s="23"/>
      <c r="M731" s="23">
        <v>0</v>
      </c>
      <c r="N731" s="19">
        <v>37.6</v>
      </c>
      <c r="O731" s="19">
        <v>-94</v>
      </c>
      <c r="P731" s="48">
        <v>94</v>
      </c>
      <c r="Q731" s="17">
        <v>0</v>
      </c>
      <c r="R731" s="24">
        <v>488.8</v>
      </c>
      <c r="S731" s="18" t="s">
        <v>28</v>
      </c>
      <c r="T731" s="25">
        <v>10</v>
      </c>
    </row>
    <row r="732" spans="1:20" s="26" customFormat="1" x14ac:dyDescent="0.25">
      <c r="A732" s="16">
        <v>220582</v>
      </c>
      <c r="B732" s="30" t="s">
        <v>1469</v>
      </c>
      <c r="C732" s="20" t="s">
        <v>651</v>
      </c>
      <c r="D732" s="20" t="s">
        <v>719</v>
      </c>
      <c r="E732" s="20" t="s">
        <v>2980</v>
      </c>
      <c r="F732" s="20" t="s">
        <v>2981</v>
      </c>
      <c r="G732" s="21">
        <v>13.4</v>
      </c>
      <c r="H732" s="16">
        <v>16</v>
      </c>
      <c r="I732" s="16"/>
      <c r="J732" s="17">
        <v>214.4</v>
      </c>
      <c r="K732" s="22"/>
      <c r="L732" s="23"/>
      <c r="M732" s="23">
        <v>0</v>
      </c>
      <c r="N732" s="19">
        <v>26.8</v>
      </c>
      <c r="O732" s="19">
        <v>-67</v>
      </c>
      <c r="P732" s="48">
        <v>67</v>
      </c>
      <c r="Q732" s="17">
        <v>0</v>
      </c>
      <c r="R732" s="24">
        <v>214.4</v>
      </c>
      <c r="S732" s="18" t="s">
        <v>28</v>
      </c>
      <c r="T732" s="25">
        <v>10</v>
      </c>
    </row>
    <row r="733" spans="1:20" s="26" customFormat="1" x14ac:dyDescent="0.25">
      <c r="A733" s="16">
        <v>232597</v>
      </c>
      <c r="B733" s="30" t="s">
        <v>943</v>
      </c>
      <c r="C733" s="20" t="s">
        <v>651</v>
      </c>
      <c r="D733" s="20" t="s">
        <v>719</v>
      </c>
      <c r="E733" s="20" t="s">
        <v>2982</v>
      </c>
      <c r="F733" s="20" t="s">
        <v>2983</v>
      </c>
      <c r="G733" s="21">
        <v>13.4</v>
      </c>
      <c r="H733" s="16">
        <v>16</v>
      </c>
      <c r="I733" s="16">
        <v>1</v>
      </c>
      <c r="J733" s="17">
        <v>201</v>
      </c>
      <c r="K733" s="22"/>
      <c r="L733" s="23"/>
      <c r="M733" s="23">
        <v>0</v>
      </c>
      <c r="N733" s="19">
        <v>26.8</v>
      </c>
      <c r="O733" s="19">
        <v>-67</v>
      </c>
      <c r="P733" s="48">
        <v>67</v>
      </c>
      <c r="Q733" s="17">
        <v>0</v>
      </c>
      <c r="R733" s="24">
        <v>201</v>
      </c>
      <c r="S733" s="18" t="s">
        <v>28</v>
      </c>
      <c r="T733" s="25">
        <v>10</v>
      </c>
    </row>
    <row r="734" spans="1:20" s="26" customFormat="1" x14ac:dyDescent="0.25">
      <c r="A734" s="16">
        <v>231903</v>
      </c>
      <c r="B734" s="30" t="s">
        <v>832</v>
      </c>
      <c r="C734" s="20" t="s">
        <v>636</v>
      </c>
      <c r="D734" s="20" t="s">
        <v>729</v>
      </c>
      <c r="E734" s="20" t="s">
        <v>2984</v>
      </c>
      <c r="F734" s="20" t="s">
        <v>2985</v>
      </c>
      <c r="G734" s="21">
        <v>9.4</v>
      </c>
      <c r="H734" s="16">
        <v>22</v>
      </c>
      <c r="I734" s="16">
        <v>4</v>
      </c>
      <c r="J734" s="17">
        <v>169.20000000000002</v>
      </c>
      <c r="K734" s="22"/>
      <c r="L734" s="23"/>
      <c r="M734" s="23">
        <v>0</v>
      </c>
      <c r="N734" s="19">
        <v>18.8</v>
      </c>
      <c r="O734" s="19">
        <v>-47</v>
      </c>
      <c r="P734" s="48">
        <v>47</v>
      </c>
      <c r="Q734" s="17">
        <v>0</v>
      </c>
      <c r="R734" s="24">
        <v>169.20000000000002</v>
      </c>
      <c r="S734" s="18" t="s">
        <v>28</v>
      </c>
      <c r="T734" s="25">
        <v>10</v>
      </c>
    </row>
    <row r="735" spans="1:20" s="26" customFormat="1" x14ac:dyDescent="0.25">
      <c r="A735" s="16">
        <v>232412</v>
      </c>
      <c r="B735" s="30" t="s">
        <v>911</v>
      </c>
      <c r="C735" s="20" t="s">
        <v>636</v>
      </c>
      <c r="D735" s="20" t="s">
        <v>729</v>
      </c>
      <c r="E735" s="20" t="s">
        <v>2986</v>
      </c>
      <c r="F735" s="20" t="s">
        <v>2987</v>
      </c>
      <c r="G735" s="21">
        <v>18.8</v>
      </c>
      <c r="H735" s="16">
        <v>22</v>
      </c>
      <c r="I735" s="16"/>
      <c r="J735" s="17">
        <v>413.6</v>
      </c>
      <c r="K735" s="22"/>
      <c r="L735" s="23"/>
      <c r="M735" s="23">
        <v>0</v>
      </c>
      <c r="N735" s="19">
        <v>37.6</v>
      </c>
      <c r="O735" s="19">
        <v>-94</v>
      </c>
      <c r="P735" s="48">
        <v>94</v>
      </c>
      <c r="Q735" s="17">
        <v>0</v>
      </c>
      <c r="R735" s="24">
        <v>413.6</v>
      </c>
      <c r="S735" s="18" t="s">
        <v>28</v>
      </c>
      <c r="T735" s="25">
        <v>10</v>
      </c>
    </row>
    <row r="736" spans="1:20" s="26" customFormat="1" x14ac:dyDescent="0.25">
      <c r="A736" s="16">
        <v>232413</v>
      </c>
      <c r="B736" s="30" t="s">
        <v>912</v>
      </c>
      <c r="C736" s="20" t="s">
        <v>636</v>
      </c>
      <c r="D736" s="20" t="s">
        <v>729</v>
      </c>
      <c r="E736" s="20" t="s">
        <v>2988</v>
      </c>
      <c r="F736" s="20" t="s">
        <v>2989</v>
      </c>
      <c r="G736" s="21">
        <v>9.4</v>
      </c>
      <c r="H736" s="16">
        <v>22</v>
      </c>
      <c r="I736" s="16">
        <v>1</v>
      </c>
      <c r="J736" s="17">
        <v>197.4</v>
      </c>
      <c r="K736" s="22"/>
      <c r="L736" s="23"/>
      <c r="M736" s="23">
        <v>0</v>
      </c>
      <c r="N736" s="19">
        <v>18.8</v>
      </c>
      <c r="O736" s="19">
        <v>-47</v>
      </c>
      <c r="P736" s="48">
        <v>47</v>
      </c>
      <c r="Q736" s="17">
        <v>0</v>
      </c>
      <c r="R736" s="24">
        <v>197.4</v>
      </c>
      <c r="S736" s="18" t="s">
        <v>28</v>
      </c>
      <c r="T736" s="25">
        <v>10</v>
      </c>
    </row>
    <row r="737" spans="1:20" s="26" customFormat="1" x14ac:dyDescent="0.25">
      <c r="A737" s="16">
        <v>233021</v>
      </c>
      <c r="B737" s="30" t="s">
        <v>994</v>
      </c>
      <c r="C737" s="20" t="s">
        <v>636</v>
      </c>
      <c r="D737" s="20" t="s">
        <v>729</v>
      </c>
      <c r="E737" s="20" t="s">
        <v>2990</v>
      </c>
      <c r="F737" s="20" t="s">
        <v>2991</v>
      </c>
      <c r="G737" s="21">
        <v>9.4</v>
      </c>
      <c r="H737" s="16">
        <v>22</v>
      </c>
      <c r="I737" s="16">
        <v>1</v>
      </c>
      <c r="J737" s="17">
        <v>197.4</v>
      </c>
      <c r="K737" s="22"/>
      <c r="L737" s="23"/>
      <c r="M737" s="23">
        <v>0</v>
      </c>
      <c r="N737" s="19">
        <v>18.8</v>
      </c>
      <c r="O737" s="19">
        <v>-47</v>
      </c>
      <c r="P737" s="48">
        <v>47</v>
      </c>
      <c r="Q737" s="17">
        <v>0</v>
      </c>
      <c r="R737" s="24">
        <v>197.4</v>
      </c>
      <c r="S737" s="18" t="s">
        <v>28</v>
      </c>
      <c r="T737" s="25">
        <v>10</v>
      </c>
    </row>
    <row r="738" spans="1:20" s="26" customFormat="1" x14ac:dyDescent="0.25">
      <c r="A738" s="16">
        <v>233022</v>
      </c>
      <c r="B738" s="30" t="s">
        <v>995</v>
      </c>
      <c r="C738" s="20" t="s">
        <v>636</v>
      </c>
      <c r="D738" s="20" t="s">
        <v>729</v>
      </c>
      <c r="E738" s="20" t="s">
        <v>2992</v>
      </c>
      <c r="F738" s="20" t="s">
        <v>2993</v>
      </c>
      <c r="G738" s="21">
        <v>9.4</v>
      </c>
      <c r="H738" s="16">
        <v>22</v>
      </c>
      <c r="I738" s="16"/>
      <c r="J738" s="17">
        <v>206.8</v>
      </c>
      <c r="K738" s="22"/>
      <c r="L738" s="23"/>
      <c r="M738" s="23">
        <v>0</v>
      </c>
      <c r="N738" s="19">
        <v>18.8</v>
      </c>
      <c r="O738" s="19">
        <v>-47</v>
      </c>
      <c r="P738" s="48">
        <v>47</v>
      </c>
      <c r="Q738" s="17">
        <v>0</v>
      </c>
      <c r="R738" s="24">
        <v>206.8</v>
      </c>
      <c r="S738" s="18" t="s">
        <v>28</v>
      </c>
      <c r="T738" s="25">
        <v>10</v>
      </c>
    </row>
    <row r="739" spans="1:20" s="26" customFormat="1" x14ac:dyDescent="0.25">
      <c r="A739" s="16">
        <v>233403</v>
      </c>
      <c r="B739" s="30" t="s">
        <v>1082</v>
      </c>
      <c r="C739" s="20" t="s">
        <v>654</v>
      </c>
      <c r="D739" s="20" t="s">
        <v>715</v>
      </c>
      <c r="E739" s="20" t="s">
        <v>2994</v>
      </c>
      <c r="F739" s="20" t="s">
        <v>2995</v>
      </c>
      <c r="G739" s="21">
        <v>13.4</v>
      </c>
      <c r="H739" s="16">
        <v>26</v>
      </c>
      <c r="I739" s="16"/>
      <c r="J739" s="17">
        <v>348.40000000000003</v>
      </c>
      <c r="K739" s="22"/>
      <c r="L739" s="23"/>
      <c r="M739" s="23">
        <v>0</v>
      </c>
      <c r="N739" s="19">
        <v>26.8</v>
      </c>
      <c r="O739" s="19">
        <v>-67</v>
      </c>
      <c r="P739" s="48">
        <v>67</v>
      </c>
      <c r="Q739" s="17">
        <v>0</v>
      </c>
      <c r="R739" s="24">
        <v>348.40000000000003</v>
      </c>
      <c r="S739" s="18" t="s">
        <v>28</v>
      </c>
      <c r="T739" s="25">
        <v>10</v>
      </c>
    </row>
    <row r="740" spans="1:20" s="26" customFormat="1" x14ac:dyDescent="0.25">
      <c r="A740" s="16">
        <v>213280</v>
      </c>
      <c r="B740" s="30" t="s">
        <v>360</v>
      </c>
      <c r="C740" s="20" t="s">
        <v>641</v>
      </c>
      <c r="D740" s="20" t="s">
        <v>744</v>
      </c>
      <c r="E740" s="20" t="s">
        <v>2996</v>
      </c>
      <c r="F740" s="20" t="s">
        <v>2997</v>
      </c>
      <c r="G740" s="21">
        <v>18.8</v>
      </c>
      <c r="H740" s="16">
        <v>26</v>
      </c>
      <c r="I740" s="16"/>
      <c r="J740" s="17">
        <v>488.8</v>
      </c>
      <c r="K740" s="22"/>
      <c r="L740" s="23"/>
      <c r="M740" s="23">
        <v>0</v>
      </c>
      <c r="N740" s="19">
        <v>37.6</v>
      </c>
      <c r="O740" s="19">
        <v>-94</v>
      </c>
      <c r="P740" s="48">
        <v>94</v>
      </c>
      <c r="Q740" s="17">
        <v>0</v>
      </c>
      <c r="R740" s="24">
        <v>488.8</v>
      </c>
      <c r="S740" s="18" t="s">
        <v>28</v>
      </c>
      <c r="T740" s="25">
        <v>10</v>
      </c>
    </row>
    <row r="741" spans="1:20" s="26" customFormat="1" x14ac:dyDescent="0.25">
      <c r="A741" s="16">
        <v>223671</v>
      </c>
      <c r="B741" s="30" t="s">
        <v>361</v>
      </c>
      <c r="C741" s="20" t="s">
        <v>641</v>
      </c>
      <c r="D741" s="20" t="s">
        <v>705</v>
      </c>
      <c r="E741" s="20" t="s">
        <v>2998</v>
      </c>
      <c r="F741" s="20" t="s">
        <v>2999</v>
      </c>
      <c r="G741" s="21">
        <v>13.4</v>
      </c>
      <c r="H741" s="16">
        <v>26</v>
      </c>
      <c r="I741" s="16"/>
      <c r="J741" s="17">
        <v>348.40000000000003</v>
      </c>
      <c r="K741" s="22"/>
      <c r="L741" s="23">
        <v>11.9</v>
      </c>
      <c r="M741" s="23">
        <v>11.9</v>
      </c>
      <c r="N741" s="19">
        <v>26.8</v>
      </c>
      <c r="O741" s="19">
        <v>-55.1</v>
      </c>
      <c r="P741" s="48">
        <v>67</v>
      </c>
      <c r="Q741" s="17">
        <v>0</v>
      </c>
      <c r="R741" s="24">
        <v>348.40000000000003</v>
      </c>
      <c r="S741" s="18" t="s">
        <v>28</v>
      </c>
      <c r="T741" s="25">
        <v>10</v>
      </c>
    </row>
    <row r="742" spans="1:20" s="26" customFormat="1" x14ac:dyDescent="0.25">
      <c r="A742" s="16">
        <v>80036</v>
      </c>
      <c r="B742" s="30" t="s">
        <v>1204</v>
      </c>
      <c r="C742" s="20" t="s">
        <v>647</v>
      </c>
      <c r="D742" s="20" t="s">
        <v>722</v>
      </c>
      <c r="E742" s="20" t="s">
        <v>3000</v>
      </c>
      <c r="F742" s="20" t="s">
        <v>3001</v>
      </c>
      <c r="G742" s="21">
        <v>18.8</v>
      </c>
      <c r="H742" s="16">
        <v>26</v>
      </c>
      <c r="I742" s="16"/>
      <c r="J742" s="17">
        <v>488.8</v>
      </c>
      <c r="K742" s="22"/>
      <c r="L742" s="23"/>
      <c r="M742" s="23">
        <v>0</v>
      </c>
      <c r="N742" s="19">
        <v>37.6</v>
      </c>
      <c r="O742" s="19">
        <v>-94</v>
      </c>
      <c r="P742" s="48">
        <v>94</v>
      </c>
      <c r="Q742" s="17">
        <v>0</v>
      </c>
      <c r="R742" s="24">
        <v>488.8</v>
      </c>
      <c r="S742" s="18" t="s">
        <v>28</v>
      </c>
      <c r="T742" s="25">
        <v>11</v>
      </c>
    </row>
    <row r="743" spans="1:20" s="26" customFormat="1" x14ac:dyDescent="0.25">
      <c r="A743" s="16">
        <v>223368</v>
      </c>
      <c r="B743" s="30" t="s">
        <v>1470</v>
      </c>
      <c r="C743" s="20" t="s">
        <v>630</v>
      </c>
      <c r="D743" s="20" t="s">
        <v>736</v>
      </c>
      <c r="E743" s="20" t="s">
        <v>3002</v>
      </c>
      <c r="F743" s="20" t="s">
        <v>3003</v>
      </c>
      <c r="G743" s="21">
        <v>25.5</v>
      </c>
      <c r="H743" s="16">
        <v>22</v>
      </c>
      <c r="I743" s="16"/>
      <c r="J743" s="17">
        <v>561</v>
      </c>
      <c r="K743" s="22"/>
      <c r="L743" s="23"/>
      <c r="M743" s="23">
        <v>0</v>
      </c>
      <c r="N743" s="19">
        <v>51</v>
      </c>
      <c r="O743" s="19">
        <v>-127.5</v>
      </c>
      <c r="P743" s="48">
        <v>127.5</v>
      </c>
      <c r="Q743" s="17">
        <v>0</v>
      </c>
      <c r="R743" s="24">
        <v>561</v>
      </c>
      <c r="S743" s="18" t="s">
        <v>28</v>
      </c>
      <c r="T743" s="25">
        <v>11</v>
      </c>
    </row>
    <row r="744" spans="1:20" s="26" customFormat="1" x14ac:dyDescent="0.25">
      <c r="A744" s="16">
        <v>235096</v>
      </c>
      <c r="B744" s="30" t="s">
        <v>1471</v>
      </c>
      <c r="C744" s="20" t="s">
        <v>650</v>
      </c>
      <c r="D744" s="20" t="s">
        <v>726</v>
      </c>
      <c r="E744" s="20">
        <v>0</v>
      </c>
      <c r="F744" s="20" t="s">
        <v>4181</v>
      </c>
      <c r="G744" s="21">
        <v>10</v>
      </c>
      <c r="H744" s="16">
        <v>0</v>
      </c>
      <c r="I744" s="16"/>
      <c r="J744" s="17">
        <v>0</v>
      </c>
      <c r="K744" s="22"/>
      <c r="L744" s="23"/>
      <c r="M744" s="23">
        <v>0</v>
      </c>
      <c r="N744" s="19">
        <v>20</v>
      </c>
      <c r="O744" s="19">
        <v>-50</v>
      </c>
      <c r="P744" s="48">
        <v>50</v>
      </c>
      <c r="Q744" s="17">
        <v>0</v>
      </c>
      <c r="R744" s="24">
        <v>0</v>
      </c>
      <c r="S744" s="18" t="s">
        <v>12</v>
      </c>
      <c r="T744" s="25">
        <v>11</v>
      </c>
    </row>
    <row r="745" spans="1:20" s="26" customFormat="1" x14ac:dyDescent="0.25">
      <c r="A745" s="16">
        <v>223943</v>
      </c>
      <c r="B745" s="30" t="s">
        <v>363</v>
      </c>
      <c r="C745" s="20" t="s">
        <v>651</v>
      </c>
      <c r="D745" s="20" t="s">
        <v>719</v>
      </c>
      <c r="E745" s="20" t="s">
        <v>3004</v>
      </c>
      <c r="F745" s="20" t="s">
        <v>3005</v>
      </c>
      <c r="G745" s="21">
        <v>10</v>
      </c>
      <c r="H745" s="16">
        <v>16</v>
      </c>
      <c r="I745" s="16"/>
      <c r="J745" s="17">
        <v>160</v>
      </c>
      <c r="K745" s="22"/>
      <c r="L745" s="23"/>
      <c r="M745" s="23">
        <v>0</v>
      </c>
      <c r="N745" s="19">
        <v>20</v>
      </c>
      <c r="O745" s="19">
        <v>-50</v>
      </c>
      <c r="P745" s="48">
        <v>50</v>
      </c>
      <c r="Q745" s="17">
        <v>0</v>
      </c>
      <c r="R745" s="24">
        <v>160</v>
      </c>
      <c r="S745" s="18" t="s">
        <v>28</v>
      </c>
      <c r="T745" s="25">
        <v>11</v>
      </c>
    </row>
    <row r="746" spans="1:20" s="26" customFormat="1" x14ac:dyDescent="0.25">
      <c r="A746" s="16">
        <v>232086</v>
      </c>
      <c r="B746" s="30" t="s">
        <v>833</v>
      </c>
      <c r="C746" s="20" t="s">
        <v>651</v>
      </c>
      <c r="D746" s="20" t="s">
        <v>716</v>
      </c>
      <c r="E746" s="20" t="s">
        <v>3006</v>
      </c>
      <c r="F746" s="20" t="s">
        <v>3007</v>
      </c>
      <c r="G746" s="21">
        <v>10</v>
      </c>
      <c r="H746" s="16">
        <v>16</v>
      </c>
      <c r="I746" s="16">
        <v>1</v>
      </c>
      <c r="J746" s="17">
        <v>150</v>
      </c>
      <c r="K746" s="22"/>
      <c r="L746" s="23"/>
      <c r="M746" s="23">
        <v>0</v>
      </c>
      <c r="N746" s="19">
        <v>20</v>
      </c>
      <c r="O746" s="19">
        <v>-50</v>
      </c>
      <c r="P746" s="48">
        <v>50</v>
      </c>
      <c r="Q746" s="17">
        <v>0</v>
      </c>
      <c r="R746" s="24">
        <v>150</v>
      </c>
      <c r="S746" s="18" t="s">
        <v>28</v>
      </c>
      <c r="T746" s="25">
        <v>11</v>
      </c>
    </row>
    <row r="747" spans="1:20" s="26" customFormat="1" x14ac:dyDescent="0.25">
      <c r="A747" s="16">
        <v>214801</v>
      </c>
      <c r="B747" s="30" t="s">
        <v>792</v>
      </c>
      <c r="C747" s="20" t="s">
        <v>652</v>
      </c>
      <c r="D747" s="20" t="s">
        <v>728</v>
      </c>
      <c r="E747" s="20" t="s">
        <v>3008</v>
      </c>
      <c r="F747" s="20" t="s">
        <v>3009</v>
      </c>
      <c r="G747" s="21">
        <v>44.1</v>
      </c>
      <c r="H747" s="16">
        <v>26</v>
      </c>
      <c r="I747" s="16"/>
      <c r="J747" s="17">
        <v>1146.6000000000001</v>
      </c>
      <c r="K747" s="22"/>
      <c r="L747" s="23"/>
      <c r="M747" s="23">
        <v>0</v>
      </c>
      <c r="N747" s="19">
        <v>88.2</v>
      </c>
      <c r="O747" s="19">
        <v>-220.5</v>
      </c>
      <c r="P747" s="48">
        <v>220.5</v>
      </c>
      <c r="Q747" s="17">
        <v>0</v>
      </c>
      <c r="R747" s="24">
        <v>1146.6000000000001</v>
      </c>
      <c r="S747" s="18" t="s">
        <v>28</v>
      </c>
      <c r="T747" s="25">
        <v>11</v>
      </c>
    </row>
    <row r="748" spans="1:20" s="26" customFormat="1" x14ac:dyDescent="0.25">
      <c r="A748" s="16">
        <v>218636</v>
      </c>
      <c r="B748" s="30" t="s">
        <v>1323</v>
      </c>
      <c r="C748" s="20" t="s">
        <v>635</v>
      </c>
      <c r="D748" s="20" t="s">
        <v>689</v>
      </c>
      <c r="E748" s="20" t="s">
        <v>3010</v>
      </c>
      <c r="F748" s="20" t="s">
        <v>3011</v>
      </c>
      <c r="G748" s="21">
        <v>18.8</v>
      </c>
      <c r="H748" s="16">
        <v>22</v>
      </c>
      <c r="I748" s="16"/>
      <c r="J748" s="17">
        <v>413.6</v>
      </c>
      <c r="K748" s="22"/>
      <c r="L748" s="23"/>
      <c r="M748" s="23">
        <v>0</v>
      </c>
      <c r="N748" s="19">
        <v>37.6</v>
      </c>
      <c r="O748" s="19">
        <v>-94</v>
      </c>
      <c r="P748" s="48">
        <v>94</v>
      </c>
      <c r="Q748" s="17">
        <v>0</v>
      </c>
      <c r="R748" s="24">
        <v>413.6</v>
      </c>
      <c r="S748" s="18" t="s">
        <v>28</v>
      </c>
      <c r="T748" s="25">
        <v>11</v>
      </c>
    </row>
    <row r="749" spans="1:20" s="26" customFormat="1" x14ac:dyDescent="0.25">
      <c r="A749" s="16">
        <v>221555</v>
      </c>
      <c r="B749" s="30" t="s">
        <v>1088</v>
      </c>
      <c r="C749" s="20" t="s">
        <v>654</v>
      </c>
      <c r="D749" s="20" t="s">
        <v>745</v>
      </c>
      <c r="E749" s="20" t="s">
        <v>3012</v>
      </c>
      <c r="F749" s="20" t="s">
        <v>3013</v>
      </c>
      <c r="G749" s="21">
        <v>10</v>
      </c>
      <c r="H749" s="16">
        <v>29</v>
      </c>
      <c r="I749" s="16"/>
      <c r="J749" s="17">
        <v>290</v>
      </c>
      <c r="K749" s="22"/>
      <c r="L749" s="23"/>
      <c r="M749" s="23">
        <v>0</v>
      </c>
      <c r="N749" s="19">
        <v>20</v>
      </c>
      <c r="O749" s="19">
        <v>-50</v>
      </c>
      <c r="P749" s="48">
        <v>50</v>
      </c>
      <c r="Q749" s="17">
        <v>0</v>
      </c>
      <c r="R749" s="24">
        <v>290</v>
      </c>
      <c r="S749" s="18" t="s">
        <v>28</v>
      </c>
      <c r="T749" s="25">
        <v>11</v>
      </c>
    </row>
    <row r="750" spans="1:20" s="26" customFormat="1" x14ac:dyDescent="0.25">
      <c r="A750" s="16">
        <v>234854</v>
      </c>
      <c r="B750" s="30" t="s">
        <v>1472</v>
      </c>
      <c r="C750" s="20" t="s">
        <v>641</v>
      </c>
      <c r="D750" s="20" t="s">
        <v>704</v>
      </c>
      <c r="E750" s="20" t="s">
        <v>3014</v>
      </c>
      <c r="F750" s="20" t="s">
        <v>3015</v>
      </c>
      <c r="G750" s="21">
        <v>10</v>
      </c>
      <c r="H750" s="16">
        <v>26</v>
      </c>
      <c r="I750" s="16">
        <v>2</v>
      </c>
      <c r="J750" s="17">
        <v>240</v>
      </c>
      <c r="K750" s="22"/>
      <c r="L750" s="23">
        <v>50</v>
      </c>
      <c r="M750" s="23">
        <v>50</v>
      </c>
      <c r="N750" s="19">
        <v>20</v>
      </c>
      <c r="O750" s="19">
        <v>0</v>
      </c>
      <c r="P750" s="48">
        <v>50</v>
      </c>
      <c r="Q750" s="17">
        <v>0</v>
      </c>
      <c r="R750" s="24">
        <v>240</v>
      </c>
      <c r="S750" s="18" t="s">
        <v>28</v>
      </c>
      <c r="T750" s="25">
        <v>11</v>
      </c>
    </row>
    <row r="751" spans="1:20" s="26" customFormat="1" x14ac:dyDescent="0.25">
      <c r="A751" s="16">
        <v>234855</v>
      </c>
      <c r="B751" s="30" t="s">
        <v>1473</v>
      </c>
      <c r="C751" s="20" t="s">
        <v>641</v>
      </c>
      <c r="D751" s="20" t="s">
        <v>704</v>
      </c>
      <c r="E751" s="20" t="s">
        <v>3016</v>
      </c>
      <c r="F751" s="20" t="s">
        <v>3017</v>
      </c>
      <c r="G751" s="21">
        <v>10</v>
      </c>
      <c r="H751" s="16">
        <v>26</v>
      </c>
      <c r="I751" s="16">
        <v>1</v>
      </c>
      <c r="J751" s="17">
        <v>250</v>
      </c>
      <c r="K751" s="22"/>
      <c r="L751" s="23"/>
      <c r="M751" s="23">
        <v>0</v>
      </c>
      <c r="N751" s="19">
        <v>20</v>
      </c>
      <c r="O751" s="19">
        <v>-50</v>
      </c>
      <c r="P751" s="48">
        <v>50</v>
      </c>
      <c r="Q751" s="17">
        <v>0</v>
      </c>
      <c r="R751" s="24">
        <v>250</v>
      </c>
      <c r="S751" s="18" t="s">
        <v>28</v>
      </c>
      <c r="T751" s="25">
        <v>11</v>
      </c>
    </row>
    <row r="752" spans="1:20" s="26" customFormat="1" x14ac:dyDescent="0.25">
      <c r="A752" s="16">
        <v>211129</v>
      </c>
      <c r="B752" s="30" t="s">
        <v>364</v>
      </c>
      <c r="C752" s="20" t="s">
        <v>629</v>
      </c>
      <c r="D752" s="20" t="s">
        <v>682</v>
      </c>
      <c r="E752" s="20" t="s">
        <v>3018</v>
      </c>
      <c r="F752" s="20" t="s">
        <v>3019</v>
      </c>
      <c r="G752" s="21">
        <v>18.8</v>
      </c>
      <c r="H752" s="16">
        <v>26</v>
      </c>
      <c r="I752" s="16"/>
      <c r="J752" s="17">
        <v>488.8</v>
      </c>
      <c r="K752" s="22"/>
      <c r="L752" s="23"/>
      <c r="M752" s="23">
        <v>0</v>
      </c>
      <c r="N752" s="19">
        <v>37.6</v>
      </c>
      <c r="O752" s="19">
        <v>-94</v>
      </c>
      <c r="P752" s="48">
        <v>94</v>
      </c>
      <c r="Q752" s="17">
        <v>0</v>
      </c>
      <c r="R752" s="24">
        <v>488.8</v>
      </c>
      <c r="S752" s="18" t="s">
        <v>28</v>
      </c>
      <c r="T752" s="25">
        <v>12</v>
      </c>
    </row>
    <row r="753" spans="1:20" s="26" customFormat="1" x14ac:dyDescent="0.25">
      <c r="A753" s="16">
        <v>211835</v>
      </c>
      <c r="B753" s="30" t="s">
        <v>366</v>
      </c>
      <c r="C753" s="20" t="s">
        <v>648</v>
      </c>
      <c r="D753" s="20" t="s">
        <v>718</v>
      </c>
      <c r="E753" s="20" t="s">
        <v>3020</v>
      </c>
      <c r="F753" s="20" t="s">
        <v>3021</v>
      </c>
      <c r="G753" s="21">
        <v>18.8</v>
      </c>
      <c r="H753" s="16">
        <v>26</v>
      </c>
      <c r="I753" s="16"/>
      <c r="J753" s="17">
        <v>488.8</v>
      </c>
      <c r="K753" s="22"/>
      <c r="L753" s="23"/>
      <c r="M753" s="23">
        <v>0</v>
      </c>
      <c r="N753" s="19">
        <v>37.6</v>
      </c>
      <c r="O753" s="19">
        <v>-94</v>
      </c>
      <c r="P753" s="48">
        <v>94</v>
      </c>
      <c r="Q753" s="17">
        <v>0</v>
      </c>
      <c r="R753" s="24">
        <v>488.8</v>
      </c>
      <c r="S753" s="18" t="s">
        <v>28</v>
      </c>
      <c r="T753" s="25">
        <v>12</v>
      </c>
    </row>
    <row r="754" spans="1:20" s="26" customFormat="1" x14ac:dyDescent="0.25">
      <c r="A754" s="16">
        <v>223410</v>
      </c>
      <c r="B754" s="30" t="s">
        <v>1474</v>
      </c>
      <c r="C754" s="20" t="s">
        <v>650</v>
      </c>
      <c r="D754" s="20" t="s">
        <v>738</v>
      </c>
      <c r="E754" s="20" t="s">
        <v>3022</v>
      </c>
      <c r="F754" s="20" t="s">
        <v>3023</v>
      </c>
      <c r="G754" s="21">
        <v>18.8</v>
      </c>
      <c r="H754" s="16">
        <v>26</v>
      </c>
      <c r="I754" s="16"/>
      <c r="J754" s="17">
        <v>488.8</v>
      </c>
      <c r="K754" s="22"/>
      <c r="L754" s="23"/>
      <c r="M754" s="23">
        <v>0</v>
      </c>
      <c r="N754" s="19">
        <v>37.6</v>
      </c>
      <c r="O754" s="19">
        <v>-94</v>
      </c>
      <c r="P754" s="48">
        <v>94</v>
      </c>
      <c r="Q754" s="17">
        <v>0</v>
      </c>
      <c r="R754" s="24">
        <v>488.8</v>
      </c>
      <c r="S754" s="18" t="s">
        <v>28</v>
      </c>
      <c r="T754" s="25">
        <v>12</v>
      </c>
    </row>
    <row r="755" spans="1:20" s="26" customFormat="1" x14ac:dyDescent="0.25">
      <c r="A755" s="16">
        <v>213382</v>
      </c>
      <c r="B755" s="30" t="s">
        <v>77</v>
      </c>
      <c r="C755" s="20" t="s">
        <v>635</v>
      </c>
      <c r="D755" s="20" t="s">
        <v>689</v>
      </c>
      <c r="E755" s="20" t="s">
        <v>3024</v>
      </c>
      <c r="F755" s="20" t="s">
        <v>3025</v>
      </c>
      <c r="G755" s="21">
        <v>18.8</v>
      </c>
      <c r="H755" s="16">
        <v>22</v>
      </c>
      <c r="I755" s="16"/>
      <c r="J755" s="17">
        <v>413.6</v>
      </c>
      <c r="K755" s="22"/>
      <c r="L755" s="23"/>
      <c r="M755" s="23">
        <v>0</v>
      </c>
      <c r="N755" s="19">
        <v>37.6</v>
      </c>
      <c r="O755" s="19">
        <v>-94</v>
      </c>
      <c r="P755" s="48">
        <v>94</v>
      </c>
      <c r="Q755" s="17">
        <v>0</v>
      </c>
      <c r="R755" s="24">
        <v>413.6</v>
      </c>
      <c r="S755" s="18" t="s">
        <v>28</v>
      </c>
      <c r="T755" s="25">
        <v>12</v>
      </c>
    </row>
    <row r="756" spans="1:20" s="26" customFormat="1" x14ac:dyDescent="0.25">
      <c r="A756" s="16">
        <v>218600</v>
      </c>
      <c r="B756" s="30" t="s">
        <v>367</v>
      </c>
      <c r="C756" s="20" t="s">
        <v>635</v>
      </c>
      <c r="D756" s="20" t="s">
        <v>689</v>
      </c>
      <c r="E756" s="20" t="s">
        <v>3026</v>
      </c>
      <c r="F756" s="20" t="s">
        <v>3027</v>
      </c>
      <c r="G756" s="21">
        <v>18.8</v>
      </c>
      <c r="H756" s="16">
        <v>26</v>
      </c>
      <c r="I756" s="16"/>
      <c r="J756" s="17">
        <v>488.8</v>
      </c>
      <c r="K756" s="22"/>
      <c r="L756" s="23"/>
      <c r="M756" s="23">
        <v>0</v>
      </c>
      <c r="N756" s="19">
        <v>37.6</v>
      </c>
      <c r="O756" s="19">
        <v>-94</v>
      </c>
      <c r="P756" s="48">
        <v>94</v>
      </c>
      <c r="Q756" s="17">
        <v>0</v>
      </c>
      <c r="R756" s="24">
        <v>488.8</v>
      </c>
      <c r="S756" s="18" t="s">
        <v>28</v>
      </c>
      <c r="T756" s="25">
        <v>12</v>
      </c>
    </row>
    <row r="757" spans="1:20" s="26" customFormat="1" x14ac:dyDescent="0.25">
      <c r="A757" s="16">
        <v>206100</v>
      </c>
      <c r="B757" s="30" t="s">
        <v>368</v>
      </c>
      <c r="C757" s="20" t="s">
        <v>654</v>
      </c>
      <c r="D757" s="20" t="s">
        <v>731</v>
      </c>
      <c r="E757" s="20" t="s">
        <v>3028</v>
      </c>
      <c r="F757" s="20" t="s">
        <v>3029</v>
      </c>
      <c r="G757" s="21">
        <v>18.8</v>
      </c>
      <c r="H757" s="16">
        <v>26</v>
      </c>
      <c r="I757" s="16"/>
      <c r="J757" s="17">
        <v>488.8</v>
      </c>
      <c r="K757" s="22"/>
      <c r="L757" s="23"/>
      <c r="M757" s="23">
        <v>0</v>
      </c>
      <c r="N757" s="19">
        <v>37.6</v>
      </c>
      <c r="O757" s="19">
        <v>-94</v>
      </c>
      <c r="P757" s="48">
        <v>94</v>
      </c>
      <c r="Q757" s="17">
        <v>0</v>
      </c>
      <c r="R757" s="24">
        <v>488.8</v>
      </c>
      <c r="S757" s="18" t="s">
        <v>28</v>
      </c>
      <c r="T757" s="25">
        <v>12</v>
      </c>
    </row>
    <row r="758" spans="1:20" s="26" customFormat="1" x14ac:dyDescent="0.25">
      <c r="A758" s="16">
        <v>210564</v>
      </c>
      <c r="B758" s="30" t="s">
        <v>369</v>
      </c>
      <c r="C758" s="20" t="s">
        <v>654</v>
      </c>
      <c r="D758" s="20" t="s">
        <v>731</v>
      </c>
      <c r="E758" s="20" t="s">
        <v>3030</v>
      </c>
      <c r="F758" s="20" t="s">
        <v>3031</v>
      </c>
      <c r="G758" s="21">
        <v>18.8</v>
      </c>
      <c r="H758" s="16">
        <v>26</v>
      </c>
      <c r="I758" s="16">
        <v>1</v>
      </c>
      <c r="J758" s="17">
        <v>470</v>
      </c>
      <c r="K758" s="22"/>
      <c r="L758" s="23"/>
      <c r="M758" s="23">
        <v>0</v>
      </c>
      <c r="N758" s="19">
        <v>37.6</v>
      </c>
      <c r="O758" s="19">
        <v>-94</v>
      </c>
      <c r="P758" s="48">
        <v>94</v>
      </c>
      <c r="Q758" s="17">
        <v>0</v>
      </c>
      <c r="R758" s="24">
        <v>470</v>
      </c>
      <c r="S758" s="18" t="s">
        <v>28</v>
      </c>
      <c r="T758" s="25">
        <v>12</v>
      </c>
    </row>
    <row r="759" spans="1:20" s="26" customFormat="1" x14ac:dyDescent="0.25">
      <c r="A759" s="16">
        <v>206444</v>
      </c>
      <c r="B759" s="30" t="s">
        <v>370</v>
      </c>
      <c r="C759" s="20" t="s">
        <v>641</v>
      </c>
      <c r="D759" s="20" t="s">
        <v>705</v>
      </c>
      <c r="E759" s="20" t="s">
        <v>3032</v>
      </c>
      <c r="F759" s="20" t="s">
        <v>3033</v>
      </c>
      <c r="G759" s="21">
        <v>18.8</v>
      </c>
      <c r="H759" s="16">
        <v>26</v>
      </c>
      <c r="I759" s="16"/>
      <c r="J759" s="17">
        <v>488.8</v>
      </c>
      <c r="K759" s="22"/>
      <c r="L759" s="23"/>
      <c r="M759" s="23">
        <v>0</v>
      </c>
      <c r="N759" s="19">
        <v>37.6</v>
      </c>
      <c r="O759" s="19">
        <v>-94</v>
      </c>
      <c r="P759" s="48">
        <v>94</v>
      </c>
      <c r="Q759" s="17">
        <v>0</v>
      </c>
      <c r="R759" s="24">
        <v>488.8</v>
      </c>
      <c r="S759" s="18" t="s">
        <v>28</v>
      </c>
      <c r="T759" s="25">
        <v>12</v>
      </c>
    </row>
    <row r="760" spans="1:20" s="26" customFormat="1" x14ac:dyDescent="0.25">
      <c r="A760" s="16">
        <v>212568</v>
      </c>
      <c r="B760" s="30" t="s">
        <v>372</v>
      </c>
      <c r="C760" s="20" t="s">
        <v>647</v>
      </c>
      <c r="D760" s="20" t="s">
        <v>722</v>
      </c>
      <c r="E760" s="20" t="s">
        <v>3034</v>
      </c>
      <c r="F760" s="20" t="s">
        <v>3035</v>
      </c>
      <c r="G760" s="21">
        <v>18.8</v>
      </c>
      <c r="H760" s="16">
        <v>26</v>
      </c>
      <c r="I760" s="16">
        <v>3</v>
      </c>
      <c r="J760" s="17">
        <v>432.40000000000003</v>
      </c>
      <c r="K760" s="22"/>
      <c r="L760" s="23">
        <v>18.8</v>
      </c>
      <c r="M760" s="23">
        <v>18.8</v>
      </c>
      <c r="N760" s="19">
        <v>37.6</v>
      </c>
      <c r="O760" s="19">
        <v>-75.2</v>
      </c>
      <c r="P760" s="48">
        <v>94</v>
      </c>
      <c r="Q760" s="17">
        <v>0</v>
      </c>
      <c r="R760" s="24">
        <v>432.40000000000003</v>
      </c>
      <c r="S760" s="18" t="s">
        <v>28</v>
      </c>
      <c r="T760" s="25">
        <v>13</v>
      </c>
    </row>
    <row r="761" spans="1:20" s="26" customFormat="1" x14ac:dyDescent="0.25">
      <c r="A761" s="16">
        <v>213059</v>
      </c>
      <c r="B761" s="30" t="s">
        <v>373</v>
      </c>
      <c r="C761" s="20" t="s">
        <v>647</v>
      </c>
      <c r="D761" s="20" t="s">
        <v>722</v>
      </c>
      <c r="E761" s="20" t="s">
        <v>3036</v>
      </c>
      <c r="F761" s="20" t="s">
        <v>3037</v>
      </c>
      <c r="G761" s="21">
        <v>18.8</v>
      </c>
      <c r="H761" s="16">
        <v>26</v>
      </c>
      <c r="I761" s="16"/>
      <c r="J761" s="17">
        <v>488.8</v>
      </c>
      <c r="K761" s="22"/>
      <c r="L761" s="23"/>
      <c r="M761" s="23">
        <v>0</v>
      </c>
      <c r="N761" s="19">
        <v>37.6</v>
      </c>
      <c r="O761" s="19">
        <v>-94</v>
      </c>
      <c r="P761" s="48">
        <v>94</v>
      </c>
      <c r="Q761" s="17">
        <v>0</v>
      </c>
      <c r="R761" s="24">
        <v>488.8</v>
      </c>
      <c r="S761" s="18" t="s">
        <v>28</v>
      </c>
      <c r="T761" s="25">
        <v>13</v>
      </c>
    </row>
    <row r="762" spans="1:20" s="26" customFormat="1" x14ac:dyDescent="0.25">
      <c r="A762" s="16">
        <v>222458</v>
      </c>
      <c r="B762" s="30" t="s">
        <v>375</v>
      </c>
      <c r="C762" s="20" t="s">
        <v>647</v>
      </c>
      <c r="D762" s="20" t="s">
        <v>723</v>
      </c>
      <c r="E762" s="20" t="s">
        <v>3038</v>
      </c>
      <c r="F762" s="20" t="s">
        <v>3039</v>
      </c>
      <c r="G762" s="21">
        <v>10</v>
      </c>
      <c r="H762" s="16">
        <v>26</v>
      </c>
      <c r="I762" s="16">
        <v>1</v>
      </c>
      <c r="J762" s="17">
        <v>250</v>
      </c>
      <c r="K762" s="22"/>
      <c r="L762" s="23"/>
      <c r="M762" s="23">
        <v>0</v>
      </c>
      <c r="N762" s="19">
        <v>20</v>
      </c>
      <c r="O762" s="19">
        <v>-50</v>
      </c>
      <c r="P762" s="48">
        <v>50</v>
      </c>
      <c r="Q762" s="17">
        <v>0</v>
      </c>
      <c r="R762" s="24">
        <v>250</v>
      </c>
      <c r="S762" s="18" t="s">
        <v>28</v>
      </c>
      <c r="T762" s="25">
        <v>13</v>
      </c>
    </row>
    <row r="763" spans="1:20" s="26" customFormat="1" x14ac:dyDescent="0.25">
      <c r="A763" s="16">
        <v>226204</v>
      </c>
      <c r="B763" s="30" t="s">
        <v>376</v>
      </c>
      <c r="C763" s="20" t="s">
        <v>647</v>
      </c>
      <c r="D763" s="20" t="s">
        <v>720</v>
      </c>
      <c r="E763" s="20" t="s">
        <v>3040</v>
      </c>
      <c r="F763" s="20" t="s">
        <v>3041</v>
      </c>
      <c r="G763" s="21">
        <v>10</v>
      </c>
      <c r="H763" s="16">
        <v>26</v>
      </c>
      <c r="I763" s="16"/>
      <c r="J763" s="17">
        <v>260</v>
      </c>
      <c r="K763" s="22"/>
      <c r="L763" s="23"/>
      <c r="M763" s="23">
        <v>0</v>
      </c>
      <c r="N763" s="19">
        <v>20</v>
      </c>
      <c r="O763" s="19">
        <v>-50</v>
      </c>
      <c r="P763" s="48">
        <v>50</v>
      </c>
      <c r="Q763" s="17">
        <v>0</v>
      </c>
      <c r="R763" s="24">
        <v>260</v>
      </c>
      <c r="S763" s="18" t="s">
        <v>28</v>
      </c>
      <c r="T763" s="25">
        <v>13</v>
      </c>
    </row>
    <row r="764" spans="1:20" s="26" customFormat="1" x14ac:dyDescent="0.25">
      <c r="A764" s="16">
        <v>229835</v>
      </c>
      <c r="B764" s="30" t="s">
        <v>383</v>
      </c>
      <c r="C764" s="20" t="s">
        <v>647</v>
      </c>
      <c r="D764" s="20" t="s">
        <v>720</v>
      </c>
      <c r="E764" s="20" t="s">
        <v>3042</v>
      </c>
      <c r="F764" s="20" t="s">
        <v>3043</v>
      </c>
      <c r="G764" s="21">
        <v>10</v>
      </c>
      <c r="H764" s="16">
        <v>26</v>
      </c>
      <c r="I764" s="16"/>
      <c r="J764" s="17">
        <v>260</v>
      </c>
      <c r="K764" s="22"/>
      <c r="L764" s="23"/>
      <c r="M764" s="23">
        <v>0</v>
      </c>
      <c r="N764" s="19">
        <v>20</v>
      </c>
      <c r="O764" s="19">
        <v>-50</v>
      </c>
      <c r="P764" s="48">
        <v>50</v>
      </c>
      <c r="Q764" s="17">
        <v>0</v>
      </c>
      <c r="R764" s="24">
        <v>260</v>
      </c>
      <c r="S764" s="18" t="s">
        <v>28</v>
      </c>
      <c r="T764" s="25">
        <v>13</v>
      </c>
    </row>
    <row r="765" spans="1:20" s="26" customFormat="1" x14ac:dyDescent="0.25">
      <c r="A765" s="16">
        <v>226016</v>
      </c>
      <c r="B765" s="30" t="s">
        <v>377</v>
      </c>
      <c r="C765" s="20" t="s">
        <v>649</v>
      </c>
      <c r="D765" s="20" t="s">
        <v>725</v>
      </c>
      <c r="E765" s="20" t="s">
        <v>3044</v>
      </c>
      <c r="F765" s="20" t="s">
        <v>3045</v>
      </c>
      <c r="G765" s="21">
        <v>10</v>
      </c>
      <c r="H765" s="16">
        <v>26</v>
      </c>
      <c r="I765" s="16"/>
      <c r="J765" s="17">
        <v>260</v>
      </c>
      <c r="K765" s="22"/>
      <c r="L765" s="23"/>
      <c r="M765" s="23">
        <v>0</v>
      </c>
      <c r="N765" s="19">
        <v>20</v>
      </c>
      <c r="O765" s="19">
        <v>-50</v>
      </c>
      <c r="P765" s="48">
        <v>50</v>
      </c>
      <c r="Q765" s="17">
        <v>0</v>
      </c>
      <c r="R765" s="24">
        <v>260</v>
      </c>
      <c r="S765" s="18" t="s">
        <v>28</v>
      </c>
      <c r="T765" s="25">
        <v>13</v>
      </c>
    </row>
    <row r="766" spans="1:20" s="26" customFormat="1" x14ac:dyDescent="0.25">
      <c r="A766" s="16">
        <v>226203</v>
      </c>
      <c r="B766" s="30" t="s">
        <v>378</v>
      </c>
      <c r="C766" s="20" t="s">
        <v>649</v>
      </c>
      <c r="D766" s="20" t="s">
        <v>725</v>
      </c>
      <c r="E766" s="20" t="s">
        <v>3046</v>
      </c>
      <c r="F766" s="20" t="s">
        <v>3047</v>
      </c>
      <c r="G766" s="21">
        <v>10</v>
      </c>
      <c r="H766" s="16">
        <v>26</v>
      </c>
      <c r="I766" s="16"/>
      <c r="J766" s="17">
        <v>260</v>
      </c>
      <c r="K766" s="22"/>
      <c r="L766" s="23"/>
      <c r="M766" s="23">
        <v>0</v>
      </c>
      <c r="N766" s="19">
        <v>20</v>
      </c>
      <c r="O766" s="19">
        <v>-50</v>
      </c>
      <c r="P766" s="48">
        <v>50</v>
      </c>
      <c r="Q766" s="17">
        <v>0</v>
      </c>
      <c r="R766" s="24">
        <v>260</v>
      </c>
      <c r="S766" s="18" t="s">
        <v>28</v>
      </c>
      <c r="T766" s="25">
        <v>13</v>
      </c>
    </row>
    <row r="767" spans="1:20" s="26" customFormat="1" x14ac:dyDescent="0.25">
      <c r="A767" s="16">
        <v>233276</v>
      </c>
      <c r="B767" s="30" t="s">
        <v>1084</v>
      </c>
      <c r="C767" s="20" t="s">
        <v>649</v>
      </c>
      <c r="D767" s="20" t="s">
        <v>725</v>
      </c>
      <c r="E767" s="20" t="s">
        <v>3048</v>
      </c>
      <c r="F767" s="20" t="s">
        <v>3049</v>
      </c>
      <c r="G767" s="21">
        <v>10</v>
      </c>
      <c r="H767" s="16">
        <v>26</v>
      </c>
      <c r="I767" s="16">
        <v>9</v>
      </c>
      <c r="J767" s="17">
        <v>170</v>
      </c>
      <c r="K767" s="22"/>
      <c r="L767" s="23"/>
      <c r="M767" s="23">
        <v>0</v>
      </c>
      <c r="N767" s="19">
        <v>20</v>
      </c>
      <c r="O767" s="19">
        <v>-50</v>
      </c>
      <c r="P767" s="48">
        <v>50</v>
      </c>
      <c r="Q767" s="17">
        <v>0</v>
      </c>
      <c r="R767" s="24">
        <v>170</v>
      </c>
      <c r="S767" s="18" t="s">
        <v>28</v>
      </c>
      <c r="T767" s="25">
        <v>13</v>
      </c>
    </row>
    <row r="768" spans="1:20" s="26" customFormat="1" x14ac:dyDescent="0.25">
      <c r="A768" s="16">
        <v>219173</v>
      </c>
      <c r="B768" s="30" t="s">
        <v>1475</v>
      </c>
      <c r="C768" s="20" t="s">
        <v>650</v>
      </c>
      <c r="D768" s="20" t="s">
        <v>738</v>
      </c>
      <c r="E768" s="20" t="s">
        <v>3050</v>
      </c>
      <c r="F768" s="20" t="s">
        <v>3051</v>
      </c>
      <c r="G768" s="21">
        <v>18.8</v>
      </c>
      <c r="H768" s="16">
        <v>26</v>
      </c>
      <c r="I768" s="16"/>
      <c r="J768" s="17">
        <v>488.8</v>
      </c>
      <c r="K768" s="22"/>
      <c r="L768" s="23">
        <v>18.8</v>
      </c>
      <c r="M768" s="23">
        <v>18.8</v>
      </c>
      <c r="N768" s="19">
        <v>37.6</v>
      </c>
      <c r="O768" s="19">
        <v>-75.2</v>
      </c>
      <c r="P768" s="48">
        <v>94</v>
      </c>
      <c r="Q768" s="17">
        <v>0</v>
      </c>
      <c r="R768" s="24">
        <v>488.8</v>
      </c>
      <c r="S768" s="18" t="s">
        <v>28</v>
      </c>
      <c r="T768" s="25">
        <v>13</v>
      </c>
    </row>
    <row r="769" spans="1:20" s="26" customFormat="1" x14ac:dyDescent="0.25">
      <c r="A769" s="16">
        <v>200343</v>
      </c>
      <c r="B769" s="30" t="s">
        <v>379</v>
      </c>
      <c r="C769" s="20" t="s">
        <v>651</v>
      </c>
      <c r="D769" s="20" t="s">
        <v>719</v>
      </c>
      <c r="E769" s="20" t="s">
        <v>3052</v>
      </c>
      <c r="F769" s="20" t="s">
        <v>3053</v>
      </c>
      <c r="G769" s="21">
        <v>10</v>
      </c>
      <c r="H769" s="16">
        <v>16</v>
      </c>
      <c r="I769" s="16"/>
      <c r="J769" s="17">
        <v>160</v>
      </c>
      <c r="K769" s="22"/>
      <c r="L769" s="23"/>
      <c r="M769" s="23">
        <v>0</v>
      </c>
      <c r="N769" s="19">
        <v>20</v>
      </c>
      <c r="O769" s="19">
        <v>-50</v>
      </c>
      <c r="P769" s="48">
        <v>50</v>
      </c>
      <c r="Q769" s="17">
        <v>0</v>
      </c>
      <c r="R769" s="24">
        <v>160</v>
      </c>
      <c r="S769" s="18" t="s">
        <v>28</v>
      </c>
      <c r="T769" s="25">
        <v>13</v>
      </c>
    </row>
    <row r="770" spans="1:20" s="26" customFormat="1" x14ac:dyDescent="0.25">
      <c r="A770" s="16">
        <v>210825</v>
      </c>
      <c r="B770" s="30" t="s">
        <v>1476</v>
      </c>
      <c r="C770" s="20" t="s">
        <v>651</v>
      </c>
      <c r="D770" s="20" t="s">
        <v>727</v>
      </c>
      <c r="E770" s="20" t="s">
        <v>3054</v>
      </c>
      <c r="F770" s="20" t="s">
        <v>3055</v>
      </c>
      <c r="G770" s="21">
        <v>10</v>
      </c>
      <c r="H770" s="16">
        <v>26</v>
      </c>
      <c r="I770" s="16"/>
      <c r="J770" s="17">
        <v>260</v>
      </c>
      <c r="K770" s="22"/>
      <c r="L770" s="23"/>
      <c r="M770" s="23">
        <v>0</v>
      </c>
      <c r="N770" s="19">
        <v>20</v>
      </c>
      <c r="O770" s="19">
        <v>-50</v>
      </c>
      <c r="P770" s="48">
        <v>50</v>
      </c>
      <c r="Q770" s="17">
        <v>0</v>
      </c>
      <c r="R770" s="24">
        <v>260</v>
      </c>
      <c r="S770" s="18" t="s">
        <v>28</v>
      </c>
      <c r="T770" s="25">
        <v>13</v>
      </c>
    </row>
    <row r="771" spans="1:20" s="26" customFormat="1" x14ac:dyDescent="0.25">
      <c r="A771" s="16">
        <v>215404</v>
      </c>
      <c r="B771" s="30" t="s">
        <v>380</v>
      </c>
      <c r="C771" s="20" t="s">
        <v>651</v>
      </c>
      <c r="D771" s="20" t="s">
        <v>719</v>
      </c>
      <c r="E771" s="20" t="s">
        <v>3056</v>
      </c>
      <c r="F771" s="20" t="s">
        <v>3057</v>
      </c>
      <c r="G771" s="21">
        <v>18.8</v>
      </c>
      <c r="H771" s="16">
        <v>16</v>
      </c>
      <c r="I771" s="16"/>
      <c r="J771" s="17">
        <v>300.8</v>
      </c>
      <c r="K771" s="22"/>
      <c r="L771" s="23"/>
      <c r="M771" s="23">
        <v>0</v>
      </c>
      <c r="N771" s="19">
        <v>37.6</v>
      </c>
      <c r="O771" s="19">
        <v>-94</v>
      </c>
      <c r="P771" s="48">
        <v>94</v>
      </c>
      <c r="Q771" s="17">
        <v>0</v>
      </c>
      <c r="R771" s="24">
        <v>300.8</v>
      </c>
      <c r="S771" s="18" t="s">
        <v>28</v>
      </c>
      <c r="T771" s="25">
        <v>13</v>
      </c>
    </row>
    <row r="772" spans="1:20" s="26" customFormat="1" x14ac:dyDescent="0.25">
      <c r="A772" s="16">
        <v>218284</v>
      </c>
      <c r="B772" s="30" t="s">
        <v>381</v>
      </c>
      <c r="C772" s="20" t="s">
        <v>651</v>
      </c>
      <c r="D772" s="20" t="s">
        <v>719</v>
      </c>
      <c r="E772" s="20" t="s">
        <v>3058</v>
      </c>
      <c r="F772" s="20" t="s">
        <v>3059</v>
      </c>
      <c r="G772" s="21">
        <v>18.8</v>
      </c>
      <c r="H772" s="16">
        <v>16</v>
      </c>
      <c r="I772" s="16"/>
      <c r="J772" s="17">
        <v>300.8</v>
      </c>
      <c r="K772" s="22"/>
      <c r="L772" s="23"/>
      <c r="M772" s="23">
        <v>0</v>
      </c>
      <c r="N772" s="19">
        <v>37.6</v>
      </c>
      <c r="O772" s="19">
        <v>-94</v>
      </c>
      <c r="P772" s="48">
        <v>94</v>
      </c>
      <c r="Q772" s="17">
        <v>0</v>
      </c>
      <c r="R772" s="24">
        <v>300.8</v>
      </c>
      <c r="S772" s="18" t="s">
        <v>28</v>
      </c>
      <c r="T772" s="25">
        <v>13</v>
      </c>
    </row>
    <row r="773" spans="1:20" s="26" customFormat="1" x14ac:dyDescent="0.25">
      <c r="A773" s="16">
        <v>223856</v>
      </c>
      <c r="B773" s="30" t="s">
        <v>1085</v>
      </c>
      <c r="C773" s="20" t="s">
        <v>651</v>
      </c>
      <c r="D773" s="20" t="s">
        <v>719</v>
      </c>
      <c r="E773" s="20" t="s">
        <v>3060</v>
      </c>
      <c r="F773" s="20" t="s">
        <v>3061</v>
      </c>
      <c r="G773" s="21">
        <v>10</v>
      </c>
      <c r="H773" s="16">
        <v>16</v>
      </c>
      <c r="I773" s="16"/>
      <c r="J773" s="17">
        <v>160</v>
      </c>
      <c r="K773" s="22"/>
      <c r="L773" s="23"/>
      <c r="M773" s="23">
        <v>0</v>
      </c>
      <c r="N773" s="19">
        <v>20</v>
      </c>
      <c r="O773" s="19">
        <v>-50</v>
      </c>
      <c r="P773" s="48">
        <v>50</v>
      </c>
      <c r="Q773" s="17">
        <v>0</v>
      </c>
      <c r="R773" s="24">
        <v>160</v>
      </c>
      <c r="S773" s="18" t="s">
        <v>28</v>
      </c>
      <c r="T773" s="25">
        <v>13</v>
      </c>
    </row>
    <row r="774" spans="1:20" s="26" customFormat="1" x14ac:dyDescent="0.25">
      <c r="A774" s="16">
        <v>226410</v>
      </c>
      <c r="B774" s="30" t="s">
        <v>1477</v>
      </c>
      <c r="C774" s="20" t="s">
        <v>651</v>
      </c>
      <c r="D774" s="20" t="s">
        <v>719</v>
      </c>
      <c r="E774" s="20" t="s">
        <v>3062</v>
      </c>
      <c r="F774" s="20" t="s">
        <v>3063</v>
      </c>
      <c r="G774" s="21">
        <v>10</v>
      </c>
      <c r="H774" s="16">
        <v>16</v>
      </c>
      <c r="I774" s="16">
        <v>1</v>
      </c>
      <c r="J774" s="17">
        <v>150</v>
      </c>
      <c r="K774" s="22"/>
      <c r="L774" s="23"/>
      <c r="M774" s="23">
        <v>0</v>
      </c>
      <c r="N774" s="19">
        <v>20</v>
      </c>
      <c r="O774" s="19">
        <v>-50</v>
      </c>
      <c r="P774" s="48">
        <v>50</v>
      </c>
      <c r="Q774" s="17">
        <v>0</v>
      </c>
      <c r="R774" s="24">
        <v>150</v>
      </c>
      <c r="S774" s="18" t="s">
        <v>28</v>
      </c>
      <c r="T774" s="25">
        <v>13</v>
      </c>
    </row>
    <row r="775" spans="1:20" s="26" customFormat="1" x14ac:dyDescent="0.25">
      <c r="A775" s="16">
        <v>228041</v>
      </c>
      <c r="B775" s="30" t="s">
        <v>382</v>
      </c>
      <c r="C775" s="20" t="s">
        <v>651</v>
      </c>
      <c r="D775" s="20" t="s">
        <v>719</v>
      </c>
      <c r="E775" s="20" t="s">
        <v>3064</v>
      </c>
      <c r="F775" s="20" t="s">
        <v>3065</v>
      </c>
      <c r="G775" s="21">
        <v>10</v>
      </c>
      <c r="H775" s="16">
        <v>16</v>
      </c>
      <c r="I775" s="16"/>
      <c r="J775" s="17">
        <v>160</v>
      </c>
      <c r="K775" s="22"/>
      <c r="L775" s="23"/>
      <c r="M775" s="23">
        <v>0</v>
      </c>
      <c r="N775" s="19">
        <v>20</v>
      </c>
      <c r="O775" s="19">
        <v>-50</v>
      </c>
      <c r="P775" s="48">
        <v>50</v>
      </c>
      <c r="Q775" s="17">
        <v>0</v>
      </c>
      <c r="R775" s="24">
        <v>160</v>
      </c>
      <c r="S775" s="18" t="s">
        <v>28</v>
      </c>
      <c r="T775" s="25">
        <v>13</v>
      </c>
    </row>
    <row r="776" spans="1:20" s="26" customFormat="1" x14ac:dyDescent="0.25">
      <c r="A776" s="16">
        <v>229946</v>
      </c>
      <c r="B776" s="30" t="s">
        <v>1205</v>
      </c>
      <c r="C776" s="20" t="s">
        <v>651</v>
      </c>
      <c r="D776" s="20" t="s">
        <v>719</v>
      </c>
      <c r="E776" s="20" t="s">
        <v>3066</v>
      </c>
      <c r="F776" s="20" t="s">
        <v>3067</v>
      </c>
      <c r="G776" s="21">
        <v>10</v>
      </c>
      <c r="H776" s="16">
        <v>16</v>
      </c>
      <c r="I776" s="16">
        <v>1</v>
      </c>
      <c r="J776" s="17">
        <v>150</v>
      </c>
      <c r="K776" s="22"/>
      <c r="L776" s="23"/>
      <c r="M776" s="23">
        <v>0</v>
      </c>
      <c r="N776" s="19">
        <v>20</v>
      </c>
      <c r="O776" s="19">
        <v>-50</v>
      </c>
      <c r="P776" s="48">
        <v>50</v>
      </c>
      <c r="Q776" s="17">
        <v>0</v>
      </c>
      <c r="R776" s="24">
        <v>150</v>
      </c>
      <c r="S776" s="18" t="s">
        <v>28</v>
      </c>
      <c r="T776" s="25">
        <v>13</v>
      </c>
    </row>
    <row r="777" spans="1:20" s="26" customFormat="1" x14ac:dyDescent="0.25">
      <c r="A777" s="16">
        <v>231665</v>
      </c>
      <c r="B777" s="30" t="s">
        <v>834</v>
      </c>
      <c r="C777" s="20" t="s">
        <v>651</v>
      </c>
      <c r="D777" s="20" t="s">
        <v>719</v>
      </c>
      <c r="E777" s="20" t="s">
        <v>3068</v>
      </c>
      <c r="F777" s="20" t="s">
        <v>3069</v>
      </c>
      <c r="G777" s="21">
        <v>10</v>
      </c>
      <c r="H777" s="16">
        <v>16</v>
      </c>
      <c r="I777" s="16"/>
      <c r="J777" s="17">
        <v>160</v>
      </c>
      <c r="K777" s="22"/>
      <c r="L777" s="23"/>
      <c r="M777" s="23">
        <v>0</v>
      </c>
      <c r="N777" s="19">
        <v>20</v>
      </c>
      <c r="O777" s="19">
        <v>-50</v>
      </c>
      <c r="P777" s="48">
        <v>50</v>
      </c>
      <c r="Q777" s="17">
        <v>0</v>
      </c>
      <c r="R777" s="24">
        <v>160</v>
      </c>
      <c r="S777" s="18" t="s">
        <v>28</v>
      </c>
      <c r="T777" s="25">
        <v>13</v>
      </c>
    </row>
    <row r="778" spans="1:20" s="26" customFormat="1" x14ac:dyDescent="0.25">
      <c r="A778" s="16">
        <v>232392</v>
      </c>
      <c r="B778" s="30" t="s">
        <v>913</v>
      </c>
      <c r="C778" s="20" t="s">
        <v>651</v>
      </c>
      <c r="D778" s="20" t="s">
        <v>719</v>
      </c>
      <c r="E778" s="20" t="s">
        <v>3070</v>
      </c>
      <c r="F778" s="20" t="s">
        <v>3071</v>
      </c>
      <c r="G778" s="21">
        <v>10</v>
      </c>
      <c r="H778" s="16">
        <v>16</v>
      </c>
      <c r="I778" s="16">
        <v>1</v>
      </c>
      <c r="J778" s="17">
        <v>150</v>
      </c>
      <c r="K778" s="22"/>
      <c r="L778" s="23"/>
      <c r="M778" s="23">
        <v>0</v>
      </c>
      <c r="N778" s="19">
        <v>20</v>
      </c>
      <c r="O778" s="19">
        <v>-50</v>
      </c>
      <c r="P778" s="48">
        <v>50</v>
      </c>
      <c r="Q778" s="17">
        <v>0</v>
      </c>
      <c r="R778" s="24">
        <v>150</v>
      </c>
      <c r="S778" s="18" t="s">
        <v>28</v>
      </c>
      <c r="T778" s="25">
        <v>13</v>
      </c>
    </row>
    <row r="779" spans="1:20" s="26" customFormat="1" x14ac:dyDescent="0.25">
      <c r="A779" s="16">
        <v>234887</v>
      </c>
      <c r="B779" s="30" t="s">
        <v>1478</v>
      </c>
      <c r="C779" s="20" t="s">
        <v>651</v>
      </c>
      <c r="D779" s="20" t="s">
        <v>716</v>
      </c>
      <c r="E779" s="20" t="s">
        <v>3072</v>
      </c>
      <c r="F779" s="20" t="s">
        <v>3073</v>
      </c>
      <c r="G779" s="21">
        <v>10</v>
      </c>
      <c r="H779" s="16">
        <v>16</v>
      </c>
      <c r="I779" s="16">
        <v>1</v>
      </c>
      <c r="J779" s="17">
        <v>150</v>
      </c>
      <c r="K779" s="22"/>
      <c r="L779" s="23"/>
      <c r="M779" s="23">
        <v>0</v>
      </c>
      <c r="N779" s="19">
        <v>20</v>
      </c>
      <c r="O779" s="19">
        <v>-50</v>
      </c>
      <c r="P779" s="48">
        <v>50</v>
      </c>
      <c r="Q779" s="17">
        <v>0</v>
      </c>
      <c r="R779" s="24">
        <v>150</v>
      </c>
      <c r="S779" s="18" t="s">
        <v>28</v>
      </c>
      <c r="T779" s="25">
        <v>13</v>
      </c>
    </row>
    <row r="780" spans="1:20" s="26" customFormat="1" x14ac:dyDescent="0.25">
      <c r="A780" s="16">
        <v>215656</v>
      </c>
      <c r="B780" s="30" t="s">
        <v>1086</v>
      </c>
      <c r="C780" s="20" t="s">
        <v>635</v>
      </c>
      <c r="D780" s="20" t="s">
        <v>689</v>
      </c>
      <c r="E780" s="20" t="s">
        <v>3074</v>
      </c>
      <c r="F780" s="20" t="s">
        <v>3075</v>
      </c>
      <c r="G780" s="21">
        <v>18.8</v>
      </c>
      <c r="H780" s="16">
        <v>22</v>
      </c>
      <c r="I780" s="16">
        <v>1</v>
      </c>
      <c r="J780" s="17">
        <v>394.8</v>
      </c>
      <c r="K780" s="22"/>
      <c r="L780" s="23"/>
      <c r="M780" s="23">
        <v>0</v>
      </c>
      <c r="N780" s="19">
        <v>37.6</v>
      </c>
      <c r="O780" s="19">
        <v>-94</v>
      </c>
      <c r="P780" s="48">
        <v>94</v>
      </c>
      <c r="Q780" s="17">
        <v>0</v>
      </c>
      <c r="R780" s="24">
        <v>394.8</v>
      </c>
      <c r="S780" s="18" t="s">
        <v>28</v>
      </c>
      <c r="T780" s="25">
        <v>13</v>
      </c>
    </row>
    <row r="781" spans="1:20" s="26" customFormat="1" x14ac:dyDescent="0.25">
      <c r="A781" s="16">
        <v>233879</v>
      </c>
      <c r="B781" s="30" t="s">
        <v>1087</v>
      </c>
      <c r="C781" s="20" t="s">
        <v>636</v>
      </c>
      <c r="D781" s="20" t="s">
        <v>729</v>
      </c>
      <c r="E781" s="20" t="s">
        <v>3076</v>
      </c>
      <c r="F781" s="20" t="s">
        <v>3077</v>
      </c>
      <c r="G781" s="21">
        <v>10</v>
      </c>
      <c r="H781" s="16">
        <v>22</v>
      </c>
      <c r="I781" s="16">
        <v>1</v>
      </c>
      <c r="J781" s="17">
        <v>210</v>
      </c>
      <c r="K781" s="22"/>
      <c r="L781" s="23"/>
      <c r="M781" s="23">
        <v>0</v>
      </c>
      <c r="N781" s="19">
        <v>20</v>
      </c>
      <c r="O781" s="19">
        <v>-50</v>
      </c>
      <c r="P781" s="48">
        <v>50</v>
      </c>
      <c r="Q781" s="17">
        <v>0</v>
      </c>
      <c r="R781" s="24">
        <v>210</v>
      </c>
      <c r="S781" s="18" t="s">
        <v>28</v>
      </c>
      <c r="T781" s="25">
        <v>13</v>
      </c>
    </row>
    <row r="782" spans="1:20" s="26" customFormat="1" x14ac:dyDescent="0.25">
      <c r="A782" s="16">
        <v>206768</v>
      </c>
      <c r="B782" s="30" t="s">
        <v>1202</v>
      </c>
      <c r="C782" s="20" t="s">
        <v>653</v>
      </c>
      <c r="D782" s="20" t="s">
        <v>891</v>
      </c>
      <c r="E782" s="20" t="s">
        <v>3078</v>
      </c>
      <c r="F782" s="20" t="s">
        <v>3079</v>
      </c>
      <c r="G782" s="21">
        <v>18.8</v>
      </c>
      <c r="H782" s="16">
        <v>26</v>
      </c>
      <c r="I782" s="16"/>
      <c r="J782" s="17">
        <v>488.8</v>
      </c>
      <c r="K782" s="22"/>
      <c r="L782" s="23">
        <v>313.8</v>
      </c>
      <c r="M782" s="23">
        <v>313.8</v>
      </c>
      <c r="N782" s="19">
        <v>37.6</v>
      </c>
      <c r="O782" s="19">
        <v>219.8</v>
      </c>
      <c r="P782" s="48">
        <v>94</v>
      </c>
      <c r="Q782" s="17">
        <v>219.8</v>
      </c>
      <c r="R782" s="24">
        <v>269</v>
      </c>
      <c r="S782" s="18" t="s">
        <v>11</v>
      </c>
      <c r="T782" s="25">
        <v>13</v>
      </c>
    </row>
    <row r="783" spans="1:20" s="26" customFormat="1" x14ac:dyDescent="0.25">
      <c r="A783" s="16">
        <v>212799</v>
      </c>
      <c r="B783" s="30" t="s">
        <v>384</v>
      </c>
      <c r="C783" s="20" t="s">
        <v>653</v>
      </c>
      <c r="D783" s="20" t="s">
        <v>714</v>
      </c>
      <c r="E783" s="20" t="s">
        <v>3080</v>
      </c>
      <c r="F783" s="20" t="s">
        <v>3081</v>
      </c>
      <c r="G783" s="21">
        <v>10</v>
      </c>
      <c r="H783" s="16">
        <v>26</v>
      </c>
      <c r="I783" s="16">
        <v>1</v>
      </c>
      <c r="J783" s="17">
        <v>250</v>
      </c>
      <c r="K783" s="22"/>
      <c r="L783" s="23"/>
      <c r="M783" s="23">
        <v>0</v>
      </c>
      <c r="N783" s="19">
        <v>20</v>
      </c>
      <c r="O783" s="19">
        <v>-50</v>
      </c>
      <c r="P783" s="48">
        <v>50</v>
      </c>
      <c r="Q783" s="17">
        <v>0</v>
      </c>
      <c r="R783" s="24">
        <v>250</v>
      </c>
      <c r="S783" s="18" t="s">
        <v>28</v>
      </c>
      <c r="T783" s="25">
        <v>13</v>
      </c>
    </row>
    <row r="784" spans="1:20" s="26" customFormat="1" x14ac:dyDescent="0.25">
      <c r="A784" s="16">
        <v>218129</v>
      </c>
      <c r="B784" s="30" t="s">
        <v>1371</v>
      </c>
      <c r="C784" s="20" t="s">
        <v>653</v>
      </c>
      <c r="D784" s="20" t="s">
        <v>891</v>
      </c>
      <c r="E784" s="20" t="s">
        <v>3082</v>
      </c>
      <c r="F784" s="20" t="s">
        <v>3083</v>
      </c>
      <c r="G784" s="21">
        <v>18.8</v>
      </c>
      <c r="H784" s="16">
        <v>26</v>
      </c>
      <c r="I784" s="16"/>
      <c r="J784" s="17">
        <v>488.8</v>
      </c>
      <c r="K784" s="22"/>
      <c r="L784" s="23"/>
      <c r="M784" s="23">
        <v>0</v>
      </c>
      <c r="N784" s="19">
        <v>37.6</v>
      </c>
      <c r="O784" s="19">
        <v>-94</v>
      </c>
      <c r="P784" s="48">
        <v>94</v>
      </c>
      <c r="Q784" s="17">
        <v>0</v>
      </c>
      <c r="R784" s="24">
        <v>488.8</v>
      </c>
      <c r="S784" s="18" t="s">
        <v>28</v>
      </c>
      <c r="T784" s="25">
        <v>13</v>
      </c>
    </row>
    <row r="785" spans="1:20" s="26" customFormat="1" x14ac:dyDescent="0.25">
      <c r="A785" s="16">
        <v>218488</v>
      </c>
      <c r="B785" s="30" t="s">
        <v>325</v>
      </c>
      <c r="C785" s="20" t="s">
        <v>653</v>
      </c>
      <c r="D785" s="20" t="s">
        <v>891</v>
      </c>
      <c r="E785" s="20" t="s">
        <v>3084</v>
      </c>
      <c r="F785" s="20" t="s">
        <v>3085</v>
      </c>
      <c r="G785" s="21">
        <v>18.8</v>
      </c>
      <c r="H785" s="16">
        <v>26</v>
      </c>
      <c r="I785" s="16">
        <v>3</v>
      </c>
      <c r="J785" s="17">
        <v>432.40000000000003</v>
      </c>
      <c r="K785" s="22"/>
      <c r="L785" s="23"/>
      <c r="M785" s="23">
        <v>0</v>
      </c>
      <c r="N785" s="19">
        <v>37.6</v>
      </c>
      <c r="O785" s="19">
        <v>-94</v>
      </c>
      <c r="P785" s="48">
        <v>94</v>
      </c>
      <c r="Q785" s="17">
        <v>0</v>
      </c>
      <c r="R785" s="24">
        <v>432.40000000000003</v>
      </c>
      <c r="S785" s="18" t="s">
        <v>28</v>
      </c>
      <c r="T785" s="25">
        <v>13</v>
      </c>
    </row>
    <row r="786" spans="1:20" s="26" customFormat="1" x14ac:dyDescent="0.25">
      <c r="A786" s="16">
        <v>224363</v>
      </c>
      <c r="B786" s="30" t="s">
        <v>385</v>
      </c>
      <c r="C786" s="20" t="s">
        <v>653</v>
      </c>
      <c r="D786" s="20" t="s">
        <v>714</v>
      </c>
      <c r="E786" s="20" t="s">
        <v>3086</v>
      </c>
      <c r="F786" s="20" t="s">
        <v>3087</v>
      </c>
      <c r="G786" s="21">
        <v>10</v>
      </c>
      <c r="H786" s="16">
        <v>26</v>
      </c>
      <c r="I786" s="16"/>
      <c r="J786" s="17">
        <v>260</v>
      </c>
      <c r="K786" s="22"/>
      <c r="L786" s="23"/>
      <c r="M786" s="23">
        <v>0</v>
      </c>
      <c r="N786" s="19">
        <v>20</v>
      </c>
      <c r="O786" s="19">
        <v>-50</v>
      </c>
      <c r="P786" s="48">
        <v>50</v>
      </c>
      <c r="Q786" s="17">
        <v>0</v>
      </c>
      <c r="R786" s="24">
        <v>260</v>
      </c>
      <c r="S786" s="18" t="s">
        <v>28</v>
      </c>
      <c r="T786" s="25">
        <v>13</v>
      </c>
    </row>
    <row r="787" spans="1:20" s="26" customFormat="1" x14ac:dyDescent="0.25">
      <c r="A787" s="16">
        <v>214409</v>
      </c>
      <c r="B787" s="30" t="s">
        <v>386</v>
      </c>
      <c r="C787" s="20" t="s">
        <v>654</v>
      </c>
      <c r="D787" s="20" t="s">
        <v>715</v>
      </c>
      <c r="E787" s="20" t="s">
        <v>3088</v>
      </c>
      <c r="F787" s="20" t="s">
        <v>3089</v>
      </c>
      <c r="G787" s="21">
        <v>10</v>
      </c>
      <c r="H787" s="16">
        <v>26</v>
      </c>
      <c r="I787" s="16"/>
      <c r="J787" s="17">
        <v>260</v>
      </c>
      <c r="K787" s="22"/>
      <c r="L787" s="23"/>
      <c r="M787" s="23">
        <v>0</v>
      </c>
      <c r="N787" s="19">
        <v>20</v>
      </c>
      <c r="O787" s="19">
        <v>-50</v>
      </c>
      <c r="P787" s="48">
        <v>50</v>
      </c>
      <c r="Q787" s="17">
        <v>0</v>
      </c>
      <c r="R787" s="24">
        <v>260</v>
      </c>
      <c r="S787" s="18" t="s">
        <v>28</v>
      </c>
      <c r="T787" s="25">
        <v>13</v>
      </c>
    </row>
    <row r="788" spans="1:20" s="26" customFormat="1" x14ac:dyDescent="0.25">
      <c r="A788" s="16">
        <v>232332</v>
      </c>
      <c r="B788" s="30" t="s">
        <v>887</v>
      </c>
      <c r="C788" s="20" t="s">
        <v>654</v>
      </c>
      <c r="D788" s="20" t="s">
        <v>715</v>
      </c>
      <c r="E788" s="20" t="s">
        <v>3090</v>
      </c>
      <c r="F788" s="20" t="s">
        <v>3091</v>
      </c>
      <c r="G788" s="21">
        <v>10</v>
      </c>
      <c r="H788" s="16">
        <v>26</v>
      </c>
      <c r="I788" s="16"/>
      <c r="J788" s="17">
        <v>260</v>
      </c>
      <c r="K788" s="22"/>
      <c r="L788" s="23"/>
      <c r="M788" s="23">
        <v>0</v>
      </c>
      <c r="N788" s="19">
        <v>20</v>
      </c>
      <c r="O788" s="19">
        <v>-50</v>
      </c>
      <c r="P788" s="48">
        <v>50</v>
      </c>
      <c r="Q788" s="17">
        <v>0</v>
      </c>
      <c r="R788" s="24">
        <v>260</v>
      </c>
      <c r="S788" s="18" t="s">
        <v>28</v>
      </c>
      <c r="T788" s="25">
        <v>13</v>
      </c>
    </row>
    <row r="789" spans="1:20" s="26" customFormat="1" x14ac:dyDescent="0.25">
      <c r="A789" s="16">
        <v>229684</v>
      </c>
      <c r="B789" s="30" t="s">
        <v>390</v>
      </c>
      <c r="C789" s="20" t="s">
        <v>655</v>
      </c>
      <c r="D789" s="20" t="s">
        <v>713</v>
      </c>
      <c r="E789" s="20" t="s">
        <v>3092</v>
      </c>
      <c r="F789" s="20" t="s">
        <v>3093</v>
      </c>
      <c r="G789" s="21">
        <v>10</v>
      </c>
      <c r="H789" s="16">
        <v>26</v>
      </c>
      <c r="I789" s="16"/>
      <c r="J789" s="17">
        <v>260</v>
      </c>
      <c r="K789" s="22"/>
      <c r="L789" s="23"/>
      <c r="M789" s="23">
        <v>0</v>
      </c>
      <c r="N789" s="19">
        <v>20</v>
      </c>
      <c r="O789" s="19">
        <v>-50</v>
      </c>
      <c r="P789" s="48">
        <v>50</v>
      </c>
      <c r="Q789" s="17">
        <v>0</v>
      </c>
      <c r="R789" s="24">
        <v>260</v>
      </c>
      <c r="S789" s="18" t="s">
        <v>28</v>
      </c>
      <c r="T789" s="25">
        <v>13</v>
      </c>
    </row>
    <row r="790" spans="1:20" s="26" customFormat="1" x14ac:dyDescent="0.25">
      <c r="A790" s="16">
        <v>229836</v>
      </c>
      <c r="B790" s="30" t="s">
        <v>388</v>
      </c>
      <c r="C790" s="20" t="s">
        <v>655</v>
      </c>
      <c r="D790" s="20" t="s">
        <v>713</v>
      </c>
      <c r="E790" s="20" t="s">
        <v>3094</v>
      </c>
      <c r="F790" s="20" t="s">
        <v>3095</v>
      </c>
      <c r="G790" s="21">
        <v>10</v>
      </c>
      <c r="H790" s="16">
        <v>26</v>
      </c>
      <c r="I790" s="16"/>
      <c r="J790" s="17">
        <v>260</v>
      </c>
      <c r="K790" s="22"/>
      <c r="L790" s="23"/>
      <c r="M790" s="23">
        <v>0</v>
      </c>
      <c r="N790" s="19">
        <v>20</v>
      </c>
      <c r="O790" s="19">
        <v>-50</v>
      </c>
      <c r="P790" s="48">
        <v>50</v>
      </c>
      <c r="Q790" s="17">
        <v>0</v>
      </c>
      <c r="R790" s="24">
        <v>260</v>
      </c>
      <c r="S790" s="18" t="s">
        <v>28</v>
      </c>
      <c r="T790" s="25">
        <v>13</v>
      </c>
    </row>
    <row r="791" spans="1:20" s="26" customFormat="1" x14ac:dyDescent="0.25">
      <c r="A791" s="16">
        <v>232028</v>
      </c>
      <c r="B791" s="30" t="s">
        <v>835</v>
      </c>
      <c r="C791" s="20" t="s">
        <v>655</v>
      </c>
      <c r="D791" s="20" t="s">
        <v>734</v>
      </c>
      <c r="E791" s="20" t="s">
        <v>3096</v>
      </c>
      <c r="F791" s="20" t="s">
        <v>3097</v>
      </c>
      <c r="G791" s="21">
        <v>10</v>
      </c>
      <c r="H791" s="16">
        <v>26</v>
      </c>
      <c r="I791" s="16"/>
      <c r="J791" s="17">
        <v>260</v>
      </c>
      <c r="K791" s="22"/>
      <c r="L791" s="23"/>
      <c r="M791" s="23">
        <v>0</v>
      </c>
      <c r="N791" s="19">
        <v>20</v>
      </c>
      <c r="O791" s="19">
        <v>-50</v>
      </c>
      <c r="P791" s="48">
        <v>50</v>
      </c>
      <c r="Q791" s="17">
        <v>0</v>
      </c>
      <c r="R791" s="24">
        <v>260</v>
      </c>
      <c r="S791" s="18" t="s">
        <v>28</v>
      </c>
      <c r="T791" s="25">
        <v>13</v>
      </c>
    </row>
    <row r="792" spans="1:20" s="26" customFormat="1" x14ac:dyDescent="0.25">
      <c r="A792" s="16">
        <v>223009</v>
      </c>
      <c r="B792" s="30" t="s">
        <v>329</v>
      </c>
      <c r="C792" s="20" t="s">
        <v>641</v>
      </c>
      <c r="D792" s="20" t="s">
        <v>704</v>
      </c>
      <c r="E792" s="20" t="s">
        <v>3098</v>
      </c>
      <c r="F792" s="20" t="s">
        <v>3099</v>
      </c>
      <c r="G792" s="21">
        <v>18.8</v>
      </c>
      <c r="H792" s="16">
        <v>26</v>
      </c>
      <c r="I792" s="16"/>
      <c r="J792" s="17">
        <v>488.8</v>
      </c>
      <c r="K792" s="22"/>
      <c r="L792" s="23"/>
      <c r="M792" s="23">
        <v>0</v>
      </c>
      <c r="N792" s="19">
        <v>37.6</v>
      </c>
      <c r="O792" s="19">
        <v>-94</v>
      </c>
      <c r="P792" s="48">
        <v>94</v>
      </c>
      <c r="Q792" s="17">
        <v>0</v>
      </c>
      <c r="R792" s="24">
        <v>488.8</v>
      </c>
      <c r="S792" s="18" t="s">
        <v>28</v>
      </c>
      <c r="T792" s="25">
        <v>13</v>
      </c>
    </row>
    <row r="793" spans="1:20" s="26" customFormat="1" x14ac:dyDescent="0.25">
      <c r="A793" s="16">
        <v>224403</v>
      </c>
      <c r="B793" s="30" t="s">
        <v>389</v>
      </c>
      <c r="C793" s="20" t="s">
        <v>641</v>
      </c>
      <c r="D793" s="20" t="s">
        <v>704</v>
      </c>
      <c r="E793" s="20" t="s">
        <v>3100</v>
      </c>
      <c r="F793" s="20" t="s">
        <v>3101</v>
      </c>
      <c r="G793" s="21">
        <v>18.8</v>
      </c>
      <c r="H793" s="16">
        <v>26</v>
      </c>
      <c r="I793" s="16"/>
      <c r="J793" s="17">
        <v>488.8</v>
      </c>
      <c r="K793" s="22"/>
      <c r="L793" s="23"/>
      <c r="M793" s="23">
        <v>0</v>
      </c>
      <c r="N793" s="19">
        <v>37.6</v>
      </c>
      <c r="O793" s="19">
        <v>-94</v>
      </c>
      <c r="P793" s="48">
        <v>94</v>
      </c>
      <c r="Q793" s="17">
        <v>0</v>
      </c>
      <c r="R793" s="24">
        <v>488.8</v>
      </c>
      <c r="S793" s="18" t="s">
        <v>28</v>
      </c>
      <c r="T793" s="25">
        <v>13</v>
      </c>
    </row>
    <row r="794" spans="1:20" s="26" customFormat="1" x14ac:dyDescent="0.25">
      <c r="A794" s="16">
        <v>230277</v>
      </c>
      <c r="B794" s="30" t="s">
        <v>139</v>
      </c>
      <c r="C794" s="20" t="s">
        <v>641</v>
      </c>
      <c r="D794" s="20" t="s">
        <v>704</v>
      </c>
      <c r="E794" s="20" t="s">
        <v>3102</v>
      </c>
      <c r="F794" s="20" t="s">
        <v>3103</v>
      </c>
      <c r="G794" s="21">
        <v>10</v>
      </c>
      <c r="H794" s="16">
        <v>26</v>
      </c>
      <c r="I794" s="16"/>
      <c r="J794" s="17">
        <v>260</v>
      </c>
      <c r="K794" s="22"/>
      <c r="L794" s="23">
        <v>30</v>
      </c>
      <c r="M794" s="23">
        <v>30</v>
      </c>
      <c r="N794" s="19">
        <v>20</v>
      </c>
      <c r="O794" s="19">
        <v>-20</v>
      </c>
      <c r="P794" s="48">
        <v>50</v>
      </c>
      <c r="Q794" s="17">
        <v>0</v>
      </c>
      <c r="R794" s="24">
        <v>260</v>
      </c>
      <c r="S794" s="18" t="s">
        <v>28</v>
      </c>
      <c r="T794" s="25">
        <v>13</v>
      </c>
    </row>
    <row r="795" spans="1:20" s="26" customFormat="1" x14ac:dyDescent="0.25">
      <c r="A795" s="16">
        <v>231998</v>
      </c>
      <c r="B795" s="30" t="s">
        <v>880</v>
      </c>
      <c r="C795" s="20" t="s">
        <v>641</v>
      </c>
      <c r="D795" s="20" t="s">
        <v>705</v>
      </c>
      <c r="E795" s="20" t="s">
        <v>3104</v>
      </c>
      <c r="F795" s="20" t="s">
        <v>3105</v>
      </c>
      <c r="G795" s="21">
        <v>18.8</v>
      </c>
      <c r="H795" s="16">
        <v>26</v>
      </c>
      <c r="I795" s="16"/>
      <c r="J795" s="17">
        <v>488.8</v>
      </c>
      <c r="K795" s="22"/>
      <c r="L795" s="23"/>
      <c r="M795" s="23">
        <v>0</v>
      </c>
      <c r="N795" s="19">
        <v>37.6</v>
      </c>
      <c r="O795" s="19">
        <v>-94</v>
      </c>
      <c r="P795" s="48">
        <v>94</v>
      </c>
      <c r="Q795" s="17">
        <v>0</v>
      </c>
      <c r="R795" s="24">
        <v>488.8</v>
      </c>
      <c r="S795" s="18" t="s">
        <v>28</v>
      </c>
      <c r="T795" s="25">
        <v>13</v>
      </c>
    </row>
    <row r="796" spans="1:20" s="26" customFormat="1" x14ac:dyDescent="0.25">
      <c r="A796" s="16">
        <v>233508</v>
      </c>
      <c r="B796" s="30" t="s">
        <v>1089</v>
      </c>
      <c r="C796" s="20" t="s">
        <v>641</v>
      </c>
      <c r="D796" s="20" t="s">
        <v>704</v>
      </c>
      <c r="E796" s="20" t="s">
        <v>3106</v>
      </c>
      <c r="F796" s="20" t="s">
        <v>3107</v>
      </c>
      <c r="G796" s="21">
        <v>10</v>
      </c>
      <c r="H796" s="16">
        <v>26</v>
      </c>
      <c r="I796" s="16"/>
      <c r="J796" s="17">
        <v>260</v>
      </c>
      <c r="K796" s="22"/>
      <c r="L796" s="23"/>
      <c r="M796" s="23">
        <v>0</v>
      </c>
      <c r="N796" s="19">
        <v>20</v>
      </c>
      <c r="O796" s="19">
        <v>-50</v>
      </c>
      <c r="P796" s="48">
        <v>50</v>
      </c>
      <c r="Q796" s="17">
        <v>0</v>
      </c>
      <c r="R796" s="24">
        <v>260</v>
      </c>
      <c r="S796" s="18" t="s">
        <v>28</v>
      </c>
      <c r="T796" s="25">
        <v>13</v>
      </c>
    </row>
    <row r="797" spans="1:20" s="26" customFormat="1" x14ac:dyDescent="0.25">
      <c r="A797" s="16">
        <v>219451</v>
      </c>
      <c r="B797" s="30" t="s">
        <v>374</v>
      </c>
      <c r="C797" s="20" t="s">
        <v>647</v>
      </c>
      <c r="D797" s="20" t="s">
        <v>722</v>
      </c>
      <c r="E797" s="20" t="s">
        <v>3108</v>
      </c>
      <c r="F797" s="20" t="s">
        <v>3109</v>
      </c>
      <c r="G797" s="21">
        <v>13.4</v>
      </c>
      <c r="H797" s="16">
        <v>26</v>
      </c>
      <c r="I797" s="16"/>
      <c r="J797" s="17">
        <v>348.40000000000003</v>
      </c>
      <c r="K797" s="22"/>
      <c r="L797" s="23"/>
      <c r="M797" s="23">
        <v>0</v>
      </c>
      <c r="N797" s="19">
        <v>26.8</v>
      </c>
      <c r="O797" s="19">
        <v>-67</v>
      </c>
      <c r="P797" s="48">
        <v>67</v>
      </c>
      <c r="Q797" s="17">
        <v>0</v>
      </c>
      <c r="R797" s="24">
        <v>348.40000000000003</v>
      </c>
      <c r="S797" s="18" t="s">
        <v>28</v>
      </c>
      <c r="T797" s="25">
        <v>15</v>
      </c>
    </row>
    <row r="798" spans="1:20" s="26" customFormat="1" x14ac:dyDescent="0.25">
      <c r="A798" s="16">
        <v>222460</v>
      </c>
      <c r="B798" s="30" t="s">
        <v>393</v>
      </c>
      <c r="C798" s="20" t="s">
        <v>647</v>
      </c>
      <c r="D798" s="20" t="s">
        <v>720</v>
      </c>
      <c r="E798" s="20" t="s">
        <v>3110</v>
      </c>
      <c r="F798" s="20" t="s">
        <v>3111</v>
      </c>
      <c r="G798" s="21">
        <v>18.8</v>
      </c>
      <c r="H798" s="16">
        <v>26</v>
      </c>
      <c r="I798" s="16"/>
      <c r="J798" s="17">
        <v>488.8</v>
      </c>
      <c r="K798" s="22"/>
      <c r="L798" s="23"/>
      <c r="M798" s="23">
        <v>0</v>
      </c>
      <c r="N798" s="19">
        <v>37.6</v>
      </c>
      <c r="O798" s="19">
        <v>-94</v>
      </c>
      <c r="P798" s="48">
        <v>94</v>
      </c>
      <c r="Q798" s="17">
        <v>0</v>
      </c>
      <c r="R798" s="24">
        <v>488.8</v>
      </c>
      <c r="S798" s="18" t="s">
        <v>28</v>
      </c>
      <c r="T798" s="25">
        <v>15</v>
      </c>
    </row>
    <row r="799" spans="1:20" s="26" customFormat="1" x14ac:dyDescent="0.25">
      <c r="A799" s="16">
        <v>229442</v>
      </c>
      <c r="B799" s="30" t="s">
        <v>1479</v>
      </c>
      <c r="C799" s="20" t="s">
        <v>650</v>
      </c>
      <c r="D799" s="20" t="s">
        <v>726</v>
      </c>
      <c r="E799" s="20" t="s">
        <v>3112</v>
      </c>
      <c r="F799" s="20" t="s">
        <v>3113</v>
      </c>
      <c r="G799" s="21">
        <v>18.8</v>
      </c>
      <c r="H799" s="16">
        <v>26</v>
      </c>
      <c r="I799" s="16"/>
      <c r="J799" s="17">
        <v>488.8</v>
      </c>
      <c r="K799" s="22"/>
      <c r="L799" s="23"/>
      <c r="M799" s="23">
        <v>0</v>
      </c>
      <c r="N799" s="19">
        <v>37.6</v>
      </c>
      <c r="O799" s="19">
        <v>-94</v>
      </c>
      <c r="P799" s="48">
        <v>94</v>
      </c>
      <c r="Q799" s="17">
        <v>0</v>
      </c>
      <c r="R799" s="24">
        <v>488.8</v>
      </c>
      <c r="S799" s="18" t="s">
        <v>28</v>
      </c>
      <c r="T799" s="25">
        <v>15</v>
      </c>
    </row>
    <row r="800" spans="1:20" s="26" customFormat="1" x14ac:dyDescent="0.25">
      <c r="A800" s="16">
        <v>235010</v>
      </c>
      <c r="B800" s="30" t="s">
        <v>1480</v>
      </c>
      <c r="C800" s="20" t="s">
        <v>650</v>
      </c>
      <c r="D800" s="20" t="s">
        <v>738</v>
      </c>
      <c r="E800" s="20" t="s">
        <v>3114</v>
      </c>
      <c r="F800" s="20" t="s">
        <v>3115</v>
      </c>
      <c r="G800" s="21">
        <v>18.8</v>
      </c>
      <c r="H800" s="16">
        <v>26</v>
      </c>
      <c r="I800" s="16"/>
      <c r="J800" s="17">
        <v>488.8</v>
      </c>
      <c r="K800" s="22"/>
      <c r="L800" s="23">
        <v>169.2</v>
      </c>
      <c r="M800" s="23">
        <v>169.2</v>
      </c>
      <c r="N800" s="19">
        <v>37.6</v>
      </c>
      <c r="O800" s="19">
        <v>75.199999999999989</v>
      </c>
      <c r="P800" s="48">
        <v>94</v>
      </c>
      <c r="Q800" s="17">
        <v>75.199999999999989</v>
      </c>
      <c r="R800" s="24">
        <v>413.6</v>
      </c>
      <c r="S800" s="18" t="s">
        <v>11</v>
      </c>
      <c r="T800" s="25">
        <v>15</v>
      </c>
    </row>
    <row r="801" spans="1:20" s="26" customFormat="1" x14ac:dyDescent="0.25">
      <c r="A801" s="16">
        <v>221825</v>
      </c>
      <c r="B801" s="30" t="s">
        <v>391</v>
      </c>
      <c r="C801" s="20" t="s">
        <v>654</v>
      </c>
      <c r="D801" s="20" t="s">
        <v>715</v>
      </c>
      <c r="E801" s="20" t="s">
        <v>3116</v>
      </c>
      <c r="F801" s="20" t="s">
        <v>3117</v>
      </c>
      <c r="G801" s="21">
        <v>18.8</v>
      </c>
      <c r="H801" s="16">
        <v>5</v>
      </c>
      <c r="I801" s="16">
        <v>2</v>
      </c>
      <c r="J801" s="17">
        <v>56.400000000000006</v>
      </c>
      <c r="K801" s="22"/>
      <c r="L801" s="23"/>
      <c r="M801" s="23">
        <v>0</v>
      </c>
      <c r="N801" s="19">
        <v>37.6</v>
      </c>
      <c r="O801" s="19">
        <v>-94</v>
      </c>
      <c r="P801" s="48">
        <v>94</v>
      </c>
      <c r="Q801" s="17">
        <v>0</v>
      </c>
      <c r="R801" s="24">
        <v>56.400000000000006</v>
      </c>
      <c r="S801" s="18" t="s">
        <v>28</v>
      </c>
      <c r="T801" s="25">
        <v>15</v>
      </c>
    </row>
    <row r="802" spans="1:20" s="26" customFormat="1" x14ac:dyDescent="0.25">
      <c r="A802" s="16">
        <v>221070</v>
      </c>
      <c r="B802" s="30" t="s">
        <v>1206</v>
      </c>
      <c r="C802" s="20" t="s">
        <v>641</v>
      </c>
      <c r="D802" s="20" t="s">
        <v>704</v>
      </c>
      <c r="E802" s="20" t="s">
        <v>3118</v>
      </c>
      <c r="F802" s="20" t="s">
        <v>3119</v>
      </c>
      <c r="G802" s="21">
        <v>18.8</v>
      </c>
      <c r="H802" s="16">
        <v>26</v>
      </c>
      <c r="I802" s="16"/>
      <c r="J802" s="17">
        <v>488.8</v>
      </c>
      <c r="K802" s="22"/>
      <c r="L802" s="23">
        <v>120.15</v>
      </c>
      <c r="M802" s="23">
        <v>120.15</v>
      </c>
      <c r="N802" s="19">
        <v>37.6</v>
      </c>
      <c r="O802" s="19">
        <v>26.150000000000006</v>
      </c>
      <c r="P802" s="48">
        <v>94</v>
      </c>
      <c r="Q802" s="17">
        <v>0</v>
      </c>
      <c r="R802" s="24">
        <v>488.8</v>
      </c>
      <c r="S802" s="18" t="s">
        <v>28</v>
      </c>
      <c r="T802" s="25">
        <v>15</v>
      </c>
    </row>
    <row r="803" spans="1:20" s="26" customFormat="1" x14ac:dyDescent="0.25">
      <c r="A803" s="16">
        <v>234778</v>
      </c>
      <c r="B803" s="30" t="s">
        <v>1372</v>
      </c>
      <c r="C803" s="20" t="s">
        <v>641</v>
      </c>
      <c r="D803" s="20" t="s">
        <v>704</v>
      </c>
      <c r="E803" s="20" t="s">
        <v>3120</v>
      </c>
      <c r="F803" s="20" t="s">
        <v>3121</v>
      </c>
      <c r="G803" s="21">
        <v>18.8</v>
      </c>
      <c r="H803" s="16">
        <v>26</v>
      </c>
      <c r="I803" s="16"/>
      <c r="J803" s="17">
        <v>488.8</v>
      </c>
      <c r="K803" s="22"/>
      <c r="L803" s="23"/>
      <c r="M803" s="23">
        <v>0</v>
      </c>
      <c r="N803" s="19">
        <v>37.6</v>
      </c>
      <c r="O803" s="19">
        <v>-94</v>
      </c>
      <c r="P803" s="48">
        <v>94</v>
      </c>
      <c r="Q803" s="17">
        <v>0</v>
      </c>
      <c r="R803" s="24">
        <v>488.8</v>
      </c>
      <c r="S803" s="18" t="s">
        <v>28</v>
      </c>
      <c r="T803" s="25">
        <v>15</v>
      </c>
    </row>
    <row r="804" spans="1:20" s="26" customFormat="1" x14ac:dyDescent="0.25">
      <c r="A804" s="16">
        <v>210028</v>
      </c>
      <c r="B804" s="30" t="s">
        <v>358</v>
      </c>
      <c r="C804" s="20" t="s">
        <v>648</v>
      </c>
      <c r="D804" s="20" t="s">
        <v>737</v>
      </c>
      <c r="E804" s="20" t="s">
        <v>3122</v>
      </c>
      <c r="F804" s="20" t="s">
        <v>3123</v>
      </c>
      <c r="G804" s="21">
        <v>18.8</v>
      </c>
      <c r="H804" s="16">
        <v>26</v>
      </c>
      <c r="I804" s="16"/>
      <c r="J804" s="17">
        <v>488.8</v>
      </c>
      <c r="K804" s="22"/>
      <c r="L804" s="23"/>
      <c r="M804" s="23">
        <v>0</v>
      </c>
      <c r="N804" s="19">
        <v>37.6</v>
      </c>
      <c r="O804" s="19">
        <v>-94</v>
      </c>
      <c r="P804" s="48">
        <v>94</v>
      </c>
      <c r="Q804" s="17">
        <v>0</v>
      </c>
      <c r="R804" s="24">
        <v>488.8</v>
      </c>
      <c r="S804" s="18" t="s">
        <v>28</v>
      </c>
      <c r="T804" s="25">
        <v>16</v>
      </c>
    </row>
    <row r="805" spans="1:20" s="26" customFormat="1" x14ac:dyDescent="0.25">
      <c r="A805" s="16">
        <v>231904</v>
      </c>
      <c r="B805" s="30" t="s">
        <v>836</v>
      </c>
      <c r="C805" s="20" t="s">
        <v>636</v>
      </c>
      <c r="D805" s="20" t="s">
        <v>729</v>
      </c>
      <c r="E805" s="20" t="s">
        <v>3124</v>
      </c>
      <c r="F805" s="20" t="s">
        <v>3125</v>
      </c>
      <c r="G805" s="21">
        <v>9.4</v>
      </c>
      <c r="H805" s="16">
        <v>22</v>
      </c>
      <c r="I805" s="16">
        <v>4</v>
      </c>
      <c r="J805" s="17">
        <v>169.20000000000002</v>
      </c>
      <c r="K805" s="22"/>
      <c r="L805" s="23"/>
      <c r="M805" s="23">
        <v>0</v>
      </c>
      <c r="N805" s="19">
        <v>18.8</v>
      </c>
      <c r="O805" s="19">
        <v>-47</v>
      </c>
      <c r="P805" s="48">
        <v>47</v>
      </c>
      <c r="Q805" s="17">
        <v>0</v>
      </c>
      <c r="R805" s="24">
        <v>169.20000000000002</v>
      </c>
      <c r="S805" s="18" t="s">
        <v>28</v>
      </c>
      <c r="T805" s="25">
        <v>16</v>
      </c>
    </row>
    <row r="806" spans="1:20" s="26" customFormat="1" x14ac:dyDescent="0.25">
      <c r="A806" s="16">
        <v>231905</v>
      </c>
      <c r="B806" s="30" t="s">
        <v>837</v>
      </c>
      <c r="C806" s="20" t="s">
        <v>636</v>
      </c>
      <c r="D806" s="20" t="s">
        <v>729</v>
      </c>
      <c r="E806" s="20" t="s">
        <v>3126</v>
      </c>
      <c r="F806" s="20" t="s">
        <v>3127</v>
      </c>
      <c r="G806" s="21">
        <v>9.4</v>
      </c>
      <c r="H806" s="16">
        <v>22</v>
      </c>
      <c r="I806" s="16">
        <v>3</v>
      </c>
      <c r="J806" s="17">
        <v>178.6</v>
      </c>
      <c r="K806" s="22"/>
      <c r="L806" s="23"/>
      <c r="M806" s="23">
        <v>0</v>
      </c>
      <c r="N806" s="19">
        <v>18.8</v>
      </c>
      <c r="O806" s="19">
        <v>-47</v>
      </c>
      <c r="P806" s="48">
        <v>47</v>
      </c>
      <c r="Q806" s="17">
        <v>0</v>
      </c>
      <c r="R806" s="24">
        <v>178.6</v>
      </c>
      <c r="S806" s="18" t="s">
        <v>28</v>
      </c>
      <c r="T806" s="25">
        <v>16</v>
      </c>
    </row>
    <row r="807" spans="1:20" s="26" customFormat="1" x14ac:dyDescent="0.25">
      <c r="A807" s="16">
        <v>231907</v>
      </c>
      <c r="B807" s="30" t="s">
        <v>838</v>
      </c>
      <c r="C807" s="20" t="s">
        <v>636</v>
      </c>
      <c r="D807" s="20" t="s">
        <v>729</v>
      </c>
      <c r="E807" s="20" t="s">
        <v>3128</v>
      </c>
      <c r="F807" s="20" t="s">
        <v>3129</v>
      </c>
      <c r="G807" s="21">
        <v>9.4</v>
      </c>
      <c r="H807" s="16">
        <v>22</v>
      </c>
      <c r="I807" s="16"/>
      <c r="J807" s="17">
        <v>206.8</v>
      </c>
      <c r="K807" s="22"/>
      <c r="L807" s="23"/>
      <c r="M807" s="23">
        <v>0</v>
      </c>
      <c r="N807" s="19">
        <v>18.8</v>
      </c>
      <c r="O807" s="19">
        <v>-47</v>
      </c>
      <c r="P807" s="48">
        <v>47</v>
      </c>
      <c r="Q807" s="17">
        <v>0</v>
      </c>
      <c r="R807" s="24">
        <v>206.8</v>
      </c>
      <c r="S807" s="18" t="s">
        <v>28</v>
      </c>
      <c r="T807" s="25">
        <v>16</v>
      </c>
    </row>
    <row r="808" spans="1:20" s="26" customFormat="1" x14ac:dyDescent="0.25">
      <c r="A808" s="16">
        <v>232305</v>
      </c>
      <c r="B808" s="30" t="s">
        <v>914</v>
      </c>
      <c r="C808" s="20" t="s">
        <v>636</v>
      </c>
      <c r="D808" s="20" t="s">
        <v>730</v>
      </c>
      <c r="E808" s="20" t="s">
        <v>3130</v>
      </c>
      <c r="F808" s="20" t="s">
        <v>3131</v>
      </c>
      <c r="G808" s="21">
        <v>9.4</v>
      </c>
      <c r="H808" s="16">
        <v>22</v>
      </c>
      <c r="I808" s="16">
        <v>1</v>
      </c>
      <c r="J808" s="17">
        <v>197.4</v>
      </c>
      <c r="K808" s="22"/>
      <c r="L808" s="23"/>
      <c r="M808" s="23">
        <v>0</v>
      </c>
      <c r="N808" s="19">
        <v>18.8</v>
      </c>
      <c r="O808" s="19">
        <v>-47</v>
      </c>
      <c r="P808" s="48">
        <v>47</v>
      </c>
      <c r="Q808" s="17">
        <v>0</v>
      </c>
      <c r="R808" s="24">
        <v>197.4</v>
      </c>
      <c r="S808" s="18" t="s">
        <v>28</v>
      </c>
      <c r="T808" s="25">
        <v>16</v>
      </c>
    </row>
    <row r="809" spans="1:20" s="26" customFormat="1" x14ac:dyDescent="0.25">
      <c r="A809" s="16">
        <v>232306</v>
      </c>
      <c r="B809" s="30" t="s">
        <v>915</v>
      </c>
      <c r="C809" s="20" t="s">
        <v>636</v>
      </c>
      <c r="D809" s="20" t="s">
        <v>730</v>
      </c>
      <c r="E809" s="20" t="s">
        <v>3132</v>
      </c>
      <c r="F809" s="20" t="s">
        <v>3133</v>
      </c>
      <c r="G809" s="21">
        <v>9.4</v>
      </c>
      <c r="H809" s="16">
        <v>22</v>
      </c>
      <c r="I809" s="16">
        <v>8</v>
      </c>
      <c r="J809" s="17">
        <v>131.6</v>
      </c>
      <c r="K809" s="22"/>
      <c r="L809" s="23"/>
      <c r="M809" s="23">
        <v>0</v>
      </c>
      <c r="N809" s="19">
        <v>18.8</v>
      </c>
      <c r="O809" s="19">
        <v>-47</v>
      </c>
      <c r="P809" s="48">
        <v>47</v>
      </c>
      <c r="Q809" s="17">
        <v>0</v>
      </c>
      <c r="R809" s="24">
        <v>131.6</v>
      </c>
      <c r="S809" s="18" t="s">
        <v>28</v>
      </c>
      <c r="T809" s="25">
        <v>16</v>
      </c>
    </row>
    <row r="810" spans="1:20" s="26" customFormat="1" x14ac:dyDescent="0.25">
      <c r="A810" s="16">
        <v>232307</v>
      </c>
      <c r="B810" s="30" t="s">
        <v>916</v>
      </c>
      <c r="C810" s="20" t="s">
        <v>636</v>
      </c>
      <c r="D810" s="20" t="s">
        <v>730</v>
      </c>
      <c r="E810" s="20" t="s">
        <v>3134</v>
      </c>
      <c r="F810" s="20" t="s">
        <v>3135</v>
      </c>
      <c r="G810" s="21">
        <v>9.4</v>
      </c>
      <c r="H810" s="16">
        <v>22</v>
      </c>
      <c r="I810" s="16"/>
      <c r="J810" s="17">
        <v>206.8</v>
      </c>
      <c r="K810" s="22"/>
      <c r="L810" s="23"/>
      <c r="M810" s="23">
        <v>0</v>
      </c>
      <c r="N810" s="19">
        <v>18.8</v>
      </c>
      <c r="O810" s="19">
        <v>-47</v>
      </c>
      <c r="P810" s="48">
        <v>47</v>
      </c>
      <c r="Q810" s="17">
        <v>0</v>
      </c>
      <c r="R810" s="24">
        <v>206.8</v>
      </c>
      <c r="S810" s="18" t="s">
        <v>28</v>
      </c>
      <c r="T810" s="25">
        <v>16</v>
      </c>
    </row>
    <row r="811" spans="1:20" s="26" customFormat="1" x14ac:dyDescent="0.25">
      <c r="A811" s="16">
        <v>234792</v>
      </c>
      <c r="B811" s="30" t="s">
        <v>1373</v>
      </c>
      <c r="C811" s="20" t="s">
        <v>636</v>
      </c>
      <c r="D811" s="20" t="s">
        <v>729</v>
      </c>
      <c r="E811" s="20" t="s">
        <v>3136</v>
      </c>
      <c r="F811" s="20" t="s">
        <v>3137</v>
      </c>
      <c r="G811" s="21">
        <v>18.8</v>
      </c>
      <c r="H811" s="16">
        <v>22</v>
      </c>
      <c r="I811" s="16">
        <v>9</v>
      </c>
      <c r="J811" s="17">
        <v>244.4</v>
      </c>
      <c r="K811" s="22"/>
      <c r="L811" s="23"/>
      <c r="M811" s="23">
        <v>0</v>
      </c>
      <c r="N811" s="19">
        <v>37.6</v>
      </c>
      <c r="O811" s="19">
        <v>-94</v>
      </c>
      <c r="P811" s="48">
        <v>94</v>
      </c>
      <c r="Q811" s="17">
        <v>0</v>
      </c>
      <c r="R811" s="24">
        <v>244.4</v>
      </c>
      <c r="S811" s="18" t="s">
        <v>28</v>
      </c>
      <c r="T811" s="25">
        <v>16</v>
      </c>
    </row>
    <row r="812" spans="1:20" s="26" customFormat="1" x14ac:dyDescent="0.25">
      <c r="A812" s="16">
        <v>231482</v>
      </c>
      <c r="B812" s="30" t="s">
        <v>806</v>
      </c>
      <c r="C812" s="20" t="s">
        <v>640</v>
      </c>
      <c r="D812" s="20" t="s">
        <v>702</v>
      </c>
      <c r="E812" s="20" t="s">
        <v>3138</v>
      </c>
      <c r="F812" s="20" t="s">
        <v>3139</v>
      </c>
      <c r="G812" s="21">
        <v>18.8</v>
      </c>
      <c r="H812" s="16">
        <v>26</v>
      </c>
      <c r="I812" s="16"/>
      <c r="J812" s="17">
        <v>488.8</v>
      </c>
      <c r="K812" s="22"/>
      <c r="L812" s="23"/>
      <c r="M812" s="23">
        <v>0</v>
      </c>
      <c r="N812" s="19">
        <v>37.6</v>
      </c>
      <c r="O812" s="19">
        <v>-94</v>
      </c>
      <c r="P812" s="48">
        <v>94</v>
      </c>
      <c r="Q812" s="17">
        <v>0</v>
      </c>
      <c r="R812" s="24">
        <v>488.8</v>
      </c>
      <c r="S812" s="18" t="s">
        <v>28</v>
      </c>
      <c r="T812" s="25">
        <v>16</v>
      </c>
    </row>
    <row r="813" spans="1:20" s="26" customFormat="1" x14ac:dyDescent="0.25">
      <c r="A813" s="16">
        <v>222963</v>
      </c>
      <c r="B813" s="30" t="s">
        <v>1293</v>
      </c>
      <c r="C813" s="20" t="s">
        <v>635</v>
      </c>
      <c r="D813" s="20" t="s">
        <v>689</v>
      </c>
      <c r="E813" s="20" t="s">
        <v>3140</v>
      </c>
      <c r="F813" s="20" t="s">
        <v>3141</v>
      </c>
      <c r="G813" s="21">
        <v>18.8</v>
      </c>
      <c r="H813" s="16">
        <v>22</v>
      </c>
      <c r="I813" s="16">
        <v>1</v>
      </c>
      <c r="J813" s="17">
        <v>394.8</v>
      </c>
      <c r="K813" s="22"/>
      <c r="L813" s="23"/>
      <c r="M813" s="23">
        <v>0</v>
      </c>
      <c r="N813" s="19">
        <v>37.6</v>
      </c>
      <c r="O813" s="19">
        <v>-94</v>
      </c>
      <c r="P813" s="48">
        <v>94</v>
      </c>
      <c r="Q813" s="17">
        <v>0</v>
      </c>
      <c r="R813" s="24">
        <v>394.8</v>
      </c>
      <c r="S813" s="18" t="s">
        <v>28</v>
      </c>
      <c r="T813" s="25">
        <v>17</v>
      </c>
    </row>
    <row r="814" spans="1:20" s="26" customFormat="1" x14ac:dyDescent="0.25">
      <c r="A814" s="16">
        <v>234794</v>
      </c>
      <c r="B814" s="30" t="s">
        <v>1374</v>
      </c>
      <c r="C814" s="20" t="s">
        <v>636</v>
      </c>
      <c r="D814" s="20" t="s">
        <v>729</v>
      </c>
      <c r="E814" s="20" t="s">
        <v>3142</v>
      </c>
      <c r="F814" s="20" t="s">
        <v>3143</v>
      </c>
      <c r="G814" s="21">
        <v>9.4</v>
      </c>
      <c r="H814" s="16">
        <v>22</v>
      </c>
      <c r="I814" s="16"/>
      <c r="J814" s="17">
        <v>206.8</v>
      </c>
      <c r="K814" s="22"/>
      <c r="L814" s="23">
        <v>128.6</v>
      </c>
      <c r="M814" s="23">
        <v>128.6</v>
      </c>
      <c r="N814" s="19">
        <v>18.8</v>
      </c>
      <c r="O814" s="19">
        <v>81.599999999999994</v>
      </c>
      <c r="P814" s="48">
        <v>47</v>
      </c>
      <c r="Q814" s="17">
        <v>81.599999999999994</v>
      </c>
      <c r="R814" s="24">
        <v>125.20000000000002</v>
      </c>
      <c r="S814" s="18" t="s">
        <v>11</v>
      </c>
      <c r="T814" s="25">
        <v>17</v>
      </c>
    </row>
    <row r="815" spans="1:20" s="26" customFormat="1" x14ac:dyDescent="0.25">
      <c r="A815" s="16">
        <v>234795</v>
      </c>
      <c r="B815" s="30" t="s">
        <v>1375</v>
      </c>
      <c r="C815" s="20" t="s">
        <v>636</v>
      </c>
      <c r="D815" s="20" t="s">
        <v>729</v>
      </c>
      <c r="E815" s="20" t="s">
        <v>3144</v>
      </c>
      <c r="F815" s="20" t="s">
        <v>3145</v>
      </c>
      <c r="G815" s="21">
        <v>9.4</v>
      </c>
      <c r="H815" s="16">
        <v>22</v>
      </c>
      <c r="I815" s="16"/>
      <c r="J815" s="17">
        <v>206.8</v>
      </c>
      <c r="K815" s="22"/>
      <c r="L815" s="23">
        <v>128.6</v>
      </c>
      <c r="M815" s="23">
        <v>128.6</v>
      </c>
      <c r="N815" s="19">
        <v>18.8</v>
      </c>
      <c r="O815" s="19">
        <v>81.599999999999994</v>
      </c>
      <c r="P815" s="48">
        <v>47</v>
      </c>
      <c r="Q815" s="17">
        <v>81.599999999999994</v>
      </c>
      <c r="R815" s="24">
        <v>125.20000000000002</v>
      </c>
      <c r="S815" s="18" t="s">
        <v>11</v>
      </c>
      <c r="T815" s="25">
        <v>17</v>
      </c>
    </row>
    <row r="816" spans="1:20" s="26" customFormat="1" x14ac:dyDescent="0.25">
      <c r="A816" s="16">
        <v>234796</v>
      </c>
      <c r="B816" s="30" t="s">
        <v>1376</v>
      </c>
      <c r="C816" s="20" t="s">
        <v>636</v>
      </c>
      <c r="D816" s="20" t="s">
        <v>729</v>
      </c>
      <c r="E816" s="20" t="s">
        <v>3146</v>
      </c>
      <c r="F816" s="20" t="s">
        <v>3147</v>
      </c>
      <c r="G816" s="21">
        <v>9.4</v>
      </c>
      <c r="H816" s="16">
        <v>22</v>
      </c>
      <c r="I816" s="16"/>
      <c r="J816" s="17">
        <v>206.8</v>
      </c>
      <c r="K816" s="22"/>
      <c r="L816" s="23">
        <v>357.2</v>
      </c>
      <c r="M816" s="23">
        <v>357.2</v>
      </c>
      <c r="N816" s="19">
        <v>18.8</v>
      </c>
      <c r="O816" s="19">
        <v>310.2</v>
      </c>
      <c r="P816" s="48">
        <v>47</v>
      </c>
      <c r="Q816" s="17">
        <v>310.2</v>
      </c>
      <c r="R816" s="24">
        <v>0</v>
      </c>
      <c r="S816" s="18" t="s">
        <v>12</v>
      </c>
      <c r="T816" s="25">
        <v>17</v>
      </c>
    </row>
    <row r="817" spans="1:20" s="26" customFormat="1" x14ac:dyDescent="0.25">
      <c r="A817" s="16">
        <v>234797</v>
      </c>
      <c r="B817" s="30" t="s">
        <v>1377</v>
      </c>
      <c r="C817" s="20" t="s">
        <v>636</v>
      </c>
      <c r="D817" s="20" t="s">
        <v>729</v>
      </c>
      <c r="E817" s="20" t="s">
        <v>3148</v>
      </c>
      <c r="F817" s="20" t="s">
        <v>3149</v>
      </c>
      <c r="G817" s="21">
        <v>9.4</v>
      </c>
      <c r="H817" s="16">
        <v>22</v>
      </c>
      <c r="I817" s="16"/>
      <c r="J817" s="17">
        <v>206.8</v>
      </c>
      <c r="K817" s="22"/>
      <c r="L817" s="23">
        <v>357.2</v>
      </c>
      <c r="M817" s="23">
        <v>357.2</v>
      </c>
      <c r="N817" s="19">
        <v>18.8</v>
      </c>
      <c r="O817" s="19">
        <v>310.2</v>
      </c>
      <c r="P817" s="48">
        <v>47</v>
      </c>
      <c r="Q817" s="17">
        <v>310.2</v>
      </c>
      <c r="R817" s="24">
        <v>0</v>
      </c>
      <c r="S817" s="18" t="s">
        <v>12</v>
      </c>
      <c r="T817" s="25">
        <v>17</v>
      </c>
    </row>
    <row r="818" spans="1:20" s="26" customFormat="1" x14ac:dyDescent="0.25">
      <c r="A818" s="16">
        <v>234799</v>
      </c>
      <c r="B818" s="30" t="s">
        <v>1378</v>
      </c>
      <c r="C818" s="20" t="s">
        <v>636</v>
      </c>
      <c r="D818" s="20" t="s">
        <v>729</v>
      </c>
      <c r="E818" s="20" t="s">
        <v>3150</v>
      </c>
      <c r="F818" s="20" t="s">
        <v>3151</v>
      </c>
      <c r="G818" s="21">
        <v>9.4</v>
      </c>
      <c r="H818" s="16">
        <v>22</v>
      </c>
      <c r="I818" s="16"/>
      <c r="J818" s="17">
        <v>206.8</v>
      </c>
      <c r="K818" s="22"/>
      <c r="L818" s="23">
        <v>128.6</v>
      </c>
      <c r="M818" s="23">
        <v>128.6</v>
      </c>
      <c r="N818" s="19">
        <v>18.8</v>
      </c>
      <c r="O818" s="19">
        <v>81.599999999999994</v>
      </c>
      <c r="P818" s="48">
        <v>47</v>
      </c>
      <c r="Q818" s="17">
        <v>81.599999999999994</v>
      </c>
      <c r="R818" s="24">
        <v>125.20000000000002</v>
      </c>
      <c r="S818" s="18" t="s">
        <v>11</v>
      </c>
      <c r="T818" s="25">
        <v>17</v>
      </c>
    </row>
    <row r="819" spans="1:20" s="26" customFormat="1" x14ac:dyDescent="0.25">
      <c r="A819" s="16">
        <v>228979</v>
      </c>
      <c r="B819" s="30" t="s">
        <v>394</v>
      </c>
      <c r="C819" s="20" t="s">
        <v>649</v>
      </c>
      <c r="D819" s="20" t="s">
        <v>725</v>
      </c>
      <c r="E819" s="20" t="s">
        <v>3152</v>
      </c>
      <c r="F819" s="20" t="s">
        <v>3153</v>
      </c>
      <c r="G819" s="21">
        <v>15.4</v>
      </c>
      <c r="H819" s="16">
        <v>26</v>
      </c>
      <c r="I819" s="16">
        <v>2</v>
      </c>
      <c r="J819" s="17">
        <v>369.6</v>
      </c>
      <c r="K819" s="22"/>
      <c r="L819" s="23">
        <v>35.299999999999997</v>
      </c>
      <c r="M819" s="23">
        <v>35.299999999999997</v>
      </c>
      <c r="N819" s="19">
        <v>30.8</v>
      </c>
      <c r="O819" s="19">
        <v>-41.7</v>
      </c>
      <c r="P819" s="48">
        <v>77</v>
      </c>
      <c r="Q819" s="17">
        <v>0</v>
      </c>
      <c r="R819" s="24">
        <v>369.6</v>
      </c>
      <c r="S819" s="18" t="s">
        <v>28</v>
      </c>
      <c r="T819" s="25">
        <v>18</v>
      </c>
    </row>
    <row r="820" spans="1:20" s="26" customFormat="1" x14ac:dyDescent="0.25">
      <c r="A820" s="16">
        <v>229109</v>
      </c>
      <c r="B820" s="30" t="s">
        <v>1090</v>
      </c>
      <c r="C820" s="20" t="s">
        <v>649</v>
      </c>
      <c r="D820" s="20" t="s">
        <v>725</v>
      </c>
      <c r="E820" s="20" t="s">
        <v>3154</v>
      </c>
      <c r="F820" s="20" t="s">
        <v>3155</v>
      </c>
      <c r="G820" s="21">
        <v>16.25</v>
      </c>
      <c r="H820" s="16">
        <v>26</v>
      </c>
      <c r="I820" s="16">
        <v>2</v>
      </c>
      <c r="J820" s="17">
        <v>390</v>
      </c>
      <c r="K820" s="22"/>
      <c r="L820" s="23"/>
      <c r="M820" s="23">
        <v>0</v>
      </c>
      <c r="N820" s="19">
        <v>32.5</v>
      </c>
      <c r="O820" s="19">
        <v>-81.25</v>
      </c>
      <c r="P820" s="48">
        <v>81.25</v>
      </c>
      <c r="Q820" s="17">
        <v>0</v>
      </c>
      <c r="R820" s="24">
        <v>390</v>
      </c>
      <c r="S820" s="18" t="s">
        <v>28</v>
      </c>
      <c r="T820" s="25">
        <v>18</v>
      </c>
    </row>
    <row r="821" spans="1:20" s="26" customFormat="1" x14ac:dyDescent="0.25">
      <c r="A821" s="16">
        <v>222074</v>
      </c>
      <c r="B821" s="30" t="s">
        <v>398</v>
      </c>
      <c r="C821" s="20" t="s">
        <v>650</v>
      </c>
      <c r="D821" s="20" t="s">
        <v>738</v>
      </c>
      <c r="E821" s="20" t="s">
        <v>3158</v>
      </c>
      <c r="F821" s="20" t="s">
        <v>3159</v>
      </c>
      <c r="G821" s="21">
        <v>18.8</v>
      </c>
      <c r="H821" s="16">
        <v>26</v>
      </c>
      <c r="I821" s="16"/>
      <c r="J821" s="17">
        <v>488.8</v>
      </c>
      <c r="K821" s="22"/>
      <c r="L821" s="23">
        <v>18.8</v>
      </c>
      <c r="M821" s="23">
        <v>18.8</v>
      </c>
      <c r="N821" s="19">
        <v>37.6</v>
      </c>
      <c r="O821" s="19">
        <v>-75.2</v>
      </c>
      <c r="P821" s="48">
        <v>94</v>
      </c>
      <c r="Q821" s="17">
        <v>0</v>
      </c>
      <c r="R821" s="24">
        <v>488.8</v>
      </c>
      <c r="S821" s="18" t="s">
        <v>28</v>
      </c>
      <c r="T821" s="25">
        <v>18</v>
      </c>
    </row>
    <row r="822" spans="1:20" s="26" customFormat="1" x14ac:dyDescent="0.25">
      <c r="A822" s="16">
        <v>4268</v>
      </c>
      <c r="B822" s="30" t="s">
        <v>33</v>
      </c>
      <c r="C822" s="20" t="s">
        <v>652</v>
      </c>
      <c r="D822" s="20" t="s">
        <v>728</v>
      </c>
      <c r="E822" s="20" t="s">
        <v>3160</v>
      </c>
      <c r="F822" s="20" t="s">
        <v>3161</v>
      </c>
      <c r="G822" s="21">
        <v>40.200000000000003</v>
      </c>
      <c r="H822" s="16">
        <v>26</v>
      </c>
      <c r="I822" s="16"/>
      <c r="J822" s="17">
        <v>1045.2</v>
      </c>
      <c r="K822" s="22"/>
      <c r="L822" s="23"/>
      <c r="M822" s="23">
        <v>0</v>
      </c>
      <c r="N822" s="19">
        <v>80.400000000000006</v>
      </c>
      <c r="O822" s="19">
        <v>-201</v>
      </c>
      <c r="P822" s="48">
        <v>201</v>
      </c>
      <c r="Q822" s="17">
        <v>0</v>
      </c>
      <c r="R822" s="24">
        <v>1045.2</v>
      </c>
      <c r="S822" s="18" t="s">
        <v>28</v>
      </c>
      <c r="T822" s="25">
        <v>18</v>
      </c>
    </row>
    <row r="823" spans="1:20" s="26" customFormat="1" x14ac:dyDescent="0.25">
      <c r="A823" s="16">
        <v>209977</v>
      </c>
      <c r="B823" s="30" t="s">
        <v>395</v>
      </c>
      <c r="C823" s="20" t="s">
        <v>653</v>
      </c>
      <c r="D823" s="20" t="s">
        <v>714</v>
      </c>
      <c r="E823" s="20" t="s">
        <v>3162</v>
      </c>
      <c r="F823" s="20" t="s">
        <v>3163</v>
      </c>
      <c r="G823" s="21">
        <v>18.8</v>
      </c>
      <c r="H823" s="16">
        <v>26</v>
      </c>
      <c r="I823" s="16"/>
      <c r="J823" s="17">
        <v>488.8</v>
      </c>
      <c r="K823" s="22"/>
      <c r="L823" s="23"/>
      <c r="M823" s="23">
        <v>0</v>
      </c>
      <c r="N823" s="19">
        <v>37.6</v>
      </c>
      <c r="O823" s="19">
        <v>-94</v>
      </c>
      <c r="P823" s="48">
        <v>94</v>
      </c>
      <c r="Q823" s="17">
        <v>0</v>
      </c>
      <c r="R823" s="24">
        <v>488.8</v>
      </c>
      <c r="S823" s="18" t="s">
        <v>28</v>
      </c>
      <c r="T823" s="25">
        <v>18</v>
      </c>
    </row>
    <row r="824" spans="1:20" s="26" customFormat="1" x14ac:dyDescent="0.25">
      <c r="A824" s="16">
        <v>225652</v>
      </c>
      <c r="B824" s="30" t="s">
        <v>1083</v>
      </c>
      <c r="C824" s="20" t="s">
        <v>653</v>
      </c>
      <c r="D824" s="20" t="s">
        <v>891</v>
      </c>
      <c r="E824" s="20" t="s">
        <v>3164</v>
      </c>
      <c r="F824" s="20" t="s">
        <v>3165</v>
      </c>
      <c r="G824" s="21">
        <v>18.8</v>
      </c>
      <c r="H824" s="16">
        <v>26</v>
      </c>
      <c r="I824" s="16">
        <v>1</v>
      </c>
      <c r="J824" s="17">
        <v>470</v>
      </c>
      <c r="K824" s="22"/>
      <c r="L824" s="23">
        <v>18.8</v>
      </c>
      <c r="M824" s="23">
        <v>18.8</v>
      </c>
      <c r="N824" s="19">
        <v>37.6</v>
      </c>
      <c r="O824" s="19">
        <v>-75.2</v>
      </c>
      <c r="P824" s="48">
        <v>94</v>
      </c>
      <c r="Q824" s="17">
        <v>0</v>
      </c>
      <c r="R824" s="24">
        <v>470</v>
      </c>
      <c r="S824" s="18" t="s">
        <v>28</v>
      </c>
      <c r="T824" s="25">
        <v>18</v>
      </c>
    </row>
    <row r="825" spans="1:20" s="26" customFormat="1" x14ac:dyDescent="0.25">
      <c r="A825" s="16">
        <v>219011</v>
      </c>
      <c r="B825" s="30" t="s">
        <v>396</v>
      </c>
      <c r="C825" s="20" t="s">
        <v>654</v>
      </c>
      <c r="D825" s="20" t="s">
        <v>715</v>
      </c>
      <c r="E825" s="20" t="s">
        <v>3166</v>
      </c>
      <c r="F825" s="20" t="s">
        <v>3167</v>
      </c>
      <c r="G825" s="21">
        <v>18.8</v>
      </c>
      <c r="H825" s="16">
        <v>26</v>
      </c>
      <c r="I825" s="16"/>
      <c r="J825" s="17">
        <v>488.8</v>
      </c>
      <c r="K825" s="22"/>
      <c r="L825" s="23"/>
      <c r="M825" s="23">
        <v>0</v>
      </c>
      <c r="N825" s="19">
        <v>37.6</v>
      </c>
      <c r="O825" s="19">
        <v>-94</v>
      </c>
      <c r="P825" s="48">
        <v>94</v>
      </c>
      <c r="Q825" s="17">
        <v>0</v>
      </c>
      <c r="R825" s="24">
        <v>488.8</v>
      </c>
      <c r="S825" s="18" t="s">
        <v>28</v>
      </c>
      <c r="T825" s="25">
        <v>18</v>
      </c>
    </row>
    <row r="826" spans="1:20" s="26" customFormat="1" x14ac:dyDescent="0.25">
      <c r="A826" s="16">
        <v>4052</v>
      </c>
      <c r="B826" s="30" t="s">
        <v>397</v>
      </c>
      <c r="C826" s="20" t="s">
        <v>647</v>
      </c>
      <c r="D826" s="20" t="s">
        <v>722</v>
      </c>
      <c r="E826" s="20" t="s">
        <v>3170</v>
      </c>
      <c r="F826" s="20" t="s">
        <v>3171</v>
      </c>
      <c r="G826" s="21">
        <v>18.8</v>
      </c>
      <c r="H826" s="16">
        <v>26</v>
      </c>
      <c r="I826" s="16"/>
      <c r="J826" s="17">
        <v>488.8</v>
      </c>
      <c r="K826" s="22"/>
      <c r="L826" s="23"/>
      <c r="M826" s="23">
        <v>0</v>
      </c>
      <c r="N826" s="19">
        <v>37.6</v>
      </c>
      <c r="O826" s="19">
        <v>-94</v>
      </c>
      <c r="P826" s="48">
        <v>94</v>
      </c>
      <c r="Q826" s="17">
        <v>0</v>
      </c>
      <c r="R826" s="24">
        <v>488.8</v>
      </c>
      <c r="S826" s="18" t="s">
        <v>28</v>
      </c>
      <c r="T826" s="25">
        <v>19</v>
      </c>
    </row>
    <row r="827" spans="1:20" s="26" customFormat="1" x14ac:dyDescent="0.25">
      <c r="A827" s="16">
        <v>224891</v>
      </c>
      <c r="B827" s="30" t="s">
        <v>1207</v>
      </c>
      <c r="C827" s="20" t="s">
        <v>650</v>
      </c>
      <c r="D827" s="20" t="s">
        <v>738</v>
      </c>
      <c r="E827" s="20" t="s">
        <v>3172</v>
      </c>
      <c r="F827" s="20" t="s">
        <v>3173</v>
      </c>
      <c r="G827" s="21">
        <v>18.8</v>
      </c>
      <c r="H827" s="16">
        <v>26</v>
      </c>
      <c r="I827" s="16"/>
      <c r="J827" s="17">
        <v>488.8</v>
      </c>
      <c r="K827" s="22"/>
      <c r="L827" s="23">
        <v>56.4</v>
      </c>
      <c r="M827" s="23">
        <v>56.4</v>
      </c>
      <c r="N827" s="19">
        <v>37.6</v>
      </c>
      <c r="O827" s="19">
        <v>-37.6</v>
      </c>
      <c r="P827" s="48">
        <v>94</v>
      </c>
      <c r="Q827" s="17">
        <v>0</v>
      </c>
      <c r="R827" s="24">
        <v>488.8</v>
      </c>
      <c r="S827" s="18" t="s">
        <v>28</v>
      </c>
      <c r="T827" s="25">
        <v>19</v>
      </c>
    </row>
    <row r="828" spans="1:20" s="26" customFormat="1" x14ac:dyDescent="0.25">
      <c r="A828" s="16">
        <v>212379</v>
      </c>
      <c r="B828" s="30" t="s">
        <v>1294</v>
      </c>
      <c r="C828" s="20" t="s">
        <v>652</v>
      </c>
      <c r="D828" s="20" t="s">
        <v>728</v>
      </c>
      <c r="E828" s="20" t="s">
        <v>3174</v>
      </c>
      <c r="F828" s="20" t="s">
        <v>3175</v>
      </c>
      <c r="G828" s="21">
        <v>15.2</v>
      </c>
      <c r="H828" s="16">
        <v>26</v>
      </c>
      <c r="I828" s="16"/>
      <c r="J828" s="17">
        <v>395.2</v>
      </c>
      <c r="K828" s="22"/>
      <c r="L828" s="23"/>
      <c r="M828" s="23">
        <v>0</v>
      </c>
      <c r="N828" s="19">
        <v>30.4</v>
      </c>
      <c r="O828" s="19">
        <v>-76</v>
      </c>
      <c r="P828" s="48">
        <v>76</v>
      </c>
      <c r="Q828" s="17">
        <v>0</v>
      </c>
      <c r="R828" s="24">
        <v>395.2</v>
      </c>
      <c r="S828" s="18" t="s">
        <v>28</v>
      </c>
      <c r="T828" s="25">
        <v>19</v>
      </c>
    </row>
    <row r="829" spans="1:20" s="26" customFormat="1" x14ac:dyDescent="0.25">
      <c r="A829" s="16">
        <v>218495</v>
      </c>
      <c r="B829" s="30" t="s">
        <v>399</v>
      </c>
      <c r="C829" s="20" t="s">
        <v>635</v>
      </c>
      <c r="D829" s="20" t="s">
        <v>689</v>
      </c>
      <c r="E829" s="20" t="s">
        <v>3176</v>
      </c>
      <c r="F829" s="20" t="s">
        <v>3177</v>
      </c>
      <c r="G829" s="21">
        <v>18.8</v>
      </c>
      <c r="H829" s="16">
        <v>22</v>
      </c>
      <c r="I829" s="16">
        <v>1</v>
      </c>
      <c r="J829" s="17">
        <v>394.8</v>
      </c>
      <c r="K829" s="22"/>
      <c r="L829" s="23"/>
      <c r="M829" s="23">
        <v>0</v>
      </c>
      <c r="N829" s="19">
        <v>37.6</v>
      </c>
      <c r="O829" s="19">
        <v>-94</v>
      </c>
      <c r="P829" s="48">
        <v>94</v>
      </c>
      <c r="Q829" s="17">
        <v>0</v>
      </c>
      <c r="R829" s="24">
        <v>394.8</v>
      </c>
      <c r="S829" s="18" t="s">
        <v>28</v>
      </c>
      <c r="T829" s="25">
        <v>19</v>
      </c>
    </row>
    <row r="830" spans="1:20" s="26" customFormat="1" x14ac:dyDescent="0.25">
      <c r="A830" s="16">
        <v>219335</v>
      </c>
      <c r="B830" s="30" t="s">
        <v>400</v>
      </c>
      <c r="C830" s="20" t="s">
        <v>635</v>
      </c>
      <c r="D830" s="20" t="s">
        <v>689</v>
      </c>
      <c r="E830" s="20" t="s">
        <v>3178</v>
      </c>
      <c r="F830" s="20" t="s">
        <v>3179</v>
      </c>
      <c r="G830" s="21">
        <v>18.8</v>
      </c>
      <c r="H830" s="16">
        <v>22</v>
      </c>
      <c r="I830" s="16"/>
      <c r="J830" s="17">
        <v>413.6</v>
      </c>
      <c r="K830" s="22"/>
      <c r="L830" s="23"/>
      <c r="M830" s="23">
        <v>0</v>
      </c>
      <c r="N830" s="19">
        <v>37.6</v>
      </c>
      <c r="O830" s="19">
        <v>-94</v>
      </c>
      <c r="P830" s="48">
        <v>94</v>
      </c>
      <c r="Q830" s="17">
        <v>0</v>
      </c>
      <c r="R830" s="24">
        <v>413.6</v>
      </c>
      <c r="S830" s="18" t="s">
        <v>28</v>
      </c>
      <c r="T830" s="25">
        <v>19</v>
      </c>
    </row>
    <row r="831" spans="1:20" s="26" customFormat="1" x14ac:dyDescent="0.25">
      <c r="A831" s="16">
        <v>213597</v>
      </c>
      <c r="B831" s="30" t="s">
        <v>1481</v>
      </c>
      <c r="C831" s="20" t="s">
        <v>654</v>
      </c>
      <c r="D831" s="20" t="s">
        <v>731</v>
      </c>
      <c r="E831" s="20" t="s">
        <v>3180</v>
      </c>
      <c r="F831" s="20" t="s">
        <v>3181</v>
      </c>
      <c r="G831" s="21">
        <v>13.4</v>
      </c>
      <c r="H831" s="16">
        <v>26</v>
      </c>
      <c r="I831" s="16"/>
      <c r="J831" s="17">
        <v>348.40000000000003</v>
      </c>
      <c r="K831" s="22"/>
      <c r="L831" s="23"/>
      <c r="M831" s="23">
        <v>0</v>
      </c>
      <c r="N831" s="19">
        <v>26.8</v>
      </c>
      <c r="O831" s="19">
        <v>-67</v>
      </c>
      <c r="P831" s="48">
        <v>67</v>
      </c>
      <c r="Q831" s="17">
        <v>0</v>
      </c>
      <c r="R831" s="24">
        <v>348.40000000000003</v>
      </c>
      <c r="S831" s="18" t="s">
        <v>28</v>
      </c>
      <c r="T831" s="25">
        <v>19</v>
      </c>
    </row>
    <row r="832" spans="1:20" s="26" customFormat="1" x14ac:dyDescent="0.25">
      <c r="A832" s="16">
        <v>218617</v>
      </c>
      <c r="B832" s="30" t="s">
        <v>1379</v>
      </c>
      <c r="C832" s="20" t="s">
        <v>654</v>
      </c>
      <c r="D832" s="20" t="s">
        <v>731</v>
      </c>
      <c r="E832" s="20" t="s">
        <v>3182</v>
      </c>
      <c r="F832" s="20" t="s">
        <v>3183</v>
      </c>
      <c r="G832" s="21">
        <v>10</v>
      </c>
      <c r="H832" s="16">
        <v>26</v>
      </c>
      <c r="I832" s="16"/>
      <c r="J832" s="17">
        <v>260</v>
      </c>
      <c r="K832" s="22"/>
      <c r="L832" s="23">
        <v>18.05</v>
      </c>
      <c r="M832" s="23">
        <v>18.05</v>
      </c>
      <c r="N832" s="19">
        <v>20</v>
      </c>
      <c r="O832" s="19">
        <v>-31.95</v>
      </c>
      <c r="P832" s="48">
        <v>50</v>
      </c>
      <c r="Q832" s="17">
        <v>0</v>
      </c>
      <c r="R832" s="24">
        <v>260</v>
      </c>
      <c r="S832" s="18" t="s">
        <v>28</v>
      </c>
      <c r="T832" s="25">
        <v>19</v>
      </c>
    </row>
    <row r="833" spans="1:20" s="26" customFormat="1" x14ac:dyDescent="0.25">
      <c r="A833" s="16">
        <v>229316</v>
      </c>
      <c r="B833" s="30" t="s">
        <v>402</v>
      </c>
      <c r="C833" s="20" t="s">
        <v>654</v>
      </c>
      <c r="D833" s="20" t="s">
        <v>715</v>
      </c>
      <c r="E833" s="20" t="s">
        <v>3184</v>
      </c>
      <c r="F833" s="20" t="s">
        <v>3185</v>
      </c>
      <c r="G833" s="21">
        <v>18.8</v>
      </c>
      <c r="H833" s="16">
        <v>26</v>
      </c>
      <c r="I833" s="16">
        <v>1</v>
      </c>
      <c r="J833" s="17">
        <v>470</v>
      </c>
      <c r="K833" s="22"/>
      <c r="L833" s="23"/>
      <c r="M833" s="23">
        <v>0</v>
      </c>
      <c r="N833" s="19">
        <v>37.6</v>
      </c>
      <c r="O833" s="19">
        <v>-94</v>
      </c>
      <c r="P833" s="48">
        <v>94</v>
      </c>
      <c r="Q833" s="17">
        <v>0</v>
      </c>
      <c r="R833" s="24">
        <v>470</v>
      </c>
      <c r="S833" s="18" t="s">
        <v>28</v>
      </c>
      <c r="T833" s="25">
        <v>19</v>
      </c>
    </row>
    <row r="834" spans="1:20" s="26" customFormat="1" x14ac:dyDescent="0.25">
      <c r="A834" s="16">
        <v>234654</v>
      </c>
      <c r="B834" s="30" t="s">
        <v>1324</v>
      </c>
      <c r="C834" s="20" t="s">
        <v>640</v>
      </c>
      <c r="D834" s="20" t="s">
        <v>702</v>
      </c>
      <c r="E834" s="20" t="s">
        <v>3186</v>
      </c>
      <c r="F834" s="20" t="s">
        <v>3187</v>
      </c>
      <c r="G834" s="21">
        <v>18.8</v>
      </c>
      <c r="H834" s="16">
        <v>26</v>
      </c>
      <c r="I834" s="16"/>
      <c r="J834" s="17">
        <v>488.8</v>
      </c>
      <c r="K834" s="22"/>
      <c r="L834" s="23"/>
      <c r="M834" s="23">
        <v>0</v>
      </c>
      <c r="N834" s="19">
        <v>37.6</v>
      </c>
      <c r="O834" s="19">
        <v>-94</v>
      </c>
      <c r="P834" s="48">
        <v>94</v>
      </c>
      <c r="Q834" s="17">
        <v>0</v>
      </c>
      <c r="R834" s="24">
        <v>488.8</v>
      </c>
      <c r="S834" s="18" t="s">
        <v>28</v>
      </c>
      <c r="T834" s="25">
        <v>19</v>
      </c>
    </row>
    <row r="835" spans="1:20" s="26" customFormat="1" x14ac:dyDescent="0.25">
      <c r="A835" s="16">
        <v>234772</v>
      </c>
      <c r="B835" s="30" t="s">
        <v>1380</v>
      </c>
      <c r="C835" s="20" t="s">
        <v>640</v>
      </c>
      <c r="D835" s="20" t="s">
        <v>701</v>
      </c>
      <c r="E835" s="20" t="s">
        <v>3188</v>
      </c>
      <c r="F835" s="20" t="s">
        <v>3189</v>
      </c>
      <c r="G835" s="21">
        <v>10</v>
      </c>
      <c r="H835" s="16">
        <v>26</v>
      </c>
      <c r="I835" s="16"/>
      <c r="J835" s="17">
        <v>260</v>
      </c>
      <c r="K835" s="22"/>
      <c r="L835" s="23"/>
      <c r="M835" s="23">
        <v>0</v>
      </c>
      <c r="N835" s="19">
        <v>20</v>
      </c>
      <c r="O835" s="19">
        <v>-50</v>
      </c>
      <c r="P835" s="48">
        <v>50</v>
      </c>
      <c r="Q835" s="17">
        <v>0</v>
      </c>
      <c r="R835" s="24">
        <v>260</v>
      </c>
      <c r="S835" s="18" t="s">
        <v>28</v>
      </c>
      <c r="T835" s="25">
        <v>19</v>
      </c>
    </row>
    <row r="836" spans="1:20" s="26" customFormat="1" x14ac:dyDescent="0.25">
      <c r="A836" s="16">
        <v>215453</v>
      </c>
      <c r="B836" s="30" t="s">
        <v>1208</v>
      </c>
      <c r="C836" s="20" t="s">
        <v>645</v>
      </c>
      <c r="D836" s="20" t="s">
        <v>751</v>
      </c>
      <c r="E836" s="20" t="s">
        <v>3190</v>
      </c>
      <c r="F836" s="20" t="s">
        <v>3191</v>
      </c>
      <c r="G836" s="21">
        <v>18.8</v>
      </c>
      <c r="H836" s="16">
        <v>26</v>
      </c>
      <c r="I836" s="16"/>
      <c r="J836" s="17">
        <v>488.8</v>
      </c>
      <c r="K836" s="22"/>
      <c r="L836" s="23"/>
      <c r="M836" s="23">
        <v>0</v>
      </c>
      <c r="N836" s="19">
        <v>37.6</v>
      </c>
      <c r="O836" s="19">
        <v>-94</v>
      </c>
      <c r="P836" s="48">
        <v>94</v>
      </c>
      <c r="Q836" s="17">
        <v>0</v>
      </c>
      <c r="R836" s="24">
        <v>488.8</v>
      </c>
      <c r="S836" s="18" t="s">
        <v>28</v>
      </c>
      <c r="T836" s="25">
        <v>19</v>
      </c>
    </row>
    <row r="837" spans="1:20" s="26" customFormat="1" x14ac:dyDescent="0.25">
      <c r="A837" s="16">
        <v>212633</v>
      </c>
      <c r="B837" s="30" t="s">
        <v>404</v>
      </c>
      <c r="C837" s="20" t="s">
        <v>647</v>
      </c>
      <c r="D837" s="20" t="s">
        <v>723</v>
      </c>
      <c r="E837" s="20" t="s">
        <v>3192</v>
      </c>
      <c r="F837" s="20" t="s">
        <v>3193</v>
      </c>
      <c r="G837" s="21">
        <v>10</v>
      </c>
      <c r="H837" s="16">
        <v>26</v>
      </c>
      <c r="I837" s="16"/>
      <c r="J837" s="17">
        <v>260</v>
      </c>
      <c r="K837" s="22"/>
      <c r="L837" s="23"/>
      <c r="M837" s="23">
        <v>0</v>
      </c>
      <c r="N837" s="19">
        <v>20</v>
      </c>
      <c r="O837" s="19">
        <v>-50</v>
      </c>
      <c r="P837" s="48">
        <v>50</v>
      </c>
      <c r="Q837" s="17">
        <v>0</v>
      </c>
      <c r="R837" s="24">
        <v>260</v>
      </c>
      <c r="S837" s="18" t="s">
        <v>28</v>
      </c>
      <c r="T837" s="25">
        <v>20</v>
      </c>
    </row>
    <row r="838" spans="1:20" s="26" customFormat="1" x14ac:dyDescent="0.25">
      <c r="A838" s="16">
        <v>222280</v>
      </c>
      <c r="B838" s="30" t="s">
        <v>405</v>
      </c>
      <c r="C838" s="20" t="s">
        <v>647</v>
      </c>
      <c r="D838" s="20" t="s">
        <v>721</v>
      </c>
      <c r="E838" s="20" t="s">
        <v>3194</v>
      </c>
      <c r="F838" s="20" t="s">
        <v>3195</v>
      </c>
      <c r="G838" s="21">
        <v>10</v>
      </c>
      <c r="H838" s="16">
        <v>26</v>
      </c>
      <c r="I838" s="16"/>
      <c r="J838" s="17">
        <v>260</v>
      </c>
      <c r="K838" s="22"/>
      <c r="L838" s="23"/>
      <c r="M838" s="23">
        <v>0</v>
      </c>
      <c r="N838" s="19">
        <v>20</v>
      </c>
      <c r="O838" s="19">
        <v>-50</v>
      </c>
      <c r="P838" s="48">
        <v>50</v>
      </c>
      <c r="Q838" s="17">
        <v>0</v>
      </c>
      <c r="R838" s="24">
        <v>260</v>
      </c>
      <c r="S838" s="18" t="s">
        <v>28</v>
      </c>
      <c r="T838" s="25">
        <v>20</v>
      </c>
    </row>
    <row r="839" spans="1:20" s="26" customFormat="1" x14ac:dyDescent="0.25">
      <c r="A839" s="16">
        <v>224077</v>
      </c>
      <c r="B839" s="30" t="s">
        <v>1209</v>
      </c>
      <c r="C839" s="20" t="s">
        <v>649</v>
      </c>
      <c r="D839" s="20" t="s">
        <v>725</v>
      </c>
      <c r="E839" s="20" t="s">
        <v>3196</v>
      </c>
      <c r="F839" s="20" t="s">
        <v>3197</v>
      </c>
      <c r="G839" s="21">
        <v>18.8</v>
      </c>
      <c r="H839" s="16">
        <v>26</v>
      </c>
      <c r="I839" s="16">
        <v>1</v>
      </c>
      <c r="J839" s="17">
        <v>470</v>
      </c>
      <c r="K839" s="22"/>
      <c r="L839" s="23"/>
      <c r="M839" s="23">
        <v>0</v>
      </c>
      <c r="N839" s="19">
        <v>37.6</v>
      </c>
      <c r="O839" s="19">
        <v>-94</v>
      </c>
      <c r="P839" s="48">
        <v>94</v>
      </c>
      <c r="Q839" s="17">
        <v>0</v>
      </c>
      <c r="R839" s="24">
        <v>470</v>
      </c>
      <c r="S839" s="18" t="s">
        <v>28</v>
      </c>
      <c r="T839" s="25">
        <v>20</v>
      </c>
    </row>
    <row r="840" spans="1:20" s="26" customFormat="1" x14ac:dyDescent="0.25">
      <c r="A840" s="16">
        <v>226208</v>
      </c>
      <c r="B840" s="30" t="s">
        <v>1482</v>
      </c>
      <c r="C840" s="20" t="s">
        <v>649</v>
      </c>
      <c r="D840" s="20" t="s">
        <v>725</v>
      </c>
      <c r="E840" s="20" t="s">
        <v>3198</v>
      </c>
      <c r="F840" s="20" t="s">
        <v>3199</v>
      </c>
      <c r="G840" s="21">
        <v>10</v>
      </c>
      <c r="H840" s="16">
        <v>26</v>
      </c>
      <c r="I840" s="16"/>
      <c r="J840" s="17">
        <v>260</v>
      </c>
      <c r="K840" s="22"/>
      <c r="L840" s="23"/>
      <c r="M840" s="23">
        <v>0</v>
      </c>
      <c r="N840" s="19">
        <v>20</v>
      </c>
      <c r="O840" s="19">
        <v>-50</v>
      </c>
      <c r="P840" s="48">
        <v>50</v>
      </c>
      <c r="Q840" s="17">
        <v>0</v>
      </c>
      <c r="R840" s="24">
        <v>260</v>
      </c>
      <c r="S840" s="18" t="s">
        <v>28</v>
      </c>
      <c r="T840" s="25">
        <v>20</v>
      </c>
    </row>
    <row r="841" spans="1:20" s="26" customFormat="1" x14ac:dyDescent="0.25">
      <c r="A841" s="16">
        <v>226296</v>
      </c>
      <c r="B841" s="30" t="s">
        <v>1483</v>
      </c>
      <c r="C841" s="20" t="s">
        <v>649</v>
      </c>
      <c r="D841" s="20" t="s">
        <v>725</v>
      </c>
      <c r="E841" s="20" t="s">
        <v>3200</v>
      </c>
      <c r="F841" s="20" t="s">
        <v>3201</v>
      </c>
      <c r="G841" s="21">
        <v>10</v>
      </c>
      <c r="H841" s="16">
        <v>26</v>
      </c>
      <c r="I841" s="16"/>
      <c r="J841" s="17">
        <v>260</v>
      </c>
      <c r="K841" s="22"/>
      <c r="L841" s="23"/>
      <c r="M841" s="23">
        <v>0</v>
      </c>
      <c r="N841" s="19">
        <v>20</v>
      </c>
      <c r="O841" s="19">
        <v>-50</v>
      </c>
      <c r="P841" s="48">
        <v>50</v>
      </c>
      <c r="Q841" s="17">
        <v>0</v>
      </c>
      <c r="R841" s="24">
        <v>260</v>
      </c>
      <c r="S841" s="18" t="s">
        <v>28</v>
      </c>
      <c r="T841" s="25">
        <v>20</v>
      </c>
    </row>
    <row r="842" spans="1:20" s="26" customFormat="1" x14ac:dyDescent="0.25">
      <c r="A842" s="16">
        <v>226298</v>
      </c>
      <c r="B842" s="30" t="s">
        <v>407</v>
      </c>
      <c r="C842" s="20" t="s">
        <v>649</v>
      </c>
      <c r="D842" s="20" t="s">
        <v>725</v>
      </c>
      <c r="E842" s="20" t="s">
        <v>3202</v>
      </c>
      <c r="F842" s="20" t="s">
        <v>3203</v>
      </c>
      <c r="G842" s="21">
        <v>10</v>
      </c>
      <c r="H842" s="16">
        <v>26</v>
      </c>
      <c r="I842" s="16"/>
      <c r="J842" s="17">
        <v>260</v>
      </c>
      <c r="K842" s="22"/>
      <c r="L842" s="23"/>
      <c r="M842" s="23">
        <v>0</v>
      </c>
      <c r="N842" s="19">
        <v>20</v>
      </c>
      <c r="O842" s="19">
        <v>-50</v>
      </c>
      <c r="P842" s="48">
        <v>50</v>
      </c>
      <c r="Q842" s="17">
        <v>0</v>
      </c>
      <c r="R842" s="24">
        <v>260</v>
      </c>
      <c r="S842" s="18" t="s">
        <v>28</v>
      </c>
      <c r="T842" s="25">
        <v>20</v>
      </c>
    </row>
    <row r="843" spans="1:20" s="26" customFormat="1" x14ac:dyDescent="0.25">
      <c r="A843" s="16">
        <v>224349</v>
      </c>
      <c r="B843" s="30" t="s">
        <v>409</v>
      </c>
      <c r="C843" s="20" t="s">
        <v>650</v>
      </c>
      <c r="D843" s="20" t="s">
        <v>726</v>
      </c>
      <c r="E843" s="20" t="s">
        <v>3204</v>
      </c>
      <c r="F843" s="20" t="s">
        <v>3205</v>
      </c>
      <c r="G843" s="21">
        <v>10</v>
      </c>
      <c r="H843" s="16">
        <v>26</v>
      </c>
      <c r="I843" s="16"/>
      <c r="J843" s="17">
        <v>260</v>
      </c>
      <c r="K843" s="22"/>
      <c r="L843" s="23">
        <v>154</v>
      </c>
      <c r="M843" s="23">
        <v>154</v>
      </c>
      <c r="N843" s="19">
        <v>20</v>
      </c>
      <c r="O843" s="19">
        <v>104</v>
      </c>
      <c r="P843" s="48">
        <v>50</v>
      </c>
      <c r="Q843" s="17">
        <v>104</v>
      </c>
      <c r="R843" s="24">
        <v>156</v>
      </c>
      <c r="S843" s="18" t="s">
        <v>11</v>
      </c>
      <c r="T843" s="25">
        <v>20</v>
      </c>
    </row>
    <row r="844" spans="1:20" s="26" customFormat="1" x14ac:dyDescent="0.25">
      <c r="A844" s="16">
        <v>208326</v>
      </c>
      <c r="B844" s="30" t="s">
        <v>1091</v>
      </c>
      <c r="C844" s="20" t="s">
        <v>635</v>
      </c>
      <c r="D844" s="20" t="s">
        <v>689</v>
      </c>
      <c r="E844" s="20" t="s">
        <v>3206</v>
      </c>
      <c r="F844" s="20" t="s">
        <v>3207</v>
      </c>
      <c r="G844" s="21">
        <v>18.8</v>
      </c>
      <c r="H844" s="16">
        <v>22</v>
      </c>
      <c r="I844" s="16"/>
      <c r="J844" s="17">
        <v>413.6</v>
      </c>
      <c r="K844" s="22"/>
      <c r="L844" s="23"/>
      <c r="M844" s="23">
        <v>0</v>
      </c>
      <c r="N844" s="19">
        <v>37.6</v>
      </c>
      <c r="O844" s="19">
        <v>-94</v>
      </c>
      <c r="P844" s="48">
        <v>94</v>
      </c>
      <c r="Q844" s="17">
        <v>0</v>
      </c>
      <c r="R844" s="24">
        <v>413.6</v>
      </c>
      <c r="S844" s="18" t="s">
        <v>28</v>
      </c>
      <c r="T844" s="25">
        <v>20</v>
      </c>
    </row>
    <row r="845" spans="1:20" s="26" customFormat="1" x14ac:dyDescent="0.25">
      <c r="A845" s="16">
        <v>220684</v>
      </c>
      <c r="B845" s="30" t="s">
        <v>410</v>
      </c>
      <c r="C845" s="20" t="s">
        <v>653</v>
      </c>
      <c r="D845" s="20" t="s">
        <v>714</v>
      </c>
      <c r="E845" s="20" t="s">
        <v>3208</v>
      </c>
      <c r="F845" s="20" t="s">
        <v>3209</v>
      </c>
      <c r="G845" s="21">
        <v>10</v>
      </c>
      <c r="H845" s="16">
        <v>26</v>
      </c>
      <c r="I845" s="16"/>
      <c r="J845" s="17">
        <v>260</v>
      </c>
      <c r="K845" s="22"/>
      <c r="L845" s="23"/>
      <c r="M845" s="23">
        <v>0</v>
      </c>
      <c r="N845" s="19">
        <v>20</v>
      </c>
      <c r="O845" s="19">
        <v>-50</v>
      </c>
      <c r="P845" s="48">
        <v>50</v>
      </c>
      <c r="Q845" s="17">
        <v>0</v>
      </c>
      <c r="R845" s="24">
        <v>260</v>
      </c>
      <c r="S845" s="18" t="s">
        <v>28</v>
      </c>
      <c r="T845" s="25">
        <v>20</v>
      </c>
    </row>
    <row r="846" spans="1:20" s="26" customFormat="1" x14ac:dyDescent="0.25">
      <c r="A846" s="16">
        <v>209838</v>
      </c>
      <c r="B846" s="30" t="s">
        <v>1484</v>
      </c>
      <c r="C846" s="20" t="s">
        <v>654</v>
      </c>
      <c r="D846" s="20" t="s">
        <v>731</v>
      </c>
      <c r="E846" s="20" t="s">
        <v>3210</v>
      </c>
      <c r="F846" s="20" t="s">
        <v>3211</v>
      </c>
      <c r="G846" s="21">
        <v>18.8</v>
      </c>
      <c r="H846" s="16">
        <v>26</v>
      </c>
      <c r="I846" s="16">
        <v>1</v>
      </c>
      <c r="J846" s="17">
        <v>470</v>
      </c>
      <c r="K846" s="22"/>
      <c r="L846" s="23"/>
      <c r="M846" s="23">
        <v>0</v>
      </c>
      <c r="N846" s="19">
        <v>37.6</v>
      </c>
      <c r="O846" s="19">
        <v>-94</v>
      </c>
      <c r="P846" s="48">
        <v>94</v>
      </c>
      <c r="Q846" s="17">
        <v>0</v>
      </c>
      <c r="R846" s="24">
        <v>470</v>
      </c>
      <c r="S846" s="18" t="s">
        <v>28</v>
      </c>
      <c r="T846" s="25">
        <v>20</v>
      </c>
    </row>
    <row r="847" spans="1:20" s="26" customFormat="1" x14ac:dyDescent="0.25">
      <c r="A847" s="16">
        <v>232154</v>
      </c>
      <c r="B847" s="30" t="s">
        <v>888</v>
      </c>
      <c r="C847" s="20" t="s">
        <v>655</v>
      </c>
      <c r="D847" s="20" t="s">
        <v>713</v>
      </c>
      <c r="E847" s="20" t="s">
        <v>3212</v>
      </c>
      <c r="F847" s="20" t="s">
        <v>3213</v>
      </c>
      <c r="G847" s="21">
        <v>18.8</v>
      </c>
      <c r="H847" s="16">
        <v>26</v>
      </c>
      <c r="I847" s="16"/>
      <c r="J847" s="17">
        <v>488.8</v>
      </c>
      <c r="K847" s="22"/>
      <c r="L847" s="23"/>
      <c r="M847" s="23">
        <v>0</v>
      </c>
      <c r="N847" s="19">
        <v>37.6</v>
      </c>
      <c r="O847" s="19">
        <v>-94</v>
      </c>
      <c r="P847" s="48">
        <v>94</v>
      </c>
      <c r="Q847" s="17">
        <v>0</v>
      </c>
      <c r="R847" s="24">
        <v>488.8</v>
      </c>
      <c r="S847" s="18" t="s">
        <v>28</v>
      </c>
      <c r="T847" s="25">
        <v>20</v>
      </c>
    </row>
    <row r="848" spans="1:20" s="26" customFormat="1" x14ac:dyDescent="0.25">
      <c r="A848" s="16">
        <v>232785</v>
      </c>
      <c r="B848" s="30" t="s">
        <v>944</v>
      </c>
      <c r="C848" s="20" t="s">
        <v>655</v>
      </c>
      <c r="D848" s="20" t="s">
        <v>734</v>
      </c>
      <c r="E848" s="20" t="s">
        <v>3214</v>
      </c>
      <c r="F848" s="20" t="s">
        <v>3215</v>
      </c>
      <c r="G848" s="21">
        <v>10</v>
      </c>
      <c r="H848" s="16">
        <v>26</v>
      </c>
      <c r="I848" s="16"/>
      <c r="J848" s="17">
        <v>260</v>
      </c>
      <c r="K848" s="22"/>
      <c r="L848" s="23"/>
      <c r="M848" s="23">
        <v>0</v>
      </c>
      <c r="N848" s="19">
        <v>20</v>
      </c>
      <c r="O848" s="19">
        <v>-50</v>
      </c>
      <c r="P848" s="48">
        <v>50</v>
      </c>
      <c r="Q848" s="17">
        <v>0</v>
      </c>
      <c r="R848" s="24">
        <v>260</v>
      </c>
      <c r="S848" s="18" t="s">
        <v>28</v>
      </c>
      <c r="T848" s="25">
        <v>20</v>
      </c>
    </row>
    <row r="849" spans="1:20" s="26" customFormat="1" x14ac:dyDescent="0.25">
      <c r="A849" s="16">
        <v>223228</v>
      </c>
      <c r="B849" s="30" t="s">
        <v>1081</v>
      </c>
      <c r="C849" s="20" t="s">
        <v>641</v>
      </c>
      <c r="D849" s="20" t="s">
        <v>705</v>
      </c>
      <c r="E849" s="20" t="s">
        <v>3216</v>
      </c>
      <c r="F849" s="20" t="s">
        <v>3217</v>
      </c>
      <c r="G849" s="21">
        <v>18.8</v>
      </c>
      <c r="H849" s="16">
        <v>26</v>
      </c>
      <c r="I849" s="16"/>
      <c r="J849" s="17">
        <v>488.8</v>
      </c>
      <c r="K849" s="22"/>
      <c r="L849" s="23"/>
      <c r="M849" s="23">
        <v>0</v>
      </c>
      <c r="N849" s="19">
        <v>37.6</v>
      </c>
      <c r="O849" s="19">
        <v>-94</v>
      </c>
      <c r="P849" s="48">
        <v>94</v>
      </c>
      <c r="Q849" s="17">
        <v>0</v>
      </c>
      <c r="R849" s="24">
        <v>488.8</v>
      </c>
      <c r="S849" s="18" t="s">
        <v>28</v>
      </c>
      <c r="T849" s="25">
        <v>20</v>
      </c>
    </row>
    <row r="850" spans="1:20" s="26" customFormat="1" x14ac:dyDescent="0.25">
      <c r="A850" s="16">
        <v>231772</v>
      </c>
      <c r="B850" s="30" t="s">
        <v>840</v>
      </c>
      <c r="C850" s="20" t="s">
        <v>641</v>
      </c>
      <c r="D850" s="20" t="s">
        <v>704</v>
      </c>
      <c r="E850" s="20" t="s">
        <v>3218</v>
      </c>
      <c r="F850" s="20" t="s">
        <v>3219</v>
      </c>
      <c r="G850" s="21">
        <v>10</v>
      </c>
      <c r="H850" s="16">
        <v>26</v>
      </c>
      <c r="I850" s="16">
        <v>1</v>
      </c>
      <c r="J850" s="17">
        <v>250</v>
      </c>
      <c r="K850" s="22"/>
      <c r="L850" s="23"/>
      <c r="M850" s="23">
        <v>0</v>
      </c>
      <c r="N850" s="19">
        <v>20</v>
      </c>
      <c r="O850" s="19">
        <v>-50</v>
      </c>
      <c r="P850" s="48">
        <v>50</v>
      </c>
      <c r="Q850" s="17">
        <v>0</v>
      </c>
      <c r="R850" s="24">
        <v>250</v>
      </c>
      <c r="S850" s="18" t="s">
        <v>28</v>
      </c>
      <c r="T850" s="25">
        <v>20</v>
      </c>
    </row>
    <row r="851" spans="1:20" s="26" customFormat="1" x14ac:dyDescent="0.25">
      <c r="A851" s="16">
        <v>232065</v>
      </c>
      <c r="B851" s="30" t="s">
        <v>841</v>
      </c>
      <c r="C851" s="20" t="s">
        <v>641</v>
      </c>
      <c r="D851" s="20" t="s">
        <v>704</v>
      </c>
      <c r="E851" s="20" t="s">
        <v>3220</v>
      </c>
      <c r="F851" s="20" t="s">
        <v>3221</v>
      </c>
      <c r="G851" s="21">
        <v>18.8</v>
      </c>
      <c r="H851" s="16">
        <v>26</v>
      </c>
      <c r="I851" s="16">
        <v>4</v>
      </c>
      <c r="J851" s="17">
        <v>413.6</v>
      </c>
      <c r="K851" s="22"/>
      <c r="L851" s="23"/>
      <c r="M851" s="23">
        <v>0</v>
      </c>
      <c r="N851" s="19">
        <v>37.6</v>
      </c>
      <c r="O851" s="19">
        <v>-94</v>
      </c>
      <c r="P851" s="48">
        <v>94</v>
      </c>
      <c r="Q851" s="17">
        <v>0</v>
      </c>
      <c r="R851" s="24">
        <v>413.6</v>
      </c>
      <c r="S851" s="18" t="s">
        <v>28</v>
      </c>
      <c r="T851" s="25">
        <v>20</v>
      </c>
    </row>
    <row r="852" spans="1:20" s="26" customFormat="1" x14ac:dyDescent="0.25">
      <c r="A852" s="16">
        <v>230404</v>
      </c>
      <c r="B852" s="30" t="s">
        <v>408</v>
      </c>
      <c r="C852" s="20" t="s">
        <v>649</v>
      </c>
      <c r="D852" s="20" t="s">
        <v>725</v>
      </c>
      <c r="E852" s="20" t="s">
        <v>3156</v>
      </c>
      <c r="F852" s="20" t="s">
        <v>3157</v>
      </c>
      <c r="G852" s="21">
        <v>18.8</v>
      </c>
      <c r="H852" s="16">
        <v>11</v>
      </c>
      <c r="I852" s="16">
        <v>3</v>
      </c>
      <c r="J852" s="17">
        <v>150.4</v>
      </c>
      <c r="K852" s="22"/>
      <c r="L852" s="23"/>
      <c r="M852" s="23">
        <v>0</v>
      </c>
      <c r="N852" s="19">
        <v>37.6</v>
      </c>
      <c r="O852" s="19">
        <v>-94</v>
      </c>
      <c r="P852" s="48">
        <v>94</v>
      </c>
      <c r="Q852" s="17">
        <v>0</v>
      </c>
      <c r="R852" s="24">
        <v>150.4</v>
      </c>
      <c r="S852" s="18" t="s">
        <v>28</v>
      </c>
      <c r="T852" s="25">
        <v>20</v>
      </c>
    </row>
    <row r="853" spans="1:20" s="26" customFormat="1" x14ac:dyDescent="0.25">
      <c r="A853" s="16">
        <v>216301</v>
      </c>
      <c r="B853" s="30" t="s">
        <v>1210</v>
      </c>
      <c r="C853" s="20" t="s">
        <v>641</v>
      </c>
      <c r="D853" s="20" t="s">
        <v>735</v>
      </c>
      <c r="E853" s="20" t="s">
        <v>3168</v>
      </c>
      <c r="F853" s="20" t="s">
        <v>3169</v>
      </c>
      <c r="G853" s="21">
        <v>18.8</v>
      </c>
      <c r="H853" s="16">
        <v>26</v>
      </c>
      <c r="I853" s="16"/>
      <c r="J853" s="17">
        <v>488.8</v>
      </c>
      <c r="K853" s="22"/>
      <c r="L853" s="23"/>
      <c r="M853" s="23">
        <v>0</v>
      </c>
      <c r="N853" s="19">
        <v>37.6</v>
      </c>
      <c r="O853" s="19">
        <v>-94</v>
      </c>
      <c r="P853" s="48">
        <v>94</v>
      </c>
      <c r="Q853" s="17">
        <v>0</v>
      </c>
      <c r="R853" s="24">
        <v>488.8</v>
      </c>
      <c r="S853" s="18" t="s">
        <v>28</v>
      </c>
      <c r="T853" s="25">
        <v>20</v>
      </c>
    </row>
    <row r="854" spans="1:20" s="26" customFormat="1" x14ac:dyDescent="0.25">
      <c r="A854" s="16">
        <v>234983</v>
      </c>
      <c r="B854" s="30" t="s">
        <v>1447</v>
      </c>
      <c r="C854" s="20" t="s">
        <v>645</v>
      </c>
      <c r="D854" s="20" t="s">
        <v>711</v>
      </c>
      <c r="E854" s="20" t="s">
        <v>2548</v>
      </c>
      <c r="F854" s="20" t="s">
        <v>2549</v>
      </c>
      <c r="G854" s="21">
        <v>18.8</v>
      </c>
      <c r="H854" s="16">
        <v>26</v>
      </c>
      <c r="I854" s="16"/>
      <c r="J854" s="17">
        <v>488.8</v>
      </c>
      <c r="K854" s="22"/>
      <c r="L854" s="23"/>
      <c r="M854" s="23">
        <v>0</v>
      </c>
      <c r="N854" s="19">
        <v>37.6</v>
      </c>
      <c r="O854" s="19">
        <v>-94</v>
      </c>
      <c r="P854" s="48">
        <v>94</v>
      </c>
      <c r="Q854" s="17">
        <v>0</v>
      </c>
      <c r="R854" s="24">
        <v>488.8</v>
      </c>
      <c r="S854" s="18" t="s">
        <v>28</v>
      </c>
      <c r="T854" s="25">
        <v>20</v>
      </c>
    </row>
    <row r="855" spans="1:20" s="26" customFormat="1" x14ac:dyDescent="0.25">
      <c r="A855" s="16">
        <v>234842</v>
      </c>
      <c r="B855" s="30" t="s">
        <v>1441</v>
      </c>
      <c r="C855" s="20" t="s">
        <v>651</v>
      </c>
      <c r="D855" s="20" t="s">
        <v>716</v>
      </c>
      <c r="E855" s="20" t="s">
        <v>2426</v>
      </c>
      <c r="F855" s="20" t="s">
        <v>2427</v>
      </c>
      <c r="G855" s="21">
        <v>13.4</v>
      </c>
      <c r="H855" s="16">
        <v>16</v>
      </c>
      <c r="I855" s="16"/>
      <c r="J855" s="17">
        <v>214.4</v>
      </c>
      <c r="K855" s="22"/>
      <c r="L855" s="23"/>
      <c r="M855" s="23">
        <v>0</v>
      </c>
      <c r="N855" s="19">
        <v>26.8</v>
      </c>
      <c r="O855" s="19">
        <v>-67</v>
      </c>
      <c r="P855" s="48">
        <v>67</v>
      </c>
      <c r="Q855" s="17">
        <v>0</v>
      </c>
      <c r="R855" s="24">
        <v>214.4</v>
      </c>
      <c r="S855" s="18" t="s">
        <v>28</v>
      </c>
      <c r="T855" s="25">
        <v>20</v>
      </c>
    </row>
    <row r="856" spans="1:20" s="26" customFormat="1" x14ac:dyDescent="0.25">
      <c r="A856" s="16">
        <v>234982</v>
      </c>
      <c r="B856" s="30" t="s">
        <v>1443</v>
      </c>
      <c r="C856" s="20" t="s">
        <v>651</v>
      </c>
      <c r="D856" s="20" t="s">
        <v>719</v>
      </c>
      <c r="E856" s="20" t="s">
        <v>2428</v>
      </c>
      <c r="F856" s="20" t="s">
        <v>2429</v>
      </c>
      <c r="G856" s="21">
        <v>13.4</v>
      </c>
      <c r="H856" s="16">
        <v>16</v>
      </c>
      <c r="I856" s="16"/>
      <c r="J856" s="17">
        <v>214.4</v>
      </c>
      <c r="K856" s="22"/>
      <c r="L856" s="23"/>
      <c r="M856" s="23">
        <v>0</v>
      </c>
      <c r="N856" s="19">
        <v>26.8</v>
      </c>
      <c r="O856" s="19">
        <v>-67</v>
      </c>
      <c r="P856" s="48">
        <v>67</v>
      </c>
      <c r="Q856" s="17">
        <v>0</v>
      </c>
      <c r="R856" s="24">
        <v>214.4</v>
      </c>
      <c r="S856" s="18" t="s">
        <v>28</v>
      </c>
      <c r="T856" s="25">
        <v>20</v>
      </c>
    </row>
    <row r="857" spans="1:20" s="26" customFormat="1" x14ac:dyDescent="0.25">
      <c r="A857" s="16">
        <v>228647</v>
      </c>
      <c r="B857" s="30" t="s">
        <v>345</v>
      </c>
      <c r="C857" s="20" t="s">
        <v>647</v>
      </c>
      <c r="D857" s="20" t="s">
        <v>720</v>
      </c>
      <c r="E857" s="20" t="s">
        <v>3222</v>
      </c>
      <c r="F857" s="20" t="s">
        <v>3223</v>
      </c>
      <c r="G857" s="21">
        <v>10</v>
      </c>
      <c r="H857" s="16">
        <v>26</v>
      </c>
      <c r="I857" s="16">
        <v>3</v>
      </c>
      <c r="J857" s="17">
        <v>230</v>
      </c>
      <c r="K857" s="22"/>
      <c r="L857" s="23"/>
      <c r="M857" s="23">
        <v>0</v>
      </c>
      <c r="N857" s="19">
        <v>20</v>
      </c>
      <c r="O857" s="19">
        <v>-50</v>
      </c>
      <c r="P857" s="48">
        <v>50</v>
      </c>
      <c r="Q857" s="17">
        <v>0</v>
      </c>
      <c r="R857" s="24">
        <v>230</v>
      </c>
      <c r="S857" s="18" t="s">
        <v>28</v>
      </c>
      <c r="T857" s="25">
        <v>21</v>
      </c>
    </row>
    <row r="858" spans="1:20" s="26" customFormat="1" x14ac:dyDescent="0.25">
      <c r="A858" s="16">
        <v>228704</v>
      </c>
      <c r="B858" s="30" t="s">
        <v>1092</v>
      </c>
      <c r="C858" s="20" t="s">
        <v>647</v>
      </c>
      <c r="D858" s="20" t="s">
        <v>720</v>
      </c>
      <c r="E858" s="20" t="s">
        <v>3224</v>
      </c>
      <c r="F858" s="20" t="s">
        <v>3225</v>
      </c>
      <c r="G858" s="21">
        <v>10</v>
      </c>
      <c r="H858" s="16">
        <v>26</v>
      </c>
      <c r="I858" s="16"/>
      <c r="J858" s="17">
        <v>260</v>
      </c>
      <c r="K858" s="22"/>
      <c r="L858" s="23"/>
      <c r="M858" s="23">
        <v>0</v>
      </c>
      <c r="N858" s="19">
        <v>20</v>
      </c>
      <c r="O858" s="19">
        <v>-50</v>
      </c>
      <c r="P858" s="48">
        <v>50</v>
      </c>
      <c r="Q858" s="17">
        <v>0</v>
      </c>
      <c r="R858" s="24">
        <v>260</v>
      </c>
      <c r="S858" s="18" t="s">
        <v>28</v>
      </c>
      <c r="T858" s="25">
        <v>21</v>
      </c>
    </row>
    <row r="859" spans="1:20" s="26" customFormat="1" x14ac:dyDescent="0.25">
      <c r="A859" s="16">
        <v>219638</v>
      </c>
      <c r="B859" s="30" t="s">
        <v>1485</v>
      </c>
      <c r="C859" s="20" t="s">
        <v>629</v>
      </c>
      <c r="D859" s="20" t="s">
        <v>682</v>
      </c>
      <c r="E859" s="20" t="s">
        <v>3226</v>
      </c>
      <c r="F859" s="20" t="s">
        <v>3227</v>
      </c>
      <c r="G859" s="21">
        <v>18.8</v>
      </c>
      <c r="H859" s="16">
        <v>26</v>
      </c>
      <c r="I859" s="16">
        <v>1</v>
      </c>
      <c r="J859" s="17">
        <v>470</v>
      </c>
      <c r="K859" s="22"/>
      <c r="L859" s="23"/>
      <c r="M859" s="23">
        <v>0</v>
      </c>
      <c r="N859" s="19">
        <v>37.6</v>
      </c>
      <c r="O859" s="19">
        <v>-94</v>
      </c>
      <c r="P859" s="48">
        <v>94</v>
      </c>
      <c r="Q859" s="17">
        <v>0</v>
      </c>
      <c r="R859" s="24">
        <v>470</v>
      </c>
      <c r="S859" s="18" t="s">
        <v>28</v>
      </c>
      <c r="T859" s="25">
        <v>21</v>
      </c>
    </row>
    <row r="860" spans="1:20" s="26" customFormat="1" x14ac:dyDescent="0.25">
      <c r="A860" s="16">
        <v>230669</v>
      </c>
      <c r="B860" s="30" t="s">
        <v>351</v>
      </c>
      <c r="C860" s="20" t="s">
        <v>651</v>
      </c>
      <c r="D860" s="20" t="s">
        <v>717</v>
      </c>
      <c r="E860" s="20" t="s">
        <v>3228</v>
      </c>
      <c r="F860" s="20" t="s">
        <v>3229</v>
      </c>
      <c r="G860" s="21">
        <v>10</v>
      </c>
      <c r="H860" s="16">
        <v>16</v>
      </c>
      <c r="I860" s="16"/>
      <c r="J860" s="17">
        <v>160</v>
      </c>
      <c r="K860" s="22"/>
      <c r="L860" s="23"/>
      <c r="M860" s="23">
        <v>0</v>
      </c>
      <c r="N860" s="19">
        <v>20</v>
      </c>
      <c r="O860" s="19">
        <v>-50</v>
      </c>
      <c r="P860" s="48">
        <v>50</v>
      </c>
      <c r="Q860" s="17">
        <v>0</v>
      </c>
      <c r="R860" s="24">
        <v>160</v>
      </c>
      <c r="S860" s="18" t="s">
        <v>28</v>
      </c>
      <c r="T860" s="25">
        <v>21</v>
      </c>
    </row>
    <row r="861" spans="1:20" s="26" customFormat="1" x14ac:dyDescent="0.25">
      <c r="A861" s="16">
        <v>212411</v>
      </c>
      <c r="B861" s="30" t="s">
        <v>411</v>
      </c>
      <c r="C861" s="20" t="s">
        <v>635</v>
      </c>
      <c r="D861" s="20" t="s">
        <v>698</v>
      </c>
      <c r="E861" s="20" t="s">
        <v>3230</v>
      </c>
      <c r="F861" s="20" t="s">
        <v>3231</v>
      </c>
      <c r="G861" s="21">
        <v>18.8</v>
      </c>
      <c r="H861" s="16">
        <v>26</v>
      </c>
      <c r="I861" s="16"/>
      <c r="J861" s="17">
        <v>488.8</v>
      </c>
      <c r="K861" s="22"/>
      <c r="L861" s="23"/>
      <c r="M861" s="23">
        <v>0</v>
      </c>
      <c r="N861" s="19">
        <v>37.6</v>
      </c>
      <c r="O861" s="19">
        <v>-94</v>
      </c>
      <c r="P861" s="48">
        <v>94</v>
      </c>
      <c r="Q861" s="17">
        <v>0</v>
      </c>
      <c r="R861" s="24">
        <v>488.8</v>
      </c>
      <c r="S861" s="18" t="s">
        <v>28</v>
      </c>
      <c r="T861" s="25">
        <v>21</v>
      </c>
    </row>
    <row r="862" spans="1:20" s="26" customFormat="1" x14ac:dyDescent="0.25">
      <c r="A862" s="16">
        <v>233225</v>
      </c>
      <c r="B862" s="30" t="s">
        <v>996</v>
      </c>
      <c r="C862" s="20" t="s">
        <v>636</v>
      </c>
      <c r="D862" s="20" t="s">
        <v>729</v>
      </c>
      <c r="E862" s="20" t="s">
        <v>3232</v>
      </c>
      <c r="F862" s="20" t="s">
        <v>3233</v>
      </c>
      <c r="G862" s="21">
        <v>10</v>
      </c>
      <c r="H862" s="16">
        <v>20</v>
      </c>
      <c r="I862" s="16"/>
      <c r="J862" s="17">
        <v>200</v>
      </c>
      <c r="K862" s="22"/>
      <c r="L862" s="23"/>
      <c r="M862" s="23">
        <v>0</v>
      </c>
      <c r="N862" s="19">
        <v>20</v>
      </c>
      <c r="O862" s="19">
        <v>-50</v>
      </c>
      <c r="P862" s="48">
        <v>50</v>
      </c>
      <c r="Q862" s="17">
        <v>0</v>
      </c>
      <c r="R862" s="24">
        <v>200</v>
      </c>
      <c r="S862" s="18" t="s">
        <v>28</v>
      </c>
      <c r="T862" s="25">
        <v>21</v>
      </c>
    </row>
    <row r="863" spans="1:20" s="26" customFormat="1" x14ac:dyDescent="0.25">
      <c r="A863" s="16">
        <v>233226</v>
      </c>
      <c r="B863" s="30" t="s">
        <v>997</v>
      </c>
      <c r="C863" s="20" t="s">
        <v>636</v>
      </c>
      <c r="D863" s="20" t="s">
        <v>729</v>
      </c>
      <c r="E863" s="20" t="s">
        <v>3234</v>
      </c>
      <c r="F863" s="20" t="s">
        <v>3235</v>
      </c>
      <c r="G863" s="21">
        <v>10</v>
      </c>
      <c r="H863" s="16">
        <v>20</v>
      </c>
      <c r="I863" s="16">
        <v>1</v>
      </c>
      <c r="J863" s="17">
        <v>190</v>
      </c>
      <c r="K863" s="22"/>
      <c r="L863" s="23"/>
      <c r="M863" s="23">
        <v>0</v>
      </c>
      <c r="N863" s="19">
        <v>20</v>
      </c>
      <c r="O863" s="19">
        <v>-50</v>
      </c>
      <c r="P863" s="48">
        <v>50</v>
      </c>
      <c r="Q863" s="17">
        <v>0</v>
      </c>
      <c r="R863" s="24">
        <v>190</v>
      </c>
      <c r="S863" s="18" t="s">
        <v>28</v>
      </c>
      <c r="T863" s="25">
        <v>21</v>
      </c>
    </row>
    <row r="864" spans="1:20" s="26" customFormat="1" x14ac:dyDescent="0.25">
      <c r="A864" s="16">
        <v>233227</v>
      </c>
      <c r="B864" s="30" t="s">
        <v>998</v>
      </c>
      <c r="C864" s="20" t="s">
        <v>636</v>
      </c>
      <c r="D864" s="20" t="s">
        <v>729</v>
      </c>
      <c r="E864" s="20" t="s">
        <v>3236</v>
      </c>
      <c r="F864" s="20" t="s">
        <v>3237</v>
      </c>
      <c r="G864" s="21">
        <v>5</v>
      </c>
      <c r="H864" s="16">
        <v>22</v>
      </c>
      <c r="I864" s="16"/>
      <c r="J864" s="17">
        <v>110</v>
      </c>
      <c r="K864" s="22"/>
      <c r="L864" s="23"/>
      <c r="M864" s="23">
        <v>0</v>
      </c>
      <c r="N864" s="19">
        <v>10</v>
      </c>
      <c r="O864" s="19">
        <v>-25</v>
      </c>
      <c r="P864" s="48">
        <v>25</v>
      </c>
      <c r="Q864" s="17">
        <v>0</v>
      </c>
      <c r="R864" s="24">
        <v>110</v>
      </c>
      <c r="S864" s="18" t="s">
        <v>28</v>
      </c>
      <c r="T864" s="25">
        <v>21</v>
      </c>
    </row>
    <row r="865" spans="1:20" s="26" customFormat="1" x14ac:dyDescent="0.25">
      <c r="A865" s="16">
        <v>233228</v>
      </c>
      <c r="B865" s="30" t="s">
        <v>999</v>
      </c>
      <c r="C865" s="20" t="s">
        <v>636</v>
      </c>
      <c r="D865" s="20" t="s">
        <v>729</v>
      </c>
      <c r="E865" s="20" t="s">
        <v>3238</v>
      </c>
      <c r="F865" s="20" t="s">
        <v>3239</v>
      </c>
      <c r="G865" s="21">
        <v>10</v>
      </c>
      <c r="H865" s="16">
        <v>20</v>
      </c>
      <c r="I865" s="16">
        <v>1</v>
      </c>
      <c r="J865" s="17">
        <v>190</v>
      </c>
      <c r="K865" s="22"/>
      <c r="L865" s="23"/>
      <c r="M865" s="23">
        <v>0</v>
      </c>
      <c r="N865" s="19">
        <v>20</v>
      </c>
      <c r="O865" s="19">
        <v>-50</v>
      </c>
      <c r="P865" s="48">
        <v>50</v>
      </c>
      <c r="Q865" s="17">
        <v>0</v>
      </c>
      <c r="R865" s="24">
        <v>190</v>
      </c>
      <c r="S865" s="18" t="s">
        <v>28</v>
      </c>
      <c r="T865" s="25">
        <v>21</v>
      </c>
    </row>
    <row r="866" spans="1:20" s="26" customFormat="1" x14ac:dyDescent="0.25">
      <c r="A866" s="16">
        <v>233229</v>
      </c>
      <c r="B866" s="30" t="s">
        <v>1000</v>
      </c>
      <c r="C866" s="20" t="s">
        <v>636</v>
      </c>
      <c r="D866" s="20" t="s">
        <v>729</v>
      </c>
      <c r="E866" s="20" t="s">
        <v>3240</v>
      </c>
      <c r="F866" s="20" t="s">
        <v>3241</v>
      </c>
      <c r="G866" s="21">
        <v>10</v>
      </c>
      <c r="H866" s="16">
        <v>20</v>
      </c>
      <c r="I866" s="16">
        <v>2</v>
      </c>
      <c r="J866" s="17">
        <v>180</v>
      </c>
      <c r="K866" s="22"/>
      <c r="L866" s="23"/>
      <c r="M866" s="23">
        <v>0</v>
      </c>
      <c r="N866" s="19">
        <v>20</v>
      </c>
      <c r="O866" s="19">
        <v>-50</v>
      </c>
      <c r="P866" s="48">
        <v>50</v>
      </c>
      <c r="Q866" s="17">
        <v>0</v>
      </c>
      <c r="R866" s="24">
        <v>180</v>
      </c>
      <c r="S866" s="18" t="s">
        <v>28</v>
      </c>
      <c r="T866" s="25">
        <v>21</v>
      </c>
    </row>
    <row r="867" spans="1:20" s="26" customFormat="1" x14ac:dyDescent="0.25">
      <c r="A867" s="16">
        <v>233230</v>
      </c>
      <c r="B867" s="30" t="s">
        <v>1001</v>
      </c>
      <c r="C867" s="20" t="s">
        <v>636</v>
      </c>
      <c r="D867" s="20" t="s">
        <v>729</v>
      </c>
      <c r="E867" s="20" t="s">
        <v>3242</v>
      </c>
      <c r="F867" s="20" t="s">
        <v>3243</v>
      </c>
      <c r="G867" s="21">
        <v>5</v>
      </c>
      <c r="H867" s="16">
        <v>22</v>
      </c>
      <c r="I867" s="16">
        <v>1</v>
      </c>
      <c r="J867" s="17">
        <v>105</v>
      </c>
      <c r="K867" s="22"/>
      <c r="L867" s="23"/>
      <c r="M867" s="23">
        <v>0</v>
      </c>
      <c r="N867" s="19">
        <v>10</v>
      </c>
      <c r="O867" s="19">
        <v>-25</v>
      </c>
      <c r="P867" s="48">
        <v>25</v>
      </c>
      <c r="Q867" s="17">
        <v>0</v>
      </c>
      <c r="R867" s="24">
        <v>105</v>
      </c>
      <c r="S867" s="18" t="s">
        <v>28</v>
      </c>
      <c r="T867" s="25">
        <v>21</v>
      </c>
    </row>
    <row r="868" spans="1:20" s="26" customFormat="1" x14ac:dyDescent="0.25">
      <c r="A868" s="16">
        <v>233231</v>
      </c>
      <c r="B868" s="30" t="s">
        <v>1002</v>
      </c>
      <c r="C868" s="20" t="s">
        <v>636</v>
      </c>
      <c r="D868" s="20" t="s">
        <v>729</v>
      </c>
      <c r="E868" s="20" t="s">
        <v>3244</v>
      </c>
      <c r="F868" s="20" t="s">
        <v>3245</v>
      </c>
      <c r="G868" s="21">
        <v>5</v>
      </c>
      <c r="H868" s="16">
        <v>20</v>
      </c>
      <c r="I868" s="16"/>
      <c r="J868" s="17">
        <v>100</v>
      </c>
      <c r="K868" s="22"/>
      <c r="L868" s="23"/>
      <c r="M868" s="23">
        <v>0</v>
      </c>
      <c r="N868" s="19">
        <v>10</v>
      </c>
      <c r="O868" s="19">
        <v>-25</v>
      </c>
      <c r="P868" s="48">
        <v>25</v>
      </c>
      <c r="Q868" s="17">
        <v>0</v>
      </c>
      <c r="R868" s="24">
        <v>100</v>
      </c>
      <c r="S868" s="18" t="s">
        <v>28</v>
      </c>
      <c r="T868" s="25">
        <v>21</v>
      </c>
    </row>
    <row r="869" spans="1:20" s="26" customFormat="1" x14ac:dyDescent="0.25">
      <c r="A869" s="16">
        <v>233232</v>
      </c>
      <c r="B869" s="30" t="s">
        <v>1003</v>
      </c>
      <c r="C869" s="20" t="s">
        <v>636</v>
      </c>
      <c r="D869" s="20" t="s">
        <v>729</v>
      </c>
      <c r="E869" s="20" t="s">
        <v>3246</v>
      </c>
      <c r="F869" s="20" t="s">
        <v>3247</v>
      </c>
      <c r="G869" s="21">
        <v>5</v>
      </c>
      <c r="H869" s="16">
        <v>22</v>
      </c>
      <c r="I869" s="16">
        <v>1</v>
      </c>
      <c r="J869" s="17">
        <v>105</v>
      </c>
      <c r="K869" s="22"/>
      <c r="L869" s="23"/>
      <c r="M869" s="23">
        <v>0</v>
      </c>
      <c r="N869" s="19">
        <v>10</v>
      </c>
      <c r="O869" s="19">
        <v>-25</v>
      </c>
      <c r="P869" s="48">
        <v>25</v>
      </c>
      <c r="Q869" s="17">
        <v>0</v>
      </c>
      <c r="R869" s="24">
        <v>105</v>
      </c>
      <c r="S869" s="18" t="s">
        <v>28</v>
      </c>
      <c r="T869" s="25">
        <v>21</v>
      </c>
    </row>
    <row r="870" spans="1:20" s="26" customFormat="1" x14ac:dyDescent="0.25">
      <c r="A870" s="16">
        <v>233233</v>
      </c>
      <c r="B870" s="30" t="s">
        <v>1004</v>
      </c>
      <c r="C870" s="20" t="s">
        <v>636</v>
      </c>
      <c r="D870" s="20" t="s">
        <v>729</v>
      </c>
      <c r="E870" s="20" t="s">
        <v>3248</v>
      </c>
      <c r="F870" s="20" t="s">
        <v>3249</v>
      </c>
      <c r="G870" s="21">
        <v>10</v>
      </c>
      <c r="H870" s="16">
        <v>20</v>
      </c>
      <c r="I870" s="16">
        <v>4</v>
      </c>
      <c r="J870" s="17">
        <v>160</v>
      </c>
      <c r="K870" s="22"/>
      <c r="L870" s="23"/>
      <c r="M870" s="23">
        <v>0</v>
      </c>
      <c r="N870" s="19">
        <v>20</v>
      </c>
      <c r="O870" s="19">
        <v>-50</v>
      </c>
      <c r="P870" s="48">
        <v>50</v>
      </c>
      <c r="Q870" s="17">
        <v>0</v>
      </c>
      <c r="R870" s="24">
        <v>160</v>
      </c>
      <c r="S870" s="18" t="s">
        <v>28</v>
      </c>
      <c r="T870" s="25">
        <v>21</v>
      </c>
    </row>
    <row r="871" spans="1:20" s="26" customFormat="1" x14ac:dyDescent="0.25">
      <c r="A871" s="16">
        <v>233234</v>
      </c>
      <c r="B871" s="30" t="s">
        <v>1005</v>
      </c>
      <c r="C871" s="20" t="s">
        <v>636</v>
      </c>
      <c r="D871" s="20" t="s">
        <v>729</v>
      </c>
      <c r="E871" s="20" t="s">
        <v>3250</v>
      </c>
      <c r="F871" s="20" t="s">
        <v>3251</v>
      </c>
      <c r="G871" s="21">
        <v>5</v>
      </c>
      <c r="H871" s="16">
        <v>22</v>
      </c>
      <c r="I871" s="16"/>
      <c r="J871" s="17">
        <v>110</v>
      </c>
      <c r="K871" s="22"/>
      <c r="L871" s="23"/>
      <c r="M871" s="23">
        <v>0</v>
      </c>
      <c r="N871" s="19">
        <v>10</v>
      </c>
      <c r="O871" s="19">
        <v>-25</v>
      </c>
      <c r="P871" s="48">
        <v>25</v>
      </c>
      <c r="Q871" s="17">
        <v>0</v>
      </c>
      <c r="R871" s="24">
        <v>110</v>
      </c>
      <c r="S871" s="18" t="s">
        <v>28</v>
      </c>
      <c r="T871" s="25">
        <v>21</v>
      </c>
    </row>
    <row r="872" spans="1:20" s="26" customFormat="1" x14ac:dyDescent="0.25">
      <c r="A872" s="16">
        <v>231479</v>
      </c>
      <c r="B872" s="30" t="s">
        <v>793</v>
      </c>
      <c r="C872" s="20" t="s">
        <v>654</v>
      </c>
      <c r="D872" s="20" t="s">
        <v>715</v>
      </c>
      <c r="E872" s="20" t="s">
        <v>3252</v>
      </c>
      <c r="F872" s="20" t="s">
        <v>3253</v>
      </c>
      <c r="G872" s="21">
        <v>10</v>
      </c>
      <c r="H872" s="16">
        <v>26</v>
      </c>
      <c r="I872" s="16"/>
      <c r="J872" s="17">
        <v>260</v>
      </c>
      <c r="K872" s="22"/>
      <c r="L872" s="23"/>
      <c r="M872" s="23">
        <v>0</v>
      </c>
      <c r="N872" s="19">
        <v>20</v>
      </c>
      <c r="O872" s="19">
        <v>-50</v>
      </c>
      <c r="P872" s="48">
        <v>50</v>
      </c>
      <c r="Q872" s="17">
        <v>0</v>
      </c>
      <c r="R872" s="24">
        <v>260</v>
      </c>
      <c r="S872" s="18" t="s">
        <v>28</v>
      </c>
      <c r="T872" s="25">
        <v>21</v>
      </c>
    </row>
    <row r="873" spans="1:20" s="26" customFormat="1" x14ac:dyDescent="0.25">
      <c r="A873" s="16">
        <v>223242</v>
      </c>
      <c r="B873" s="30" t="s">
        <v>412</v>
      </c>
      <c r="C873" s="20" t="s">
        <v>641</v>
      </c>
      <c r="D873" s="20" t="s">
        <v>704</v>
      </c>
      <c r="E873" s="20" t="s">
        <v>3254</v>
      </c>
      <c r="F873" s="20" t="s">
        <v>3255</v>
      </c>
      <c r="G873" s="21">
        <v>10</v>
      </c>
      <c r="H873" s="16">
        <v>26</v>
      </c>
      <c r="I873" s="16"/>
      <c r="J873" s="17">
        <v>260</v>
      </c>
      <c r="K873" s="22"/>
      <c r="L873" s="23"/>
      <c r="M873" s="23">
        <v>0</v>
      </c>
      <c r="N873" s="19">
        <v>20</v>
      </c>
      <c r="O873" s="19">
        <v>-50</v>
      </c>
      <c r="P873" s="48">
        <v>50</v>
      </c>
      <c r="Q873" s="17">
        <v>0</v>
      </c>
      <c r="R873" s="24">
        <v>260</v>
      </c>
      <c r="S873" s="18" t="s">
        <v>28</v>
      </c>
      <c r="T873" s="25">
        <v>21</v>
      </c>
    </row>
    <row r="874" spans="1:20" s="26" customFormat="1" x14ac:dyDescent="0.25">
      <c r="A874" s="16">
        <v>222087</v>
      </c>
      <c r="B874" s="30" t="s">
        <v>413</v>
      </c>
      <c r="C874" s="20" t="s">
        <v>647</v>
      </c>
      <c r="D874" s="20" t="s">
        <v>722</v>
      </c>
      <c r="E874" s="20" t="s">
        <v>3256</v>
      </c>
      <c r="F874" s="20" t="s">
        <v>3257</v>
      </c>
      <c r="G874" s="21">
        <v>18.8</v>
      </c>
      <c r="H874" s="16">
        <v>26</v>
      </c>
      <c r="I874" s="16">
        <v>1</v>
      </c>
      <c r="J874" s="17">
        <v>470</v>
      </c>
      <c r="K874" s="22"/>
      <c r="L874" s="23"/>
      <c r="M874" s="23">
        <v>0</v>
      </c>
      <c r="N874" s="19">
        <v>37.6</v>
      </c>
      <c r="O874" s="19">
        <v>-94</v>
      </c>
      <c r="P874" s="48">
        <v>94</v>
      </c>
      <c r="Q874" s="17">
        <v>0</v>
      </c>
      <c r="R874" s="24">
        <v>470</v>
      </c>
      <c r="S874" s="18" t="s">
        <v>28</v>
      </c>
      <c r="T874" s="25">
        <v>22</v>
      </c>
    </row>
    <row r="875" spans="1:20" s="26" customFormat="1" x14ac:dyDescent="0.25">
      <c r="A875" s="16">
        <v>222663</v>
      </c>
      <c r="B875" s="30" t="s">
        <v>414</v>
      </c>
      <c r="C875" s="20" t="s">
        <v>647</v>
      </c>
      <c r="D875" s="20" t="s">
        <v>720</v>
      </c>
      <c r="E875" s="20" t="s">
        <v>3258</v>
      </c>
      <c r="F875" s="20" t="s">
        <v>3259</v>
      </c>
      <c r="G875" s="21">
        <v>15.4</v>
      </c>
      <c r="H875" s="16">
        <v>26</v>
      </c>
      <c r="I875" s="16"/>
      <c r="J875" s="17">
        <v>400.40000000000003</v>
      </c>
      <c r="K875" s="22"/>
      <c r="L875" s="23"/>
      <c r="M875" s="23">
        <v>0</v>
      </c>
      <c r="N875" s="19">
        <v>30.8</v>
      </c>
      <c r="O875" s="19">
        <v>-77</v>
      </c>
      <c r="P875" s="48">
        <v>77</v>
      </c>
      <c r="Q875" s="17">
        <v>0</v>
      </c>
      <c r="R875" s="24">
        <v>400.40000000000003</v>
      </c>
      <c r="S875" s="18" t="s">
        <v>28</v>
      </c>
      <c r="T875" s="25">
        <v>22</v>
      </c>
    </row>
    <row r="876" spans="1:20" s="26" customFormat="1" x14ac:dyDescent="0.25">
      <c r="A876" s="16">
        <v>223133</v>
      </c>
      <c r="B876" s="30" t="s">
        <v>415</v>
      </c>
      <c r="C876" s="20" t="s">
        <v>647</v>
      </c>
      <c r="D876" s="20" t="s">
        <v>720</v>
      </c>
      <c r="E876" s="20" t="s">
        <v>3260</v>
      </c>
      <c r="F876" s="20" t="s">
        <v>3261</v>
      </c>
      <c r="G876" s="21">
        <v>13.4</v>
      </c>
      <c r="H876" s="16">
        <v>26</v>
      </c>
      <c r="I876" s="16"/>
      <c r="J876" s="17">
        <v>348.40000000000003</v>
      </c>
      <c r="K876" s="22"/>
      <c r="L876" s="23"/>
      <c r="M876" s="23">
        <v>0</v>
      </c>
      <c r="N876" s="19">
        <v>26.8</v>
      </c>
      <c r="O876" s="19">
        <v>-67</v>
      </c>
      <c r="P876" s="48">
        <v>67</v>
      </c>
      <c r="Q876" s="17">
        <v>0</v>
      </c>
      <c r="R876" s="24">
        <v>348.40000000000003</v>
      </c>
      <c r="S876" s="18" t="s">
        <v>28</v>
      </c>
      <c r="T876" s="25">
        <v>22</v>
      </c>
    </row>
    <row r="877" spans="1:20" s="26" customFormat="1" x14ac:dyDescent="0.25">
      <c r="A877" s="16">
        <v>223409</v>
      </c>
      <c r="B877" s="30" t="s">
        <v>416</v>
      </c>
      <c r="C877" s="20" t="s">
        <v>647</v>
      </c>
      <c r="D877" s="20" t="s">
        <v>721</v>
      </c>
      <c r="E877" s="20" t="s">
        <v>3262</v>
      </c>
      <c r="F877" s="20" t="s">
        <v>3263</v>
      </c>
      <c r="G877" s="21">
        <v>18.8</v>
      </c>
      <c r="H877" s="16">
        <v>26</v>
      </c>
      <c r="I877" s="16">
        <v>1</v>
      </c>
      <c r="J877" s="17">
        <v>470</v>
      </c>
      <c r="K877" s="22"/>
      <c r="L877" s="23"/>
      <c r="M877" s="23">
        <v>0</v>
      </c>
      <c r="N877" s="19">
        <v>37.6</v>
      </c>
      <c r="O877" s="19">
        <v>-94</v>
      </c>
      <c r="P877" s="48">
        <v>94</v>
      </c>
      <c r="Q877" s="17">
        <v>0</v>
      </c>
      <c r="R877" s="24">
        <v>470</v>
      </c>
      <c r="S877" s="18" t="s">
        <v>28</v>
      </c>
      <c r="T877" s="25">
        <v>22</v>
      </c>
    </row>
    <row r="878" spans="1:20" s="26" customFormat="1" x14ac:dyDescent="0.25">
      <c r="A878" s="16">
        <v>223566</v>
      </c>
      <c r="B878" s="30" t="s">
        <v>321</v>
      </c>
      <c r="C878" s="20" t="s">
        <v>647</v>
      </c>
      <c r="D878" s="20" t="s">
        <v>723</v>
      </c>
      <c r="E878" s="20" t="s">
        <v>3264</v>
      </c>
      <c r="F878" s="20" t="s">
        <v>3265</v>
      </c>
      <c r="G878" s="21">
        <v>18.8</v>
      </c>
      <c r="H878" s="16">
        <v>26</v>
      </c>
      <c r="I878" s="16"/>
      <c r="J878" s="17">
        <v>488.8</v>
      </c>
      <c r="K878" s="22"/>
      <c r="L878" s="23"/>
      <c r="M878" s="23">
        <v>0</v>
      </c>
      <c r="N878" s="19">
        <v>37.6</v>
      </c>
      <c r="O878" s="19">
        <v>-94</v>
      </c>
      <c r="P878" s="48">
        <v>94</v>
      </c>
      <c r="Q878" s="17">
        <v>0</v>
      </c>
      <c r="R878" s="24">
        <v>488.8</v>
      </c>
      <c r="S878" s="18" t="s">
        <v>28</v>
      </c>
      <c r="T878" s="25">
        <v>22</v>
      </c>
    </row>
    <row r="879" spans="1:20" s="26" customFormat="1" x14ac:dyDescent="0.25">
      <c r="A879" s="65">
        <v>224395</v>
      </c>
      <c r="B879" s="30" t="s">
        <v>417</v>
      </c>
      <c r="C879" s="20" t="s">
        <v>647</v>
      </c>
      <c r="D879" s="20" t="s">
        <v>720</v>
      </c>
      <c r="E879" s="20" t="s">
        <v>3266</v>
      </c>
      <c r="F879" s="20" t="s">
        <v>3267</v>
      </c>
      <c r="G879" s="21">
        <v>13.4</v>
      </c>
      <c r="H879" s="16">
        <v>26</v>
      </c>
      <c r="I879" s="16"/>
      <c r="J879" s="17">
        <v>348.40000000000003</v>
      </c>
      <c r="K879" s="22"/>
      <c r="L879" s="23"/>
      <c r="M879" s="23">
        <v>0</v>
      </c>
      <c r="N879" s="19">
        <v>26.8</v>
      </c>
      <c r="O879" s="19">
        <v>-67</v>
      </c>
      <c r="P879" s="48">
        <v>67</v>
      </c>
      <c r="Q879" s="17">
        <v>0</v>
      </c>
      <c r="R879" s="24">
        <v>348.40000000000003</v>
      </c>
      <c r="S879" s="18" t="s">
        <v>28</v>
      </c>
      <c r="T879" s="25">
        <v>22</v>
      </c>
    </row>
    <row r="880" spans="1:20" s="26" customFormat="1" x14ac:dyDescent="0.25">
      <c r="A880" s="16">
        <v>229731</v>
      </c>
      <c r="B880" s="30" t="s">
        <v>1211</v>
      </c>
      <c r="C880" s="20" t="s">
        <v>647</v>
      </c>
      <c r="D880" s="20" t="s">
        <v>724</v>
      </c>
      <c r="E880" s="20" t="s">
        <v>3268</v>
      </c>
      <c r="F880" s="20" t="s">
        <v>3269</v>
      </c>
      <c r="G880" s="21">
        <v>13.4</v>
      </c>
      <c r="H880" s="16">
        <v>26</v>
      </c>
      <c r="I880" s="16"/>
      <c r="J880" s="17">
        <v>348.40000000000003</v>
      </c>
      <c r="K880" s="22"/>
      <c r="L880" s="23"/>
      <c r="M880" s="23">
        <v>0</v>
      </c>
      <c r="N880" s="19">
        <v>26.8</v>
      </c>
      <c r="O880" s="19">
        <v>-67</v>
      </c>
      <c r="P880" s="48">
        <v>67</v>
      </c>
      <c r="Q880" s="17">
        <v>0</v>
      </c>
      <c r="R880" s="24">
        <v>348.40000000000003</v>
      </c>
      <c r="S880" s="18" t="s">
        <v>28</v>
      </c>
      <c r="T880" s="25">
        <v>22</v>
      </c>
    </row>
    <row r="881" spans="1:20" s="26" customFormat="1" x14ac:dyDescent="0.25">
      <c r="A881" s="16">
        <v>230091</v>
      </c>
      <c r="B881" s="30" t="s">
        <v>1486</v>
      </c>
      <c r="C881" s="20" t="s">
        <v>647</v>
      </c>
      <c r="D881" s="20" t="s">
        <v>721</v>
      </c>
      <c r="E881" s="20" t="s">
        <v>3270</v>
      </c>
      <c r="F881" s="20" t="s">
        <v>3271</v>
      </c>
      <c r="G881" s="21">
        <v>13.4</v>
      </c>
      <c r="H881" s="16">
        <v>26</v>
      </c>
      <c r="I881" s="16"/>
      <c r="J881" s="17">
        <v>348.40000000000003</v>
      </c>
      <c r="K881" s="22"/>
      <c r="L881" s="23"/>
      <c r="M881" s="23">
        <v>0</v>
      </c>
      <c r="N881" s="19">
        <v>26.8</v>
      </c>
      <c r="O881" s="19">
        <v>-67</v>
      </c>
      <c r="P881" s="48">
        <v>67</v>
      </c>
      <c r="Q881" s="17">
        <v>0</v>
      </c>
      <c r="R881" s="24">
        <v>348.40000000000003</v>
      </c>
      <c r="S881" s="18" t="s">
        <v>28</v>
      </c>
      <c r="T881" s="25">
        <v>22</v>
      </c>
    </row>
    <row r="882" spans="1:20" s="26" customFormat="1" x14ac:dyDescent="0.25">
      <c r="A882" s="16">
        <v>230944</v>
      </c>
      <c r="B882" s="30" t="s">
        <v>418</v>
      </c>
      <c r="C882" s="20" t="s">
        <v>647</v>
      </c>
      <c r="D882" s="20" t="s">
        <v>721</v>
      </c>
      <c r="E882" s="20" t="s">
        <v>3272</v>
      </c>
      <c r="F882" s="20" t="s">
        <v>3273</v>
      </c>
      <c r="G882" s="21">
        <v>13.4</v>
      </c>
      <c r="H882" s="16">
        <v>26</v>
      </c>
      <c r="I882" s="16"/>
      <c r="J882" s="17">
        <v>348.40000000000003</v>
      </c>
      <c r="K882" s="22"/>
      <c r="L882" s="23"/>
      <c r="M882" s="23">
        <v>0</v>
      </c>
      <c r="N882" s="19">
        <v>26.8</v>
      </c>
      <c r="O882" s="19">
        <v>-67</v>
      </c>
      <c r="P882" s="48">
        <v>67</v>
      </c>
      <c r="Q882" s="17">
        <v>0</v>
      </c>
      <c r="R882" s="24">
        <v>348.40000000000003</v>
      </c>
      <c r="S882" s="18" t="s">
        <v>28</v>
      </c>
      <c r="T882" s="25">
        <v>22</v>
      </c>
    </row>
    <row r="883" spans="1:20" s="26" customFormat="1" x14ac:dyDescent="0.25">
      <c r="A883" s="16">
        <v>230989</v>
      </c>
      <c r="B883" s="30" t="s">
        <v>1487</v>
      </c>
      <c r="C883" s="20" t="s">
        <v>647</v>
      </c>
      <c r="D883" s="20" t="s">
        <v>724</v>
      </c>
      <c r="E883" s="20" t="s">
        <v>3274</v>
      </c>
      <c r="F883" s="20" t="s">
        <v>3275</v>
      </c>
      <c r="G883" s="21">
        <v>13.4</v>
      </c>
      <c r="H883" s="16">
        <v>26</v>
      </c>
      <c r="I883" s="16"/>
      <c r="J883" s="17">
        <v>348.40000000000003</v>
      </c>
      <c r="K883" s="22"/>
      <c r="L883" s="23"/>
      <c r="M883" s="23">
        <v>0</v>
      </c>
      <c r="N883" s="19">
        <v>26.8</v>
      </c>
      <c r="O883" s="19">
        <v>-67</v>
      </c>
      <c r="P883" s="48">
        <v>67</v>
      </c>
      <c r="Q883" s="17">
        <v>0</v>
      </c>
      <c r="R883" s="24">
        <v>348.40000000000003</v>
      </c>
      <c r="S883" s="18" t="s">
        <v>28</v>
      </c>
      <c r="T883" s="25">
        <v>22</v>
      </c>
    </row>
    <row r="884" spans="1:20" s="26" customFormat="1" x14ac:dyDescent="0.25">
      <c r="A884" s="65">
        <v>231198</v>
      </c>
      <c r="B884" s="30" t="s">
        <v>771</v>
      </c>
      <c r="C884" s="20" t="s">
        <v>647</v>
      </c>
      <c r="D884" s="20" t="s">
        <v>720</v>
      </c>
      <c r="E884" s="20" t="s">
        <v>3276</v>
      </c>
      <c r="F884" s="20" t="s">
        <v>3277</v>
      </c>
      <c r="G884" s="21">
        <v>13.4</v>
      </c>
      <c r="H884" s="16">
        <v>26</v>
      </c>
      <c r="I884" s="16"/>
      <c r="J884" s="17">
        <v>348.40000000000003</v>
      </c>
      <c r="K884" s="22"/>
      <c r="L884" s="23"/>
      <c r="M884" s="23">
        <v>0</v>
      </c>
      <c r="N884" s="19">
        <v>26.8</v>
      </c>
      <c r="O884" s="19">
        <v>-67</v>
      </c>
      <c r="P884" s="48">
        <v>67</v>
      </c>
      <c r="Q884" s="17">
        <v>0</v>
      </c>
      <c r="R884" s="24">
        <v>348.40000000000003</v>
      </c>
      <c r="S884" s="18" t="s">
        <v>28</v>
      </c>
      <c r="T884" s="25">
        <v>22</v>
      </c>
    </row>
    <row r="885" spans="1:20" s="26" customFormat="1" x14ac:dyDescent="0.25">
      <c r="A885" s="16">
        <v>231614</v>
      </c>
      <c r="B885" s="30" t="s">
        <v>842</v>
      </c>
      <c r="C885" s="20" t="s">
        <v>647</v>
      </c>
      <c r="D885" s="20" t="s">
        <v>721</v>
      </c>
      <c r="E885" s="20" t="s">
        <v>3278</v>
      </c>
      <c r="F885" s="20" t="s">
        <v>3279</v>
      </c>
      <c r="G885" s="21">
        <v>13.4</v>
      </c>
      <c r="H885" s="16">
        <v>26</v>
      </c>
      <c r="I885" s="16"/>
      <c r="J885" s="17">
        <v>348.40000000000003</v>
      </c>
      <c r="K885" s="22"/>
      <c r="L885" s="23"/>
      <c r="M885" s="23">
        <v>0</v>
      </c>
      <c r="N885" s="19">
        <v>26.8</v>
      </c>
      <c r="O885" s="19">
        <v>-67</v>
      </c>
      <c r="P885" s="48">
        <v>67</v>
      </c>
      <c r="Q885" s="17">
        <v>0</v>
      </c>
      <c r="R885" s="24">
        <v>348.40000000000003</v>
      </c>
      <c r="S885" s="18" t="s">
        <v>28</v>
      </c>
      <c r="T885" s="25">
        <v>22</v>
      </c>
    </row>
    <row r="886" spans="1:20" s="26" customFormat="1" x14ac:dyDescent="0.25">
      <c r="A886" s="16">
        <v>231775</v>
      </c>
      <c r="B886" s="30" t="s">
        <v>843</v>
      </c>
      <c r="C886" s="20" t="s">
        <v>647</v>
      </c>
      <c r="D886" s="20" t="s">
        <v>721</v>
      </c>
      <c r="E886" s="20" t="s">
        <v>3280</v>
      </c>
      <c r="F886" s="20" t="s">
        <v>3281</v>
      </c>
      <c r="G886" s="21">
        <v>13.4</v>
      </c>
      <c r="H886" s="16">
        <v>26</v>
      </c>
      <c r="I886" s="16"/>
      <c r="J886" s="17">
        <v>348.40000000000003</v>
      </c>
      <c r="K886" s="22"/>
      <c r="L886" s="23"/>
      <c r="M886" s="23">
        <v>0</v>
      </c>
      <c r="N886" s="19">
        <v>26.8</v>
      </c>
      <c r="O886" s="19">
        <v>-67</v>
      </c>
      <c r="P886" s="48">
        <v>67</v>
      </c>
      <c r="Q886" s="17">
        <v>0</v>
      </c>
      <c r="R886" s="24">
        <v>348.40000000000003</v>
      </c>
      <c r="S886" s="18" t="s">
        <v>28</v>
      </c>
      <c r="T886" s="25">
        <v>22</v>
      </c>
    </row>
    <row r="887" spans="1:20" s="26" customFormat="1" x14ac:dyDescent="0.25">
      <c r="A887" s="16">
        <v>234152</v>
      </c>
      <c r="B887" s="30" t="s">
        <v>1212</v>
      </c>
      <c r="C887" s="20" t="s">
        <v>647</v>
      </c>
      <c r="D887" s="20" t="s">
        <v>721</v>
      </c>
      <c r="E887" s="20" t="s">
        <v>3282</v>
      </c>
      <c r="F887" s="20" t="s">
        <v>3283</v>
      </c>
      <c r="G887" s="21">
        <v>13.4</v>
      </c>
      <c r="H887" s="16">
        <v>26</v>
      </c>
      <c r="I887" s="16"/>
      <c r="J887" s="17">
        <v>348.40000000000003</v>
      </c>
      <c r="K887" s="22"/>
      <c r="L887" s="23"/>
      <c r="M887" s="23">
        <v>0</v>
      </c>
      <c r="N887" s="19">
        <v>26.8</v>
      </c>
      <c r="O887" s="19">
        <v>-67</v>
      </c>
      <c r="P887" s="48">
        <v>67</v>
      </c>
      <c r="Q887" s="17">
        <v>0</v>
      </c>
      <c r="R887" s="24">
        <v>348.40000000000003</v>
      </c>
      <c r="S887" s="18" t="s">
        <v>28</v>
      </c>
      <c r="T887" s="25">
        <v>22</v>
      </c>
    </row>
    <row r="888" spans="1:20" s="26" customFormat="1" x14ac:dyDescent="0.25">
      <c r="A888" s="16">
        <v>234587</v>
      </c>
      <c r="B888" s="30" t="s">
        <v>1325</v>
      </c>
      <c r="C888" s="20" t="s">
        <v>647</v>
      </c>
      <c r="D888" s="20" t="s">
        <v>721</v>
      </c>
      <c r="E888" s="20" t="s">
        <v>3284</v>
      </c>
      <c r="F888" s="20" t="s">
        <v>3285</v>
      </c>
      <c r="G888" s="21">
        <v>13.4</v>
      </c>
      <c r="H888" s="16">
        <v>26</v>
      </c>
      <c r="I888" s="16"/>
      <c r="J888" s="17">
        <v>348.40000000000003</v>
      </c>
      <c r="K888" s="22"/>
      <c r="L888" s="23"/>
      <c r="M888" s="23">
        <v>0</v>
      </c>
      <c r="N888" s="19">
        <v>26.8</v>
      </c>
      <c r="O888" s="19">
        <v>-67</v>
      </c>
      <c r="P888" s="48">
        <v>67</v>
      </c>
      <c r="Q888" s="17">
        <v>0</v>
      </c>
      <c r="R888" s="24">
        <v>348.40000000000003</v>
      </c>
      <c r="S888" s="18" t="s">
        <v>28</v>
      </c>
      <c r="T888" s="25">
        <v>22</v>
      </c>
    </row>
    <row r="889" spans="1:20" s="26" customFormat="1" x14ac:dyDescent="0.25">
      <c r="A889" s="16">
        <v>222311</v>
      </c>
      <c r="B889" s="30" t="s">
        <v>419</v>
      </c>
      <c r="C889" s="20" t="s">
        <v>658</v>
      </c>
      <c r="D889" s="20" t="s">
        <v>752</v>
      </c>
      <c r="E889" s="20" t="s">
        <v>3286</v>
      </c>
      <c r="F889" s="20" t="s">
        <v>3287</v>
      </c>
      <c r="G889" s="21">
        <v>13.7</v>
      </c>
      <c r="H889" s="16">
        <v>26</v>
      </c>
      <c r="I889" s="16"/>
      <c r="J889" s="17">
        <v>356.2</v>
      </c>
      <c r="K889" s="22"/>
      <c r="L889" s="23"/>
      <c r="M889" s="23">
        <v>0</v>
      </c>
      <c r="N889" s="19">
        <v>27.4</v>
      </c>
      <c r="O889" s="19">
        <v>-68.5</v>
      </c>
      <c r="P889" s="48">
        <v>68.5</v>
      </c>
      <c r="Q889" s="17">
        <v>0</v>
      </c>
      <c r="R889" s="24">
        <v>356.2</v>
      </c>
      <c r="S889" s="18" t="s">
        <v>28</v>
      </c>
      <c r="T889" s="25">
        <v>22</v>
      </c>
    </row>
    <row r="890" spans="1:20" s="26" customFormat="1" x14ac:dyDescent="0.25">
      <c r="A890" s="16">
        <v>220673</v>
      </c>
      <c r="B890" s="30" t="s">
        <v>420</v>
      </c>
      <c r="C890" s="20" t="s">
        <v>630</v>
      </c>
      <c r="D890" s="20" t="s">
        <v>736</v>
      </c>
      <c r="E890" s="20" t="s">
        <v>3288</v>
      </c>
      <c r="F890" s="20" t="s">
        <v>3289</v>
      </c>
      <c r="G890" s="21">
        <v>18.8</v>
      </c>
      <c r="H890" s="16">
        <v>22</v>
      </c>
      <c r="I890" s="16">
        <v>1</v>
      </c>
      <c r="J890" s="17">
        <v>394.8</v>
      </c>
      <c r="K890" s="22"/>
      <c r="L890" s="23">
        <v>219.45</v>
      </c>
      <c r="M890" s="23">
        <v>219.45</v>
      </c>
      <c r="N890" s="19">
        <v>37.6</v>
      </c>
      <c r="O890" s="19">
        <v>125.44999999999999</v>
      </c>
      <c r="P890" s="48">
        <v>94</v>
      </c>
      <c r="Q890" s="17">
        <v>125.44999999999999</v>
      </c>
      <c r="R890" s="24">
        <v>269.35000000000002</v>
      </c>
      <c r="S890" s="18" t="s">
        <v>11</v>
      </c>
      <c r="T890" s="25">
        <v>22</v>
      </c>
    </row>
    <row r="891" spans="1:20" s="26" customFormat="1" x14ac:dyDescent="0.25">
      <c r="A891" s="16">
        <v>213598</v>
      </c>
      <c r="B891" s="30" t="s">
        <v>421</v>
      </c>
      <c r="C891" s="20" t="s">
        <v>648</v>
      </c>
      <c r="D891" s="20" t="s">
        <v>737</v>
      </c>
      <c r="E891" s="20" t="s">
        <v>3290</v>
      </c>
      <c r="F891" s="20" t="s">
        <v>3291</v>
      </c>
      <c r="G891" s="21">
        <v>14.2</v>
      </c>
      <c r="H891" s="16">
        <v>26</v>
      </c>
      <c r="I891" s="16"/>
      <c r="J891" s="17">
        <v>369.2</v>
      </c>
      <c r="K891" s="22"/>
      <c r="L891" s="23"/>
      <c r="M891" s="23">
        <v>0</v>
      </c>
      <c r="N891" s="19">
        <v>28.4</v>
      </c>
      <c r="O891" s="19">
        <v>-71</v>
      </c>
      <c r="P891" s="48">
        <v>71</v>
      </c>
      <c r="Q891" s="17">
        <v>0</v>
      </c>
      <c r="R891" s="24">
        <v>369.2</v>
      </c>
      <c r="S891" s="18" t="s">
        <v>28</v>
      </c>
      <c r="T891" s="25">
        <v>22</v>
      </c>
    </row>
    <row r="892" spans="1:20" s="26" customFormat="1" x14ac:dyDescent="0.25">
      <c r="A892" s="16">
        <v>222511</v>
      </c>
      <c r="B892" s="30" t="s">
        <v>440</v>
      </c>
      <c r="C892" s="20" t="s">
        <v>648</v>
      </c>
      <c r="D892" s="20" t="s">
        <v>718</v>
      </c>
      <c r="E892" s="20" t="s">
        <v>3292</v>
      </c>
      <c r="F892" s="20" t="s">
        <v>3293</v>
      </c>
      <c r="G892" s="21">
        <v>13.4</v>
      </c>
      <c r="H892" s="16">
        <v>26</v>
      </c>
      <c r="I892" s="16">
        <v>1</v>
      </c>
      <c r="J892" s="17">
        <v>335</v>
      </c>
      <c r="K892" s="22"/>
      <c r="L892" s="23"/>
      <c r="M892" s="23">
        <v>0</v>
      </c>
      <c r="N892" s="19">
        <v>26.8</v>
      </c>
      <c r="O892" s="19">
        <v>-67</v>
      </c>
      <c r="P892" s="48">
        <v>67</v>
      </c>
      <c r="Q892" s="17">
        <v>0</v>
      </c>
      <c r="R892" s="24">
        <v>335</v>
      </c>
      <c r="S892" s="18" t="s">
        <v>28</v>
      </c>
      <c r="T892" s="25">
        <v>22</v>
      </c>
    </row>
    <row r="893" spans="1:20" s="26" customFormat="1" x14ac:dyDescent="0.25">
      <c r="A893" s="16">
        <v>225664</v>
      </c>
      <c r="B893" s="30" t="s">
        <v>1488</v>
      </c>
      <c r="C893" s="20" t="s">
        <v>648</v>
      </c>
      <c r="D893" s="20" t="s">
        <v>718</v>
      </c>
      <c r="E893" s="20" t="s">
        <v>3294</v>
      </c>
      <c r="F893" s="20" t="s">
        <v>3295</v>
      </c>
      <c r="G893" s="21">
        <v>13.4</v>
      </c>
      <c r="H893" s="16">
        <v>26</v>
      </c>
      <c r="I893" s="16"/>
      <c r="J893" s="17">
        <v>348.40000000000003</v>
      </c>
      <c r="K893" s="22"/>
      <c r="L893" s="23"/>
      <c r="M893" s="23">
        <v>0</v>
      </c>
      <c r="N893" s="19">
        <v>26.8</v>
      </c>
      <c r="O893" s="19">
        <v>-67</v>
      </c>
      <c r="P893" s="48">
        <v>67</v>
      </c>
      <c r="Q893" s="17">
        <v>0</v>
      </c>
      <c r="R893" s="24">
        <v>348.40000000000003</v>
      </c>
      <c r="S893" s="18" t="s">
        <v>28</v>
      </c>
      <c r="T893" s="25">
        <v>22</v>
      </c>
    </row>
    <row r="894" spans="1:20" s="26" customFormat="1" x14ac:dyDescent="0.25">
      <c r="A894" s="16">
        <v>229502</v>
      </c>
      <c r="B894" s="30" t="s">
        <v>422</v>
      </c>
      <c r="C894" s="20" t="s">
        <v>648</v>
      </c>
      <c r="D894" s="20" t="s">
        <v>718</v>
      </c>
      <c r="E894" s="20" t="s">
        <v>3296</v>
      </c>
      <c r="F894" s="20" t="s">
        <v>3297</v>
      </c>
      <c r="G894" s="21">
        <v>13.4</v>
      </c>
      <c r="H894" s="16">
        <v>26</v>
      </c>
      <c r="I894" s="16"/>
      <c r="J894" s="17">
        <v>348.40000000000003</v>
      </c>
      <c r="K894" s="22"/>
      <c r="L894" s="23"/>
      <c r="M894" s="23">
        <v>0</v>
      </c>
      <c r="N894" s="19">
        <v>26.8</v>
      </c>
      <c r="O894" s="19">
        <v>-67</v>
      </c>
      <c r="P894" s="48">
        <v>67</v>
      </c>
      <c r="Q894" s="17">
        <v>0</v>
      </c>
      <c r="R894" s="24">
        <v>348.40000000000003</v>
      </c>
      <c r="S894" s="18" t="s">
        <v>28</v>
      </c>
      <c r="T894" s="25">
        <v>22</v>
      </c>
    </row>
    <row r="895" spans="1:20" s="26" customFormat="1" x14ac:dyDescent="0.25">
      <c r="A895" s="16">
        <v>231826</v>
      </c>
      <c r="B895" s="30" t="s">
        <v>844</v>
      </c>
      <c r="C895" s="20" t="s">
        <v>648</v>
      </c>
      <c r="D895" s="20" t="s">
        <v>718</v>
      </c>
      <c r="E895" s="20" t="s">
        <v>3298</v>
      </c>
      <c r="F895" s="20" t="s">
        <v>3299</v>
      </c>
      <c r="G895" s="21">
        <v>13.4</v>
      </c>
      <c r="H895" s="16">
        <v>26</v>
      </c>
      <c r="I895" s="16">
        <v>1</v>
      </c>
      <c r="J895" s="17">
        <v>335</v>
      </c>
      <c r="K895" s="22"/>
      <c r="L895" s="23"/>
      <c r="M895" s="23">
        <v>0</v>
      </c>
      <c r="N895" s="19">
        <v>26.8</v>
      </c>
      <c r="O895" s="19">
        <v>-67</v>
      </c>
      <c r="P895" s="48">
        <v>67</v>
      </c>
      <c r="Q895" s="17">
        <v>0</v>
      </c>
      <c r="R895" s="24">
        <v>335</v>
      </c>
      <c r="S895" s="18" t="s">
        <v>28</v>
      </c>
      <c r="T895" s="25">
        <v>22</v>
      </c>
    </row>
    <row r="896" spans="1:20" s="26" customFormat="1" x14ac:dyDescent="0.25">
      <c r="A896" s="16">
        <v>234119</v>
      </c>
      <c r="B896" s="30" t="s">
        <v>1213</v>
      </c>
      <c r="C896" s="20" t="s">
        <v>648</v>
      </c>
      <c r="D896" s="20" t="s">
        <v>718</v>
      </c>
      <c r="E896" s="20" t="s">
        <v>3300</v>
      </c>
      <c r="F896" s="20" t="s">
        <v>3301</v>
      </c>
      <c r="G896" s="21">
        <v>13.4</v>
      </c>
      <c r="H896" s="16">
        <v>26</v>
      </c>
      <c r="I896" s="16"/>
      <c r="J896" s="17">
        <v>348.40000000000003</v>
      </c>
      <c r="K896" s="22"/>
      <c r="L896" s="23"/>
      <c r="M896" s="23">
        <v>0</v>
      </c>
      <c r="N896" s="19">
        <v>26.8</v>
      </c>
      <c r="O896" s="19">
        <v>-67</v>
      </c>
      <c r="P896" s="48">
        <v>67</v>
      </c>
      <c r="Q896" s="17">
        <v>0</v>
      </c>
      <c r="R896" s="24">
        <v>348.40000000000003</v>
      </c>
      <c r="S896" s="18" t="s">
        <v>28</v>
      </c>
      <c r="T896" s="25">
        <v>22</v>
      </c>
    </row>
    <row r="897" spans="1:20" s="26" customFormat="1" x14ac:dyDescent="0.25">
      <c r="A897" s="16">
        <v>234996</v>
      </c>
      <c r="B897" s="30" t="s">
        <v>1489</v>
      </c>
      <c r="C897" s="20" t="s">
        <v>648</v>
      </c>
      <c r="D897" s="20" t="s">
        <v>718</v>
      </c>
      <c r="E897" s="20" t="s">
        <v>3302</v>
      </c>
      <c r="F897" s="20" t="s">
        <v>3303</v>
      </c>
      <c r="G897" s="21">
        <v>13.4</v>
      </c>
      <c r="H897" s="16">
        <v>26</v>
      </c>
      <c r="I897" s="16"/>
      <c r="J897" s="17">
        <v>348.40000000000003</v>
      </c>
      <c r="K897" s="22"/>
      <c r="L897" s="23">
        <v>11.9</v>
      </c>
      <c r="M897" s="23">
        <v>11.9</v>
      </c>
      <c r="N897" s="19">
        <v>26.8</v>
      </c>
      <c r="O897" s="19">
        <v>-55.1</v>
      </c>
      <c r="P897" s="48">
        <v>67</v>
      </c>
      <c r="Q897" s="17">
        <v>0</v>
      </c>
      <c r="R897" s="24">
        <v>348.40000000000003</v>
      </c>
      <c r="S897" s="18" t="s">
        <v>28</v>
      </c>
      <c r="T897" s="25">
        <v>22</v>
      </c>
    </row>
    <row r="898" spans="1:20" s="26" customFormat="1" x14ac:dyDescent="0.25">
      <c r="A898" s="16">
        <v>221013</v>
      </c>
      <c r="B898" s="30" t="s">
        <v>434</v>
      </c>
      <c r="C898" s="20" t="s">
        <v>649</v>
      </c>
      <c r="D898" s="20" t="s">
        <v>725</v>
      </c>
      <c r="E898" s="20" t="s">
        <v>3304</v>
      </c>
      <c r="F898" s="20" t="s">
        <v>3305</v>
      </c>
      <c r="G898" s="21">
        <v>14.2</v>
      </c>
      <c r="H898" s="16">
        <v>26</v>
      </c>
      <c r="I898" s="16"/>
      <c r="J898" s="17">
        <v>369.2</v>
      </c>
      <c r="K898" s="22"/>
      <c r="L898" s="23"/>
      <c r="M898" s="23">
        <v>0</v>
      </c>
      <c r="N898" s="19">
        <v>28.4</v>
      </c>
      <c r="O898" s="19">
        <v>-71</v>
      </c>
      <c r="P898" s="48">
        <v>71</v>
      </c>
      <c r="Q898" s="17">
        <v>0</v>
      </c>
      <c r="R898" s="24">
        <v>369.2</v>
      </c>
      <c r="S898" s="18" t="s">
        <v>28</v>
      </c>
      <c r="T898" s="25">
        <v>22</v>
      </c>
    </row>
    <row r="899" spans="1:20" s="26" customFormat="1" x14ac:dyDescent="0.25">
      <c r="A899" s="16">
        <v>226325</v>
      </c>
      <c r="B899" s="30" t="s">
        <v>423</v>
      </c>
      <c r="C899" s="20" t="s">
        <v>649</v>
      </c>
      <c r="D899" s="20" t="s">
        <v>725</v>
      </c>
      <c r="E899" s="20" t="s">
        <v>3306</v>
      </c>
      <c r="F899" s="20" t="s">
        <v>3307</v>
      </c>
      <c r="G899" s="21">
        <v>18.8</v>
      </c>
      <c r="H899" s="16">
        <v>26</v>
      </c>
      <c r="I899" s="16"/>
      <c r="J899" s="17">
        <v>488.8</v>
      </c>
      <c r="K899" s="22"/>
      <c r="L899" s="23"/>
      <c r="M899" s="23">
        <v>0</v>
      </c>
      <c r="N899" s="19">
        <v>37.6</v>
      </c>
      <c r="O899" s="19">
        <v>-94</v>
      </c>
      <c r="P899" s="48">
        <v>94</v>
      </c>
      <c r="Q899" s="17">
        <v>0</v>
      </c>
      <c r="R899" s="24">
        <v>488.8</v>
      </c>
      <c r="S899" s="18" t="s">
        <v>28</v>
      </c>
      <c r="T899" s="25">
        <v>22</v>
      </c>
    </row>
    <row r="900" spans="1:20" s="26" customFormat="1" x14ac:dyDescent="0.25">
      <c r="A900" s="16">
        <v>226336</v>
      </c>
      <c r="B900" s="30" t="s">
        <v>424</v>
      </c>
      <c r="C900" s="20" t="s">
        <v>649</v>
      </c>
      <c r="D900" s="20" t="s">
        <v>725</v>
      </c>
      <c r="E900" s="20" t="s">
        <v>3308</v>
      </c>
      <c r="F900" s="20" t="s">
        <v>3309</v>
      </c>
      <c r="G900" s="21">
        <v>18.8</v>
      </c>
      <c r="H900" s="16">
        <v>26</v>
      </c>
      <c r="I900" s="16"/>
      <c r="J900" s="17">
        <v>488.8</v>
      </c>
      <c r="K900" s="22"/>
      <c r="L900" s="23"/>
      <c r="M900" s="23">
        <v>0</v>
      </c>
      <c r="N900" s="19">
        <v>37.6</v>
      </c>
      <c r="O900" s="19">
        <v>-94</v>
      </c>
      <c r="P900" s="48">
        <v>94</v>
      </c>
      <c r="Q900" s="17">
        <v>0</v>
      </c>
      <c r="R900" s="24">
        <v>488.8</v>
      </c>
      <c r="S900" s="18" t="s">
        <v>28</v>
      </c>
      <c r="T900" s="25">
        <v>22</v>
      </c>
    </row>
    <row r="901" spans="1:20" s="26" customFormat="1" x14ac:dyDescent="0.25">
      <c r="A901" s="16">
        <v>226370</v>
      </c>
      <c r="B901" s="30" t="s">
        <v>426</v>
      </c>
      <c r="C901" s="20" t="s">
        <v>649</v>
      </c>
      <c r="D901" s="20" t="s">
        <v>725</v>
      </c>
      <c r="E901" s="20" t="s">
        <v>3310</v>
      </c>
      <c r="F901" s="20" t="s">
        <v>3311</v>
      </c>
      <c r="G901" s="21">
        <v>13.4</v>
      </c>
      <c r="H901" s="16">
        <v>26</v>
      </c>
      <c r="I901" s="16"/>
      <c r="J901" s="17">
        <v>348.40000000000003</v>
      </c>
      <c r="K901" s="22"/>
      <c r="L901" s="23">
        <v>164.5</v>
      </c>
      <c r="M901" s="23">
        <v>164.5</v>
      </c>
      <c r="N901" s="19">
        <v>26.8</v>
      </c>
      <c r="O901" s="19">
        <v>97.5</v>
      </c>
      <c r="P901" s="48">
        <v>67</v>
      </c>
      <c r="Q901" s="17">
        <v>97.5</v>
      </c>
      <c r="R901" s="24">
        <v>250.90000000000003</v>
      </c>
      <c r="S901" s="18" t="s">
        <v>11</v>
      </c>
      <c r="T901" s="25">
        <v>22</v>
      </c>
    </row>
    <row r="902" spans="1:20" s="26" customFormat="1" x14ac:dyDescent="0.25">
      <c r="A902" s="16">
        <v>226420</v>
      </c>
      <c r="B902" s="30" t="s">
        <v>427</v>
      </c>
      <c r="C902" s="20" t="s">
        <v>649</v>
      </c>
      <c r="D902" s="20" t="s">
        <v>750</v>
      </c>
      <c r="E902" s="20" t="s">
        <v>3312</v>
      </c>
      <c r="F902" s="20" t="s">
        <v>3313</v>
      </c>
      <c r="G902" s="21">
        <v>13.4</v>
      </c>
      <c r="H902" s="16">
        <v>26</v>
      </c>
      <c r="I902" s="16"/>
      <c r="J902" s="17">
        <v>348.40000000000003</v>
      </c>
      <c r="K902" s="22"/>
      <c r="L902" s="23"/>
      <c r="M902" s="23">
        <v>0</v>
      </c>
      <c r="N902" s="19">
        <v>26.8</v>
      </c>
      <c r="O902" s="19">
        <v>-67</v>
      </c>
      <c r="P902" s="48">
        <v>67</v>
      </c>
      <c r="Q902" s="17">
        <v>0</v>
      </c>
      <c r="R902" s="24">
        <v>348.40000000000003</v>
      </c>
      <c r="S902" s="18" t="s">
        <v>28</v>
      </c>
      <c r="T902" s="25">
        <v>22</v>
      </c>
    </row>
    <row r="903" spans="1:20" s="26" customFormat="1" x14ac:dyDescent="0.25">
      <c r="A903" s="16">
        <v>227015</v>
      </c>
      <c r="B903" s="30" t="s">
        <v>1490</v>
      </c>
      <c r="C903" s="20" t="s">
        <v>649</v>
      </c>
      <c r="D903" s="20" t="s">
        <v>725</v>
      </c>
      <c r="E903" s="20" t="s">
        <v>3314</v>
      </c>
      <c r="F903" s="20" t="s">
        <v>3315</v>
      </c>
      <c r="G903" s="21">
        <v>18.8</v>
      </c>
      <c r="H903" s="16">
        <v>26</v>
      </c>
      <c r="I903" s="16"/>
      <c r="J903" s="17">
        <v>488.8</v>
      </c>
      <c r="K903" s="22"/>
      <c r="L903" s="23"/>
      <c r="M903" s="23">
        <v>0</v>
      </c>
      <c r="N903" s="19">
        <v>37.6</v>
      </c>
      <c r="O903" s="19">
        <v>-94</v>
      </c>
      <c r="P903" s="48">
        <v>94</v>
      </c>
      <c r="Q903" s="17">
        <v>0</v>
      </c>
      <c r="R903" s="24">
        <v>488.8</v>
      </c>
      <c r="S903" s="18" t="s">
        <v>28</v>
      </c>
      <c r="T903" s="25">
        <v>22</v>
      </c>
    </row>
    <row r="904" spans="1:20" s="26" customFormat="1" x14ac:dyDescent="0.25">
      <c r="A904" s="16">
        <v>228782</v>
      </c>
      <c r="B904" s="30" t="s">
        <v>429</v>
      </c>
      <c r="C904" s="20" t="s">
        <v>649</v>
      </c>
      <c r="D904" s="20" t="s">
        <v>725</v>
      </c>
      <c r="E904" s="20" t="s">
        <v>3316</v>
      </c>
      <c r="F904" s="20" t="s">
        <v>3317</v>
      </c>
      <c r="G904" s="21">
        <v>13.4</v>
      </c>
      <c r="H904" s="16">
        <v>26</v>
      </c>
      <c r="I904" s="16"/>
      <c r="J904" s="17">
        <v>348.40000000000003</v>
      </c>
      <c r="K904" s="22"/>
      <c r="L904" s="23"/>
      <c r="M904" s="23">
        <v>0</v>
      </c>
      <c r="N904" s="19">
        <v>26.8</v>
      </c>
      <c r="O904" s="19">
        <v>-67</v>
      </c>
      <c r="P904" s="48">
        <v>67</v>
      </c>
      <c r="Q904" s="17">
        <v>0</v>
      </c>
      <c r="R904" s="24">
        <v>348.40000000000003</v>
      </c>
      <c r="S904" s="18" t="s">
        <v>28</v>
      </c>
      <c r="T904" s="25">
        <v>22</v>
      </c>
    </row>
    <row r="905" spans="1:20" s="26" customFormat="1" x14ac:dyDescent="0.25">
      <c r="A905" s="16">
        <v>230873</v>
      </c>
      <c r="B905" s="30" t="s">
        <v>538</v>
      </c>
      <c r="C905" s="20" t="s">
        <v>649</v>
      </c>
      <c r="D905" s="20" t="s">
        <v>725</v>
      </c>
      <c r="E905" s="20" t="s">
        <v>3318</v>
      </c>
      <c r="F905" s="20" t="s">
        <v>3319</v>
      </c>
      <c r="G905" s="21">
        <v>13.4</v>
      </c>
      <c r="H905" s="16">
        <v>26</v>
      </c>
      <c r="I905" s="16">
        <v>1</v>
      </c>
      <c r="J905" s="17">
        <v>335</v>
      </c>
      <c r="K905" s="22"/>
      <c r="L905" s="23"/>
      <c r="M905" s="23">
        <v>0</v>
      </c>
      <c r="N905" s="19">
        <v>26.8</v>
      </c>
      <c r="O905" s="19">
        <v>-67</v>
      </c>
      <c r="P905" s="48">
        <v>67</v>
      </c>
      <c r="Q905" s="17">
        <v>0</v>
      </c>
      <c r="R905" s="24">
        <v>335</v>
      </c>
      <c r="S905" s="18" t="s">
        <v>28</v>
      </c>
      <c r="T905" s="25">
        <v>22</v>
      </c>
    </row>
    <row r="906" spans="1:20" s="26" customFormat="1" x14ac:dyDescent="0.25">
      <c r="A906" s="16">
        <v>231456</v>
      </c>
      <c r="B906" s="30" t="s">
        <v>794</v>
      </c>
      <c r="C906" s="20" t="s">
        <v>649</v>
      </c>
      <c r="D906" s="20" t="s">
        <v>725</v>
      </c>
      <c r="E906" s="20" t="s">
        <v>3320</v>
      </c>
      <c r="F906" s="20" t="s">
        <v>3321</v>
      </c>
      <c r="G906" s="21">
        <v>13.4</v>
      </c>
      <c r="H906" s="16">
        <v>26</v>
      </c>
      <c r="I906" s="16">
        <v>1</v>
      </c>
      <c r="J906" s="17">
        <v>335</v>
      </c>
      <c r="K906" s="22"/>
      <c r="L906" s="23"/>
      <c r="M906" s="23">
        <v>0</v>
      </c>
      <c r="N906" s="19">
        <v>26.8</v>
      </c>
      <c r="O906" s="19">
        <v>-67</v>
      </c>
      <c r="P906" s="48">
        <v>67</v>
      </c>
      <c r="Q906" s="17">
        <v>0</v>
      </c>
      <c r="R906" s="24">
        <v>335</v>
      </c>
      <c r="S906" s="18" t="s">
        <v>28</v>
      </c>
      <c r="T906" s="25">
        <v>22</v>
      </c>
    </row>
    <row r="907" spans="1:20" s="26" customFormat="1" x14ac:dyDescent="0.25">
      <c r="A907" s="16">
        <v>231994</v>
      </c>
      <c r="B907" s="30" t="s">
        <v>845</v>
      </c>
      <c r="C907" s="20" t="s">
        <v>649</v>
      </c>
      <c r="D907" s="20" t="s">
        <v>725</v>
      </c>
      <c r="E907" s="20" t="s">
        <v>3322</v>
      </c>
      <c r="F907" s="20" t="s">
        <v>3323</v>
      </c>
      <c r="G907" s="21">
        <v>13.4</v>
      </c>
      <c r="H907" s="16">
        <v>26</v>
      </c>
      <c r="I907" s="16">
        <v>1</v>
      </c>
      <c r="J907" s="17">
        <v>335</v>
      </c>
      <c r="K907" s="22"/>
      <c r="L907" s="23"/>
      <c r="M907" s="23">
        <v>0</v>
      </c>
      <c r="N907" s="19">
        <v>26.8</v>
      </c>
      <c r="O907" s="19">
        <v>-67</v>
      </c>
      <c r="P907" s="48">
        <v>67</v>
      </c>
      <c r="Q907" s="17">
        <v>0</v>
      </c>
      <c r="R907" s="24">
        <v>335</v>
      </c>
      <c r="S907" s="18" t="s">
        <v>28</v>
      </c>
      <c r="T907" s="25">
        <v>22</v>
      </c>
    </row>
    <row r="908" spans="1:20" s="26" customFormat="1" x14ac:dyDescent="0.25">
      <c r="A908" s="16">
        <v>234228</v>
      </c>
      <c r="B908" s="30" t="s">
        <v>1214</v>
      </c>
      <c r="C908" s="20" t="s">
        <v>649</v>
      </c>
      <c r="D908" s="20" t="s">
        <v>725</v>
      </c>
      <c r="E908" s="20" t="s">
        <v>3324</v>
      </c>
      <c r="F908" s="20" t="s">
        <v>3325</v>
      </c>
      <c r="G908" s="21">
        <v>13.4</v>
      </c>
      <c r="H908" s="16">
        <v>26</v>
      </c>
      <c r="I908" s="16"/>
      <c r="J908" s="17">
        <v>348.40000000000003</v>
      </c>
      <c r="K908" s="22"/>
      <c r="L908" s="23"/>
      <c r="M908" s="23">
        <v>0</v>
      </c>
      <c r="N908" s="19">
        <v>26.8</v>
      </c>
      <c r="O908" s="19">
        <v>-67</v>
      </c>
      <c r="P908" s="48">
        <v>67</v>
      </c>
      <c r="Q908" s="17">
        <v>0</v>
      </c>
      <c r="R908" s="24">
        <v>348.40000000000003</v>
      </c>
      <c r="S908" s="18" t="s">
        <v>28</v>
      </c>
      <c r="T908" s="25">
        <v>22</v>
      </c>
    </row>
    <row r="909" spans="1:20" s="26" customFormat="1" x14ac:dyDescent="0.25">
      <c r="A909" s="16">
        <v>229280</v>
      </c>
      <c r="B909" s="30" t="s">
        <v>1215</v>
      </c>
      <c r="C909" s="20" t="s">
        <v>650</v>
      </c>
      <c r="D909" s="20" t="s">
        <v>726</v>
      </c>
      <c r="E909" s="20" t="s">
        <v>3326</v>
      </c>
      <c r="F909" s="20" t="s">
        <v>3327</v>
      </c>
      <c r="G909" s="21">
        <v>13.4</v>
      </c>
      <c r="H909" s="16">
        <v>26</v>
      </c>
      <c r="I909" s="16"/>
      <c r="J909" s="17">
        <v>348.40000000000003</v>
      </c>
      <c r="K909" s="22"/>
      <c r="L909" s="23"/>
      <c r="M909" s="23">
        <v>0</v>
      </c>
      <c r="N909" s="19">
        <v>26.8</v>
      </c>
      <c r="O909" s="19">
        <v>-67</v>
      </c>
      <c r="P909" s="48">
        <v>67</v>
      </c>
      <c r="Q909" s="17">
        <v>0</v>
      </c>
      <c r="R909" s="24">
        <v>348.40000000000003</v>
      </c>
      <c r="S909" s="18" t="s">
        <v>28</v>
      </c>
      <c r="T909" s="25">
        <v>22</v>
      </c>
    </row>
    <row r="910" spans="1:20" s="26" customFormat="1" x14ac:dyDescent="0.25">
      <c r="A910" s="16">
        <v>231825</v>
      </c>
      <c r="B910" s="30" t="s">
        <v>846</v>
      </c>
      <c r="C910" s="20" t="s">
        <v>650</v>
      </c>
      <c r="D910" s="20" t="s">
        <v>726</v>
      </c>
      <c r="E910" s="20" t="s">
        <v>3328</v>
      </c>
      <c r="F910" s="20" t="s">
        <v>3329</v>
      </c>
      <c r="G910" s="21">
        <v>13.4</v>
      </c>
      <c r="H910" s="16">
        <v>26</v>
      </c>
      <c r="I910" s="16"/>
      <c r="J910" s="17">
        <v>348.40000000000003</v>
      </c>
      <c r="K910" s="22"/>
      <c r="L910" s="23"/>
      <c r="M910" s="23">
        <v>0</v>
      </c>
      <c r="N910" s="19">
        <v>26.8</v>
      </c>
      <c r="O910" s="19">
        <v>-67</v>
      </c>
      <c r="P910" s="48">
        <v>67</v>
      </c>
      <c r="Q910" s="17">
        <v>0</v>
      </c>
      <c r="R910" s="24">
        <v>348.40000000000003</v>
      </c>
      <c r="S910" s="18" t="s">
        <v>28</v>
      </c>
      <c r="T910" s="25">
        <v>22</v>
      </c>
    </row>
    <row r="911" spans="1:20" s="26" customFormat="1" x14ac:dyDescent="0.25">
      <c r="A911" s="16">
        <v>231899</v>
      </c>
      <c r="B911" s="30" t="s">
        <v>847</v>
      </c>
      <c r="C911" s="20" t="s">
        <v>650</v>
      </c>
      <c r="D911" s="20" t="s">
        <v>726</v>
      </c>
      <c r="E911" s="20" t="s">
        <v>3330</v>
      </c>
      <c r="F911" s="20" t="s">
        <v>3331</v>
      </c>
      <c r="G911" s="21">
        <v>13.4</v>
      </c>
      <c r="H911" s="16">
        <v>26</v>
      </c>
      <c r="I911" s="16">
        <v>3</v>
      </c>
      <c r="J911" s="17">
        <v>308.2</v>
      </c>
      <c r="K911" s="22"/>
      <c r="L911" s="23"/>
      <c r="M911" s="23">
        <v>0</v>
      </c>
      <c r="N911" s="19">
        <v>26.8</v>
      </c>
      <c r="O911" s="19">
        <v>-67</v>
      </c>
      <c r="P911" s="48">
        <v>67</v>
      </c>
      <c r="Q911" s="17">
        <v>0</v>
      </c>
      <c r="R911" s="24">
        <v>308.2</v>
      </c>
      <c r="S911" s="18" t="s">
        <v>28</v>
      </c>
      <c r="T911" s="25">
        <v>22</v>
      </c>
    </row>
    <row r="912" spans="1:20" s="26" customFormat="1" x14ac:dyDescent="0.25">
      <c r="A912" s="16">
        <v>232818</v>
      </c>
      <c r="B912" s="30" t="s">
        <v>945</v>
      </c>
      <c r="C912" s="20" t="s">
        <v>650</v>
      </c>
      <c r="D912" s="20" t="s">
        <v>726</v>
      </c>
      <c r="E912" s="20" t="s">
        <v>3332</v>
      </c>
      <c r="F912" s="20" t="s">
        <v>3333</v>
      </c>
      <c r="G912" s="21">
        <v>13.4</v>
      </c>
      <c r="H912" s="16">
        <v>26</v>
      </c>
      <c r="I912" s="16"/>
      <c r="J912" s="17">
        <v>348.40000000000003</v>
      </c>
      <c r="K912" s="22"/>
      <c r="L912" s="23"/>
      <c r="M912" s="23">
        <v>0</v>
      </c>
      <c r="N912" s="19">
        <v>26.8</v>
      </c>
      <c r="O912" s="19">
        <v>-67</v>
      </c>
      <c r="P912" s="48">
        <v>67</v>
      </c>
      <c r="Q912" s="17">
        <v>0</v>
      </c>
      <c r="R912" s="24">
        <v>348.40000000000003</v>
      </c>
      <c r="S912" s="18" t="s">
        <v>28</v>
      </c>
      <c r="T912" s="25">
        <v>22</v>
      </c>
    </row>
    <row r="913" spans="1:20" s="26" customFormat="1" x14ac:dyDescent="0.25">
      <c r="A913" s="16">
        <v>234588</v>
      </c>
      <c r="B913" s="30" t="s">
        <v>1326</v>
      </c>
      <c r="C913" s="20" t="s">
        <v>650</v>
      </c>
      <c r="D913" s="20" t="s">
        <v>726</v>
      </c>
      <c r="E913" s="20" t="s">
        <v>3334</v>
      </c>
      <c r="F913" s="20" t="s">
        <v>3335</v>
      </c>
      <c r="G913" s="21">
        <v>13.4</v>
      </c>
      <c r="H913" s="16">
        <v>26</v>
      </c>
      <c r="I913" s="16"/>
      <c r="J913" s="17">
        <v>348.40000000000003</v>
      </c>
      <c r="K913" s="22"/>
      <c r="L913" s="23"/>
      <c r="M913" s="23">
        <v>0</v>
      </c>
      <c r="N913" s="19">
        <v>26.8</v>
      </c>
      <c r="O913" s="19">
        <v>-67</v>
      </c>
      <c r="P913" s="48">
        <v>67</v>
      </c>
      <c r="Q913" s="17">
        <v>0</v>
      </c>
      <c r="R913" s="24">
        <v>348.40000000000003</v>
      </c>
      <c r="S913" s="18" t="s">
        <v>28</v>
      </c>
      <c r="T913" s="25">
        <v>22</v>
      </c>
    </row>
    <row r="914" spans="1:20" s="26" customFormat="1" x14ac:dyDescent="0.25">
      <c r="A914" s="16">
        <v>234919</v>
      </c>
      <c r="B914" s="30" t="s">
        <v>1491</v>
      </c>
      <c r="C914" s="20" t="s">
        <v>650</v>
      </c>
      <c r="D914" s="20" t="s">
        <v>726</v>
      </c>
      <c r="E914" s="20" t="s">
        <v>3336</v>
      </c>
      <c r="F914" s="20" t="s">
        <v>3337</v>
      </c>
      <c r="G914" s="21">
        <v>13.4</v>
      </c>
      <c r="H914" s="16">
        <v>26</v>
      </c>
      <c r="I914" s="16">
        <v>1</v>
      </c>
      <c r="J914" s="17">
        <v>335</v>
      </c>
      <c r="K914" s="22"/>
      <c r="L914" s="23"/>
      <c r="M914" s="23">
        <v>0</v>
      </c>
      <c r="N914" s="19">
        <v>26.8</v>
      </c>
      <c r="O914" s="19">
        <v>-67</v>
      </c>
      <c r="P914" s="48">
        <v>67</v>
      </c>
      <c r="Q914" s="17">
        <v>0</v>
      </c>
      <c r="R914" s="24">
        <v>335</v>
      </c>
      <c r="S914" s="18" t="s">
        <v>28</v>
      </c>
      <c r="T914" s="25">
        <v>22</v>
      </c>
    </row>
    <row r="915" spans="1:20" s="26" customFormat="1" x14ac:dyDescent="0.25">
      <c r="A915" s="16">
        <v>234920</v>
      </c>
      <c r="B915" s="30" t="s">
        <v>1492</v>
      </c>
      <c r="C915" s="20" t="s">
        <v>650</v>
      </c>
      <c r="D915" s="20" t="s">
        <v>726</v>
      </c>
      <c r="E915" s="20" t="s">
        <v>3338</v>
      </c>
      <c r="F915" s="20" t="s">
        <v>3339</v>
      </c>
      <c r="G915" s="21">
        <v>13.4</v>
      </c>
      <c r="H915" s="16">
        <v>26</v>
      </c>
      <c r="I915" s="16"/>
      <c r="J915" s="17">
        <v>348.40000000000003</v>
      </c>
      <c r="K915" s="22"/>
      <c r="L915" s="23">
        <v>11.9</v>
      </c>
      <c r="M915" s="23">
        <v>11.9</v>
      </c>
      <c r="N915" s="19">
        <v>26.8</v>
      </c>
      <c r="O915" s="19">
        <v>-55.1</v>
      </c>
      <c r="P915" s="48">
        <v>67</v>
      </c>
      <c r="Q915" s="17">
        <v>0</v>
      </c>
      <c r="R915" s="24">
        <v>348.40000000000003</v>
      </c>
      <c r="S915" s="18" t="s">
        <v>28</v>
      </c>
      <c r="T915" s="25">
        <v>22</v>
      </c>
    </row>
    <row r="916" spans="1:20" s="26" customFormat="1" x14ac:dyDescent="0.25">
      <c r="A916" s="16">
        <v>234960</v>
      </c>
      <c r="B916" s="30" t="s">
        <v>1493</v>
      </c>
      <c r="C916" s="20" t="s">
        <v>650</v>
      </c>
      <c r="D916" s="20" t="s">
        <v>726</v>
      </c>
      <c r="E916" s="20" t="s">
        <v>3340</v>
      </c>
      <c r="F916" s="20" t="s">
        <v>3341</v>
      </c>
      <c r="G916" s="21">
        <v>13.4</v>
      </c>
      <c r="H916" s="16">
        <v>26</v>
      </c>
      <c r="I916" s="16"/>
      <c r="J916" s="17">
        <v>348.40000000000003</v>
      </c>
      <c r="K916" s="22"/>
      <c r="L916" s="23">
        <v>35.700000000000003</v>
      </c>
      <c r="M916" s="23">
        <v>35.700000000000003</v>
      </c>
      <c r="N916" s="19">
        <v>26.8</v>
      </c>
      <c r="O916" s="19">
        <v>-31.299999999999997</v>
      </c>
      <c r="P916" s="48">
        <v>67</v>
      </c>
      <c r="Q916" s="17">
        <v>0</v>
      </c>
      <c r="R916" s="24">
        <v>348.40000000000003</v>
      </c>
      <c r="S916" s="18" t="s">
        <v>28</v>
      </c>
      <c r="T916" s="25">
        <v>22</v>
      </c>
    </row>
    <row r="917" spans="1:20" s="26" customFormat="1" x14ac:dyDescent="0.25">
      <c r="A917" s="16">
        <v>208792</v>
      </c>
      <c r="B917" s="30" t="s">
        <v>431</v>
      </c>
      <c r="C917" s="20" t="s">
        <v>651</v>
      </c>
      <c r="D917" s="20" t="s">
        <v>717</v>
      </c>
      <c r="E917" s="20" t="s">
        <v>3342</v>
      </c>
      <c r="F917" s="20" t="s">
        <v>3343</v>
      </c>
      <c r="G917" s="21">
        <v>13.4</v>
      </c>
      <c r="H917" s="16">
        <v>16</v>
      </c>
      <c r="I917" s="16"/>
      <c r="J917" s="17">
        <v>214.4</v>
      </c>
      <c r="K917" s="22"/>
      <c r="L917" s="23"/>
      <c r="M917" s="23">
        <v>0</v>
      </c>
      <c r="N917" s="19">
        <v>26.8</v>
      </c>
      <c r="O917" s="19">
        <v>-67</v>
      </c>
      <c r="P917" s="48">
        <v>67</v>
      </c>
      <c r="Q917" s="17">
        <v>0</v>
      </c>
      <c r="R917" s="24">
        <v>214.4</v>
      </c>
      <c r="S917" s="18" t="s">
        <v>28</v>
      </c>
      <c r="T917" s="25">
        <v>22</v>
      </c>
    </row>
    <row r="918" spans="1:20" s="26" customFormat="1" x14ac:dyDescent="0.25">
      <c r="A918" s="16">
        <v>212791</v>
      </c>
      <c r="B918" s="30" t="s">
        <v>432</v>
      </c>
      <c r="C918" s="20" t="s">
        <v>651</v>
      </c>
      <c r="D918" s="20" t="s">
        <v>719</v>
      </c>
      <c r="E918" s="20" t="s">
        <v>3344</v>
      </c>
      <c r="F918" s="20" t="s">
        <v>3345</v>
      </c>
      <c r="G918" s="21">
        <v>13.4</v>
      </c>
      <c r="H918" s="16">
        <v>16</v>
      </c>
      <c r="I918" s="16"/>
      <c r="J918" s="17">
        <v>214.4</v>
      </c>
      <c r="K918" s="22"/>
      <c r="L918" s="23"/>
      <c r="M918" s="23">
        <v>0</v>
      </c>
      <c r="N918" s="19">
        <v>26.8</v>
      </c>
      <c r="O918" s="19">
        <v>-67</v>
      </c>
      <c r="P918" s="48">
        <v>67</v>
      </c>
      <c r="Q918" s="17">
        <v>0</v>
      </c>
      <c r="R918" s="24">
        <v>214.4</v>
      </c>
      <c r="S918" s="18" t="s">
        <v>28</v>
      </c>
      <c r="T918" s="25">
        <v>22</v>
      </c>
    </row>
    <row r="919" spans="1:20" s="26" customFormat="1" x14ac:dyDescent="0.25">
      <c r="A919" s="16">
        <v>220885</v>
      </c>
      <c r="B919" s="30" t="s">
        <v>433</v>
      </c>
      <c r="C919" s="20" t="s">
        <v>651</v>
      </c>
      <c r="D919" s="20" t="s">
        <v>717</v>
      </c>
      <c r="E919" s="20" t="s">
        <v>3346</v>
      </c>
      <c r="F919" s="20" t="s">
        <v>3347</v>
      </c>
      <c r="G919" s="21">
        <v>13.4</v>
      </c>
      <c r="H919" s="16">
        <v>16</v>
      </c>
      <c r="I919" s="16"/>
      <c r="J919" s="17">
        <v>214.4</v>
      </c>
      <c r="K919" s="22"/>
      <c r="L919" s="23"/>
      <c r="M919" s="23">
        <v>0</v>
      </c>
      <c r="N919" s="19">
        <v>26.8</v>
      </c>
      <c r="O919" s="19">
        <v>-67</v>
      </c>
      <c r="P919" s="48">
        <v>67</v>
      </c>
      <c r="Q919" s="17">
        <v>0</v>
      </c>
      <c r="R919" s="24">
        <v>214.4</v>
      </c>
      <c r="S919" s="18" t="s">
        <v>28</v>
      </c>
      <c r="T919" s="25">
        <v>22</v>
      </c>
    </row>
    <row r="920" spans="1:20" s="26" customFormat="1" x14ac:dyDescent="0.25">
      <c r="A920" s="16">
        <v>221015</v>
      </c>
      <c r="B920" s="30" t="s">
        <v>435</v>
      </c>
      <c r="C920" s="20" t="s">
        <v>651</v>
      </c>
      <c r="D920" s="20" t="s">
        <v>719</v>
      </c>
      <c r="E920" s="20" t="s">
        <v>3348</v>
      </c>
      <c r="F920" s="20" t="s">
        <v>3349</v>
      </c>
      <c r="G920" s="21">
        <v>18.8</v>
      </c>
      <c r="H920" s="16">
        <v>16</v>
      </c>
      <c r="I920" s="16"/>
      <c r="J920" s="17">
        <v>300.8</v>
      </c>
      <c r="K920" s="22"/>
      <c r="L920" s="23"/>
      <c r="M920" s="23">
        <v>0</v>
      </c>
      <c r="N920" s="19">
        <v>37.6</v>
      </c>
      <c r="O920" s="19">
        <v>-94</v>
      </c>
      <c r="P920" s="48">
        <v>94</v>
      </c>
      <c r="Q920" s="17">
        <v>0</v>
      </c>
      <c r="R920" s="24">
        <v>300.8</v>
      </c>
      <c r="S920" s="18" t="s">
        <v>28</v>
      </c>
      <c r="T920" s="25">
        <v>22</v>
      </c>
    </row>
    <row r="921" spans="1:20" s="26" customFormat="1" x14ac:dyDescent="0.25">
      <c r="A921" s="16">
        <v>221745</v>
      </c>
      <c r="B921" s="30" t="s">
        <v>1216</v>
      </c>
      <c r="C921" s="20" t="s">
        <v>651</v>
      </c>
      <c r="D921" s="20" t="s">
        <v>727</v>
      </c>
      <c r="E921" s="20" t="s">
        <v>3350</v>
      </c>
      <c r="F921" s="20" t="s">
        <v>3351</v>
      </c>
      <c r="G921" s="21">
        <v>13.4</v>
      </c>
      <c r="H921" s="16">
        <v>26</v>
      </c>
      <c r="I921" s="16"/>
      <c r="J921" s="17">
        <v>348.40000000000003</v>
      </c>
      <c r="K921" s="22"/>
      <c r="L921" s="23"/>
      <c r="M921" s="23">
        <v>0</v>
      </c>
      <c r="N921" s="19">
        <v>26.8</v>
      </c>
      <c r="O921" s="19">
        <v>-67</v>
      </c>
      <c r="P921" s="48">
        <v>67</v>
      </c>
      <c r="Q921" s="17">
        <v>0</v>
      </c>
      <c r="R921" s="24">
        <v>348.40000000000003</v>
      </c>
      <c r="S921" s="18" t="s">
        <v>28</v>
      </c>
      <c r="T921" s="25">
        <v>22</v>
      </c>
    </row>
    <row r="922" spans="1:20" s="26" customFormat="1" x14ac:dyDescent="0.25">
      <c r="A922" s="16">
        <v>222046</v>
      </c>
      <c r="B922" s="30" t="s">
        <v>436</v>
      </c>
      <c r="C922" s="20" t="s">
        <v>651</v>
      </c>
      <c r="D922" s="20" t="s">
        <v>719</v>
      </c>
      <c r="E922" s="20" t="s">
        <v>3352</v>
      </c>
      <c r="F922" s="20" t="s">
        <v>3353</v>
      </c>
      <c r="G922" s="21">
        <v>13.4</v>
      </c>
      <c r="H922" s="16">
        <v>16</v>
      </c>
      <c r="I922" s="16"/>
      <c r="J922" s="17">
        <v>214.4</v>
      </c>
      <c r="K922" s="22"/>
      <c r="L922" s="23"/>
      <c r="M922" s="23">
        <v>0</v>
      </c>
      <c r="N922" s="19">
        <v>26.8</v>
      </c>
      <c r="O922" s="19">
        <v>-67</v>
      </c>
      <c r="P922" s="48">
        <v>67</v>
      </c>
      <c r="Q922" s="17">
        <v>0</v>
      </c>
      <c r="R922" s="24">
        <v>214.4</v>
      </c>
      <c r="S922" s="18" t="s">
        <v>28</v>
      </c>
      <c r="T922" s="25">
        <v>22</v>
      </c>
    </row>
    <row r="923" spans="1:20" s="26" customFormat="1" x14ac:dyDescent="0.25">
      <c r="A923" s="16">
        <v>222103</v>
      </c>
      <c r="B923" s="30" t="s">
        <v>1494</v>
      </c>
      <c r="C923" s="20" t="s">
        <v>651</v>
      </c>
      <c r="D923" s="20" t="s">
        <v>719</v>
      </c>
      <c r="E923" s="20" t="s">
        <v>3354</v>
      </c>
      <c r="F923" s="20" t="s">
        <v>3355</v>
      </c>
      <c r="G923" s="21">
        <v>13.4</v>
      </c>
      <c r="H923" s="16">
        <v>16</v>
      </c>
      <c r="I923" s="16"/>
      <c r="J923" s="17">
        <v>214.4</v>
      </c>
      <c r="K923" s="22"/>
      <c r="L923" s="23"/>
      <c r="M923" s="23">
        <v>0</v>
      </c>
      <c r="N923" s="19">
        <v>26.8</v>
      </c>
      <c r="O923" s="19">
        <v>-67</v>
      </c>
      <c r="P923" s="48">
        <v>67</v>
      </c>
      <c r="Q923" s="17">
        <v>0</v>
      </c>
      <c r="R923" s="24">
        <v>214.4</v>
      </c>
      <c r="S923" s="18" t="s">
        <v>28</v>
      </c>
      <c r="T923" s="25">
        <v>22</v>
      </c>
    </row>
    <row r="924" spans="1:20" s="26" customFormat="1" x14ac:dyDescent="0.25">
      <c r="A924" s="16">
        <v>222157</v>
      </c>
      <c r="B924" s="30" t="s">
        <v>1495</v>
      </c>
      <c r="C924" s="20" t="s">
        <v>651</v>
      </c>
      <c r="D924" s="20" t="s">
        <v>719</v>
      </c>
      <c r="E924" s="20" t="s">
        <v>3356</v>
      </c>
      <c r="F924" s="20" t="s">
        <v>3357</v>
      </c>
      <c r="G924" s="21">
        <v>13.4</v>
      </c>
      <c r="H924" s="16">
        <v>16</v>
      </c>
      <c r="I924" s="16">
        <v>1</v>
      </c>
      <c r="J924" s="17">
        <v>201</v>
      </c>
      <c r="K924" s="22"/>
      <c r="L924" s="23"/>
      <c r="M924" s="23">
        <v>0</v>
      </c>
      <c r="N924" s="19">
        <v>26.8</v>
      </c>
      <c r="O924" s="19">
        <v>-67</v>
      </c>
      <c r="P924" s="48">
        <v>67</v>
      </c>
      <c r="Q924" s="17">
        <v>0</v>
      </c>
      <c r="R924" s="24">
        <v>201</v>
      </c>
      <c r="S924" s="18" t="s">
        <v>28</v>
      </c>
      <c r="T924" s="25">
        <v>22</v>
      </c>
    </row>
    <row r="925" spans="1:20" s="26" customFormat="1" x14ac:dyDescent="0.25">
      <c r="A925" s="16">
        <v>222205</v>
      </c>
      <c r="B925" s="30" t="s">
        <v>1217</v>
      </c>
      <c r="C925" s="20" t="s">
        <v>651</v>
      </c>
      <c r="D925" s="20" t="s">
        <v>719</v>
      </c>
      <c r="E925" s="20" t="s">
        <v>3358</v>
      </c>
      <c r="F925" s="20" t="s">
        <v>3359</v>
      </c>
      <c r="G925" s="21">
        <v>18.8</v>
      </c>
      <c r="H925" s="16">
        <v>16</v>
      </c>
      <c r="I925" s="16"/>
      <c r="J925" s="17">
        <v>300.8</v>
      </c>
      <c r="K925" s="22"/>
      <c r="L925" s="23"/>
      <c r="M925" s="23">
        <v>0</v>
      </c>
      <c r="N925" s="19">
        <v>37.6</v>
      </c>
      <c r="O925" s="19">
        <v>-94</v>
      </c>
      <c r="P925" s="48">
        <v>94</v>
      </c>
      <c r="Q925" s="17">
        <v>0</v>
      </c>
      <c r="R925" s="24">
        <v>300.8</v>
      </c>
      <c r="S925" s="18" t="s">
        <v>28</v>
      </c>
      <c r="T925" s="25">
        <v>22</v>
      </c>
    </row>
    <row r="926" spans="1:20" s="26" customFormat="1" x14ac:dyDescent="0.25">
      <c r="A926" s="16">
        <v>222208</v>
      </c>
      <c r="B926" s="30" t="s">
        <v>437</v>
      </c>
      <c r="C926" s="20" t="s">
        <v>651</v>
      </c>
      <c r="D926" s="20" t="s">
        <v>747</v>
      </c>
      <c r="E926" s="20" t="s">
        <v>3360</v>
      </c>
      <c r="F926" s="20" t="s">
        <v>3361</v>
      </c>
      <c r="G926" s="21">
        <v>13.7</v>
      </c>
      <c r="H926" s="16">
        <v>16</v>
      </c>
      <c r="I926" s="16"/>
      <c r="J926" s="17">
        <v>219.2</v>
      </c>
      <c r="K926" s="22"/>
      <c r="L926" s="23"/>
      <c r="M926" s="23">
        <v>0</v>
      </c>
      <c r="N926" s="19">
        <v>27.4</v>
      </c>
      <c r="O926" s="19">
        <v>-68.5</v>
      </c>
      <c r="P926" s="48">
        <v>68.5</v>
      </c>
      <c r="Q926" s="17">
        <v>0</v>
      </c>
      <c r="R926" s="24">
        <v>219.2</v>
      </c>
      <c r="S926" s="18" t="s">
        <v>28</v>
      </c>
      <c r="T926" s="25">
        <v>22</v>
      </c>
    </row>
    <row r="927" spans="1:20" s="26" customFormat="1" x14ac:dyDescent="0.25">
      <c r="A927" s="16">
        <v>222236</v>
      </c>
      <c r="B927" s="30" t="s">
        <v>438</v>
      </c>
      <c r="C927" s="20" t="s">
        <v>651</v>
      </c>
      <c r="D927" s="20" t="s">
        <v>719</v>
      </c>
      <c r="E927" s="20" t="s">
        <v>3362</v>
      </c>
      <c r="F927" s="20" t="s">
        <v>3363</v>
      </c>
      <c r="G927" s="21">
        <v>13.7</v>
      </c>
      <c r="H927" s="16">
        <v>16</v>
      </c>
      <c r="I927" s="16"/>
      <c r="J927" s="17">
        <v>219.2</v>
      </c>
      <c r="K927" s="22"/>
      <c r="L927" s="23"/>
      <c r="M927" s="23">
        <v>0</v>
      </c>
      <c r="N927" s="19">
        <v>27.4</v>
      </c>
      <c r="O927" s="19">
        <v>-68.5</v>
      </c>
      <c r="P927" s="48">
        <v>68.5</v>
      </c>
      <c r="Q927" s="17">
        <v>0</v>
      </c>
      <c r="R927" s="24">
        <v>219.2</v>
      </c>
      <c r="S927" s="18" t="s">
        <v>28</v>
      </c>
      <c r="T927" s="25">
        <v>22</v>
      </c>
    </row>
    <row r="928" spans="1:20" s="26" customFormat="1" x14ac:dyDescent="0.25">
      <c r="A928" s="16">
        <v>222406</v>
      </c>
      <c r="B928" s="30" t="s">
        <v>439</v>
      </c>
      <c r="C928" s="20" t="s">
        <v>651</v>
      </c>
      <c r="D928" s="20" t="s">
        <v>716</v>
      </c>
      <c r="E928" s="20" t="s">
        <v>3364</v>
      </c>
      <c r="F928" s="20" t="s">
        <v>3365</v>
      </c>
      <c r="G928" s="21">
        <v>13.4</v>
      </c>
      <c r="H928" s="16">
        <v>26</v>
      </c>
      <c r="I928" s="16"/>
      <c r="J928" s="17">
        <v>348.40000000000003</v>
      </c>
      <c r="K928" s="22"/>
      <c r="L928" s="23"/>
      <c r="M928" s="23">
        <v>0</v>
      </c>
      <c r="N928" s="19">
        <v>26.8</v>
      </c>
      <c r="O928" s="19">
        <v>-67</v>
      </c>
      <c r="P928" s="48">
        <v>67</v>
      </c>
      <c r="Q928" s="17">
        <v>0</v>
      </c>
      <c r="R928" s="24">
        <v>348.40000000000003</v>
      </c>
      <c r="S928" s="18" t="s">
        <v>28</v>
      </c>
      <c r="T928" s="25">
        <v>22</v>
      </c>
    </row>
    <row r="929" spans="1:20" s="26" customFormat="1" x14ac:dyDescent="0.25">
      <c r="A929" s="16">
        <v>223023</v>
      </c>
      <c r="B929" s="30" t="s">
        <v>1218</v>
      </c>
      <c r="C929" s="20" t="s">
        <v>651</v>
      </c>
      <c r="D929" s="20" t="s">
        <v>719</v>
      </c>
      <c r="E929" s="20" t="s">
        <v>3366</v>
      </c>
      <c r="F929" s="20" t="s">
        <v>3367</v>
      </c>
      <c r="G929" s="21">
        <v>13.4</v>
      </c>
      <c r="H929" s="16">
        <v>16</v>
      </c>
      <c r="I929" s="16"/>
      <c r="J929" s="17">
        <v>214.4</v>
      </c>
      <c r="K929" s="22"/>
      <c r="L929" s="23"/>
      <c r="M929" s="23">
        <v>0</v>
      </c>
      <c r="N929" s="19">
        <v>26.8</v>
      </c>
      <c r="O929" s="19">
        <v>-67</v>
      </c>
      <c r="P929" s="48">
        <v>67</v>
      </c>
      <c r="Q929" s="17">
        <v>0</v>
      </c>
      <c r="R929" s="24">
        <v>214.4</v>
      </c>
      <c r="S929" s="18" t="s">
        <v>28</v>
      </c>
      <c r="T929" s="25">
        <v>22</v>
      </c>
    </row>
    <row r="930" spans="1:20" s="26" customFormat="1" x14ac:dyDescent="0.25">
      <c r="A930" s="16">
        <v>223457</v>
      </c>
      <c r="B930" s="30" t="s">
        <v>1496</v>
      </c>
      <c r="C930" s="20" t="s">
        <v>651</v>
      </c>
      <c r="D930" s="20" t="s">
        <v>717</v>
      </c>
      <c r="E930" s="20" t="s">
        <v>3368</v>
      </c>
      <c r="F930" s="20" t="s">
        <v>3369</v>
      </c>
      <c r="G930" s="21">
        <v>13.4</v>
      </c>
      <c r="H930" s="16">
        <v>16</v>
      </c>
      <c r="I930" s="16"/>
      <c r="J930" s="17">
        <v>214.4</v>
      </c>
      <c r="K930" s="22"/>
      <c r="L930" s="23"/>
      <c r="M930" s="23">
        <v>0</v>
      </c>
      <c r="N930" s="19">
        <v>26.8</v>
      </c>
      <c r="O930" s="19">
        <v>-67</v>
      </c>
      <c r="P930" s="48">
        <v>67</v>
      </c>
      <c r="Q930" s="17">
        <v>0</v>
      </c>
      <c r="R930" s="24">
        <v>214.4</v>
      </c>
      <c r="S930" s="18" t="s">
        <v>28</v>
      </c>
      <c r="T930" s="25">
        <v>22</v>
      </c>
    </row>
    <row r="931" spans="1:20" s="26" customFormat="1" x14ac:dyDescent="0.25">
      <c r="A931" s="16">
        <v>224379</v>
      </c>
      <c r="B931" s="30" t="s">
        <v>442</v>
      </c>
      <c r="C931" s="20" t="s">
        <v>651</v>
      </c>
      <c r="D931" s="20" t="s">
        <v>719</v>
      </c>
      <c r="E931" s="20" t="s">
        <v>3370</v>
      </c>
      <c r="F931" s="20" t="s">
        <v>3371</v>
      </c>
      <c r="G931" s="21">
        <v>13.4</v>
      </c>
      <c r="H931" s="16">
        <v>3</v>
      </c>
      <c r="I931" s="16"/>
      <c r="J931" s="17">
        <v>40.200000000000003</v>
      </c>
      <c r="K931" s="22"/>
      <c r="L931" s="23"/>
      <c r="M931" s="23">
        <v>0</v>
      </c>
      <c r="N931" s="19">
        <v>26.8</v>
      </c>
      <c r="O931" s="19">
        <v>-67</v>
      </c>
      <c r="P931" s="48">
        <v>67</v>
      </c>
      <c r="Q931" s="17">
        <v>0</v>
      </c>
      <c r="R931" s="24">
        <v>40.200000000000003</v>
      </c>
      <c r="S931" s="18" t="s">
        <v>28</v>
      </c>
      <c r="T931" s="25">
        <v>22</v>
      </c>
    </row>
    <row r="932" spans="1:20" s="26" customFormat="1" x14ac:dyDescent="0.25">
      <c r="A932" s="16">
        <v>224572</v>
      </c>
      <c r="B932" s="30" t="s">
        <v>443</v>
      </c>
      <c r="C932" s="20" t="s">
        <v>651</v>
      </c>
      <c r="D932" s="20" t="s">
        <v>717</v>
      </c>
      <c r="E932" s="20" t="s">
        <v>3372</v>
      </c>
      <c r="F932" s="20" t="s">
        <v>3373</v>
      </c>
      <c r="G932" s="21">
        <v>13.4</v>
      </c>
      <c r="H932" s="16">
        <v>16</v>
      </c>
      <c r="I932" s="16"/>
      <c r="J932" s="17">
        <v>214.4</v>
      </c>
      <c r="K932" s="22"/>
      <c r="L932" s="23"/>
      <c r="M932" s="23">
        <v>0</v>
      </c>
      <c r="N932" s="19">
        <v>26.8</v>
      </c>
      <c r="O932" s="19">
        <v>-67</v>
      </c>
      <c r="P932" s="48">
        <v>67</v>
      </c>
      <c r="Q932" s="17">
        <v>0</v>
      </c>
      <c r="R932" s="24">
        <v>214.4</v>
      </c>
      <c r="S932" s="18" t="s">
        <v>28</v>
      </c>
      <c r="T932" s="25">
        <v>22</v>
      </c>
    </row>
    <row r="933" spans="1:20" s="26" customFormat="1" x14ac:dyDescent="0.25">
      <c r="A933" s="16">
        <v>224924</v>
      </c>
      <c r="B933" s="30" t="s">
        <v>1219</v>
      </c>
      <c r="C933" s="20" t="s">
        <v>651</v>
      </c>
      <c r="D933" s="20" t="s">
        <v>719</v>
      </c>
      <c r="E933" s="20" t="s">
        <v>3374</v>
      </c>
      <c r="F933" s="20" t="s">
        <v>3375</v>
      </c>
      <c r="G933" s="21">
        <v>13.4</v>
      </c>
      <c r="H933" s="16">
        <v>16</v>
      </c>
      <c r="I933" s="16"/>
      <c r="J933" s="17">
        <v>214.4</v>
      </c>
      <c r="K933" s="22"/>
      <c r="L933" s="23"/>
      <c r="M933" s="23">
        <v>0</v>
      </c>
      <c r="N933" s="19">
        <v>26.8</v>
      </c>
      <c r="O933" s="19">
        <v>-67</v>
      </c>
      <c r="P933" s="48">
        <v>67</v>
      </c>
      <c r="Q933" s="17">
        <v>0</v>
      </c>
      <c r="R933" s="24">
        <v>214.4</v>
      </c>
      <c r="S933" s="18" t="s">
        <v>28</v>
      </c>
      <c r="T933" s="25">
        <v>22</v>
      </c>
    </row>
    <row r="934" spans="1:20" s="26" customFormat="1" x14ac:dyDescent="0.25">
      <c r="A934" s="16">
        <v>224971</v>
      </c>
      <c r="B934" s="30" t="s">
        <v>444</v>
      </c>
      <c r="C934" s="20" t="s">
        <v>651</v>
      </c>
      <c r="D934" s="20" t="s">
        <v>719</v>
      </c>
      <c r="E934" s="20" t="s">
        <v>3376</v>
      </c>
      <c r="F934" s="20" t="s">
        <v>3377</v>
      </c>
      <c r="G934" s="21">
        <v>14.2</v>
      </c>
      <c r="H934" s="16">
        <v>16</v>
      </c>
      <c r="I934" s="16"/>
      <c r="J934" s="17">
        <v>227.2</v>
      </c>
      <c r="K934" s="22"/>
      <c r="L934" s="23"/>
      <c r="M934" s="23">
        <v>0</v>
      </c>
      <c r="N934" s="19">
        <v>28.4</v>
      </c>
      <c r="O934" s="19">
        <v>-71</v>
      </c>
      <c r="P934" s="48">
        <v>71</v>
      </c>
      <c r="Q934" s="17">
        <v>0</v>
      </c>
      <c r="R934" s="24">
        <v>227.2</v>
      </c>
      <c r="S934" s="18" t="s">
        <v>28</v>
      </c>
      <c r="T934" s="25">
        <v>22</v>
      </c>
    </row>
    <row r="935" spans="1:20" s="26" customFormat="1" x14ac:dyDescent="0.25">
      <c r="A935" s="16">
        <v>225047</v>
      </c>
      <c r="B935" s="30" t="s">
        <v>445</v>
      </c>
      <c r="C935" s="20" t="s">
        <v>651</v>
      </c>
      <c r="D935" s="20" t="s">
        <v>717</v>
      </c>
      <c r="E935" s="20" t="s">
        <v>3378</v>
      </c>
      <c r="F935" s="20" t="s">
        <v>3379</v>
      </c>
      <c r="G935" s="21">
        <v>18.8</v>
      </c>
      <c r="H935" s="16">
        <v>16</v>
      </c>
      <c r="I935" s="16"/>
      <c r="J935" s="17">
        <v>300.8</v>
      </c>
      <c r="K935" s="22"/>
      <c r="L935" s="23"/>
      <c r="M935" s="23">
        <v>0</v>
      </c>
      <c r="N935" s="19">
        <v>37.6</v>
      </c>
      <c r="O935" s="19">
        <v>-94</v>
      </c>
      <c r="P935" s="48">
        <v>94</v>
      </c>
      <c r="Q935" s="17">
        <v>0</v>
      </c>
      <c r="R935" s="24">
        <v>300.8</v>
      </c>
      <c r="S935" s="18" t="s">
        <v>28</v>
      </c>
      <c r="T935" s="25">
        <v>22</v>
      </c>
    </row>
    <row r="936" spans="1:20" s="26" customFormat="1" x14ac:dyDescent="0.25">
      <c r="A936" s="16">
        <v>225065</v>
      </c>
      <c r="B936" s="30" t="s">
        <v>1093</v>
      </c>
      <c r="C936" s="20" t="s">
        <v>651</v>
      </c>
      <c r="D936" s="20" t="s">
        <v>719</v>
      </c>
      <c r="E936" s="20" t="s">
        <v>3380</v>
      </c>
      <c r="F936" s="20" t="s">
        <v>3381</v>
      </c>
      <c r="G936" s="21">
        <v>13.7</v>
      </c>
      <c r="H936" s="16">
        <v>16</v>
      </c>
      <c r="I936" s="16"/>
      <c r="J936" s="17">
        <v>219.2</v>
      </c>
      <c r="K936" s="22"/>
      <c r="L936" s="23"/>
      <c r="M936" s="23">
        <v>0</v>
      </c>
      <c r="N936" s="19">
        <v>27.4</v>
      </c>
      <c r="O936" s="19">
        <v>-68.5</v>
      </c>
      <c r="P936" s="48">
        <v>68.5</v>
      </c>
      <c r="Q936" s="17">
        <v>0</v>
      </c>
      <c r="R936" s="24">
        <v>219.2</v>
      </c>
      <c r="S936" s="18" t="s">
        <v>28</v>
      </c>
      <c r="T936" s="25">
        <v>22</v>
      </c>
    </row>
    <row r="937" spans="1:20" s="26" customFormat="1" x14ac:dyDescent="0.25">
      <c r="A937" s="16">
        <v>225816</v>
      </c>
      <c r="B937" s="30" t="s">
        <v>446</v>
      </c>
      <c r="C937" s="20" t="s">
        <v>651</v>
      </c>
      <c r="D937" s="20" t="s">
        <v>719</v>
      </c>
      <c r="E937" s="20" t="s">
        <v>3382</v>
      </c>
      <c r="F937" s="20" t="s">
        <v>3383</v>
      </c>
      <c r="G937" s="21">
        <v>13.4</v>
      </c>
      <c r="H937" s="16">
        <v>16</v>
      </c>
      <c r="I937" s="16"/>
      <c r="J937" s="17">
        <v>214.4</v>
      </c>
      <c r="K937" s="22"/>
      <c r="L937" s="23"/>
      <c r="M937" s="23">
        <v>0</v>
      </c>
      <c r="N937" s="19">
        <v>26.8</v>
      </c>
      <c r="O937" s="19">
        <v>-67</v>
      </c>
      <c r="P937" s="48">
        <v>67</v>
      </c>
      <c r="Q937" s="17">
        <v>0</v>
      </c>
      <c r="R937" s="24">
        <v>214.4</v>
      </c>
      <c r="S937" s="18" t="s">
        <v>28</v>
      </c>
      <c r="T937" s="25">
        <v>22</v>
      </c>
    </row>
    <row r="938" spans="1:20" s="26" customFormat="1" x14ac:dyDescent="0.25">
      <c r="A938" s="16">
        <v>226160</v>
      </c>
      <c r="B938" s="30" t="s">
        <v>447</v>
      </c>
      <c r="C938" s="20" t="s">
        <v>651</v>
      </c>
      <c r="D938" s="20" t="s">
        <v>719</v>
      </c>
      <c r="E938" s="20" t="s">
        <v>3384</v>
      </c>
      <c r="F938" s="20" t="s">
        <v>3385</v>
      </c>
      <c r="G938" s="21">
        <v>13.4</v>
      </c>
      <c r="H938" s="16">
        <v>16</v>
      </c>
      <c r="I938" s="16"/>
      <c r="J938" s="17">
        <v>214.4</v>
      </c>
      <c r="K938" s="22"/>
      <c r="L938" s="23"/>
      <c r="M938" s="23">
        <v>0</v>
      </c>
      <c r="N938" s="19">
        <v>26.8</v>
      </c>
      <c r="O938" s="19">
        <v>-67</v>
      </c>
      <c r="P938" s="48">
        <v>67</v>
      </c>
      <c r="Q938" s="17">
        <v>0</v>
      </c>
      <c r="R938" s="24">
        <v>214.4</v>
      </c>
      <c r="S938" s="18" t="s">
        <v>28</v>
      </c>
      <c r="T938" s="25">
        <v>22</v>
      </c>
    </row>
    <row r="939" spans="1:20" s="26" customFormat="1" x14ac:dyDescent="0.25">
      <c r="A939" s="16">
        <v>226883</v>
      </c>
      <c r="B939" s="30" t="s">
        <v>448</v>
      </c>
      <c r="C939" s="20" t="s">
        <v>651</v>
      </c>
      <c r="D939" s="20" t="s">
        <v>716</v>
      </c>
      <c r="E939" s="20" t="s">
        <v>3386</v>
      </c>
      <c r="F939" s="20" t="s">
        <v>3387</v>
      </c>
      <c r="G939" s="21">
        <v>15.4</v>
      </c>
      <c r="H939" s="16">
        <v>16</v>
      </c>
      <c r="I939" s="16"/>
      <c r="J939" s="17">
        <v>246.4</v>
      </c>
      <c r="K939" s="22"/>
      <c r="L939" s="23"/>
      <c r="M939" s="23">
        <v>0</v>
      </c>
      <c r="N939" s="19">
        <v>30.8</v>
      </c>
      <c r="O939" s="19">
        <v>-77</v>
      </c>
      <c r="P939" s="48">
        <v>77</v>
      </c>
      <c r="Q939" s="17">
        <v>0</v>
      </c>
      <c r="R939" s="24">
        <v>246.4</v>
      </c>
      <c r="S939" s="18" t="s">
        <v>28</v>
      </c>
      <c r="T939" s="25">
        <v>22</v>
      </c>
    </row>
    <row r="940" spans="1:20" s="26" customFormat="1" x14ac:dyDescent="0.25">
      <c r="A940" s="16">
        <v>227049</v>
      </c>
      <c r="B940" s="30" t="s">
        <v>449</v>
      </c>
      <c r="C940" s="20" t="s">
        <v>651</v>
      </c>
      <c r="D940" s="20" t="s">
        <v>716</v>
      </c>
      <c r="E940" s="20" t="s">
        <v>3388</v>
      </c>
      <c r="F940" s="20" t="s">
        <v>3389</v>
      </c>
      <c r="G940" s="21">
        <v>13.4</v>
      </c>
      <c r="H940" s="16">
        <v>7</v>
      </c>
      <c r="I940" s="16">
        <v>4</v>
      </c>
      <c r="J940" s="17">
        <v>40.200000000000003</v>
      </c>
      <c r="K940" s="22"/>
      <c r="L940" s="23"/>
      <c r="M940" s="23">
        <v>0</v>
      </c>
      <c r="N940" s="19">
        <v>26.8</v>
      </c>
      <c r="O940" s="19">
        <v>-67</v>
      </c>
      <c r="P940" s="48">
        <v>67</v>
      </c>
      <c r="Q940" s="17">
        <v>0</v>
      </c>
      <c r="R940" s="24">
        <v>40.200000000000003</v>
      </c>
      <c r="S940" s="18" t="s">
        <v>28</v>
      </c>
      <c r="T940" s="25">
        <v>22</v>
      </c>
    </row>
    <row r="941" spans="1:20" s="26" customFormat="1" x14ac:dyDescent="0.25">
      <c r="A941" s="16">
        <v>228154</v>
      </c>
      <c r="B941" s="30" t="s">
        <v>450</v>
      </c>
      <c r="C941" s="20" t="s">
        <v>651</v>
      </c>
      <c r="D941" s="20" t="s">
        <v>719</v>
      </c>
      <c r="E941" s="20" t="s">
        <v>3390</v>
      </c>
      <c r="F941" s="20" t="s">
        <v>3391</v>
      </c>
      <c r="G941" s="21">
        <v>13.4</v>
      </c>
      <c r="H941" s="16">
        <v>16</v>
      </c>
      <c r="I941" s="16"/>
      <c r="J941" s="17">
        <v>214.4</v>
      </c>
      <c r="K941" s="22"/>
      <c r="L941" s="23"/>
      <c r="M941" s="23">
        <v>0</v>
      </c>
      <c r="N941" s="19">
        <v>26.8</v>
      </c>
      <c r="O941" s="19">
        <v>-67</v>
      </c>
      <c r="P941" s="48">
        <v>67</v>
      </c>
      <c r="Q941" s="17">
        <v>0</v>
      </c>
      <c r="R941" s="24">
        <v>214.4</v>
      </c>
      <c r="S941" s="18" t="s">
        <v>28</v>
      </c>
      <c r="T941" s="25">
        <v>22</v>
      </c>
    </row>
    <row r="942" spans="1:20" s="26" customFormat="1" x14ac:dyDescent="0.25">
      <c r="A942" s="16">
        <v>228416</v>
      </c>
      <c r="B942" s="30" t="s">
        <v>1094</v>
      </c>
      <c r="C942" s="20" t="s">
        <v>651</v>
      </c>
      <c r="D942" s="20" t="s">
        <v>719</v>
      </c>
      <c r="E942" s="20" t="s">
        <v>3392</v>
      </c>
      <c r="F942" s="20" t="s">
        <v>3393</v>
      </c>
      <c r="G942" s="21">
        <v>18.8</v>
      </c>
      <c r="H942" s="16">
        <v>16</v>
      </c>
      <c r="I942" s="16">
        <v>3</v>
      </c>
      <c r="J942" s="17">
        <v>244.4</v>
      </c>
      <c r="K942" s="22"/>
      <c r="L942" s="23"/>
      <c r="M942" s="23">
        <v>0</v>
      </c>
      <c r="N942" s="19">
        <v>37.6</v>
      </c>
      <c r="O942" s="19">
        <v>-94</v>
      </c>
      <c r="P942" s="48">
        <v>94</v>
      </c>
      <c r="Q942" s="17">
        <v>0</v>
      </c>
      <c r="R942" s="24">
        <v>244.4</v>
      </c>
      <c r="S942" s="18" t="s">
        <v>28</v>
      </c>
      <c r="T942" s="25">
        <v>22</v>
      </c>
    </row>
    <row r="943" spans="1:20" s="26" customFormat="1" x14ac:dyDescent="0.25">
      <c r="A943" s="16">
        <v>228988</v>
      </c>
      <c r="B943" s="30" t="s">
        <v>451</v>
      </c>
      <c r="C943" s="20" t="s">
        <v>651</v>
      </c>
      <c r="D943" s="20" t="s">
        <v>719</v>
      </c>
      <c r="E943" s="20" t="s">
        <v>3394</v>
      </c>
      <c r="F943" s="20" t="s">
        <v>3395</v>
      </c>
      <c r="G943" s="21">
        <v>13.4</v>
      </c>
      <c r="H943" s="16">
        <v>16</v>
      </c>
      <c r="I943" s="16"/>
      <c r="J943" s="17">
        <v>214.4</v>
      </c>
      <c r="K943" s="22"/>
      <c r="L943" s="23"/>
      <c r="M943" s="23">
        <v>0</v>
      </c>
      <c r="N943" s="19">
        <v>26.8</v>
      </c>
      <c r="O943" s="19">
        <v>-67</v>
      </c>
      <c r="P943" s="48">
        <v>67</v>
      </c>
      <c r="Q943" s="17">
        <v>0</v>
      </c>
      <c r="R943" s="24">
        <v>214.4</v>
      </c>
      <c r="S943" s="18" t="s">
        <v>28</v>
      </c>
      <c r="T943" s="25">
        <v>22</v>
      </c>
    </row>
    <row r="944" spans="1:20" s="26" customFormat="1" x14ac:dyDescent="0.25">
      <c r="A944" s="16">
        <v>229431</v>
      </c>
      <c r="B944" s="30" t="s">
        <v>1220</v>
      </c>
      <c r="C944" s="20" t="s">
        <v>651</v>
      </c>
      <c r="D944" s="20" t="s">
        <v>719</v>
      </c>
      <c r="E944" s="20" t="s">
        <v>3396</v>
      </c>
      <c r="F944" s="20" t="s">
        <v>3397</v>
      </c>
      <c r="G944" s="21">
        <v>13.4</v>
      </c>
      <c r="H944" s="16">
        <v>16</v>
      </c>
      <c r="I944" s="16"/>
      <c r="J944" s="17">
        <v>214.4</v>
      </c>
      <c r="K944" s="22"/>
      <c r="L944" s="23"/>
      <c r="M944" s="23">
        <v>0</v>
      </c>
      <c r="N944" s="19">
        <v>26.8</v>
      </c>
      <c r="O944" s="19">
        <v>-67</v>
      </c>
      <c r="P944" s="48">
        <v>67</v>
      </c>
      <c r="Q944" s="17">
        <v>0</v>
      </c>
      <c r="R944" s="24">
        <v>214.4</v>
      </c>
      <c r="S944" s="18" t="s">
        <v>28</v>
      </c>
      <c r="T944" s="25">
        <v>22</v>
      </c>
    </row>
    <row r="945" spans="1:20" s="26" customFormat="1" x14ac:dyDescent="0.25">
      <c r="A945" s="16">
        <v>229448</v>
      </c>
      <c r="B945" s="30" t="s">
        <v>452</v>
      </c>
      <c r="C945" s="20" t="s">
        <v>651</v>
      </c>
      <c r="D945" s="20" t="s">
        <v>719</v>
      </c>
      <c r="E945" s="20" t="s">
        <v>3398</v>
      </c>
      <c r="F945" s="20" t="s">
        <v>3399</v>
      </c>
      <c r="G945" s="21">
        <v>13.4</v>
      </c>
      <c r="H945" s="16">
        <v>16</v>
      </c>
      <c r="I945" s="16"/>
      <c r="J945" s="17">
        <v>214.4</v>
      </c>
      <c r="K945" s="22"/>
      <c r="L945" s="23"/>
      <c r="M945" s="23">
        <v>0</v>
      </c>
      <c r="N945" s="19">
        <v>26.8</v>
      </c>
      <c r="O945" s="19">
        <v>-67</v>
      </c>
      <c r="P945" s="48">
        <v>67</v>
      </c>
      <c r="Q945" s="17">
        <v>0</v>
      </c>
      <c r="R945" s="24">
        <v>214.4</v>
      </c>
      <c r="S945" s="18" t="s">
        <v>28</v>
      </c>
      <c r="T945" s="25">
        <v>22</v>
      </c>
    </row>
    <row r="946" spans="1:20" s="26" customFormat="1" x14ac:dyDescent="0.25">
      <c r="A946" s="16">
        <v>229576</v>
      </c>
      <c r="B946" s="30" t="s">
        <v>453</v>
      </c>
      <c r="C946" s="20" t="s">
        <v>651</v>
      </c>
      <c r="D946" s="20" t="s">
        <v>719</v>
      </c>
      <c r="E946" s="20" t="s">
        <v>3400</v>
      </c>
      <c r="F946" s="20" t="s">
        <v>3401</v>
      </c>
      <c r="G946" s="21">
        <v>13.4</v>
      </c>
      <c r="H946" s="16">
        <v>16</v>
      </c>
      <c r="I946" s="16"/>
      <c r="J946" s="17">
        <v>214.4</v>
      </c>
      <c r="K946" s="22"/>
      <c r="L946" s="23"/>
      <c r="M946" s="23">
        <v>0</v>
      </c>
      <c r="N946" s="19">
        <v>26.8</v>
      </c>
      <c r="O946" s="19">
        <v>-67</v>
      </c>
      <c r="P946" s="48">
        <v>67</v>
      </c>
      <c r="Q946" s="17">
        <v>0</v>
      </c>
      <c r="R946" s="24">
        <v>214.4</v>
      </c>
      <c r="S946" s="18" t="s">
        <v>28</v>
      </c>
      <c r="T946" s="25">
        <v>22</v>
      </c>
    </row>
    <row r="947" spans="1:20" s="26" customFormat="1" x14ac:dyDescent="0.25">
      <c r="A947" s="16">
        <v>229582</v>
      </c>
      <c r="B947" s="30" t="s">
        <v>1295</v>
      </c>
      <c r="C947" s="20" t="s">
        <v>651</v>
      </c>
      <c r="D947" s="20" t="s">
        <v>719</v>
      </c>
      <c r="E947" s="20" t="s">
        <v>3402</v>
      </c>
      <c r="F947" s="20" t="s">
        <v>3403</v>
      </c>
      <c r="G947" s="21">
        <v>13.4</v>
      </c>
      <c r="H947" s="16">
        <v>3</v>
      </c>
      <c r="I947" s="16">
        <v>6</v>
      </c>
      <c r="J947" s="17">
        <v>0</v>
      </c>
      <c r="K947" s="22"/>
      <c r="L947" s="23"/>
      <c r="M947" s="23">
        <v>0</v>
      </c>
      <c r="N947" s="19">
        <v>26.8</v>
      </c>
      <c r="O947" s="19">
        <v>-67</v>
      </c>
      <c r="P947" s="48">
        <v>67</v>
      </c>
      <c r="Q947" s="17">
        <v>0</v>
      </c>
      <c r="R947" s="24">
        <v>0</v>
      </c>
      <c r="S947" s="18" t="s">
        <v>12</v>
      </c>
      <c r="T947" s="25">
        <v>22</v>
      </c>
    </row>
    <row r="948" spans="1:20" s="26" customFormat="1" x14ac:dyDescent="0.25">
      <c r="A948" s="16">
        <v>229583</v>
      </c>
      <c r="B948" s="30" t="s">
        <v>1497</v>
      </c>
      <c r="C948" s="20" t="s">
        <v>651</v>
      </c>
      <c r="D948" s="20" t="s">
        <v>719</v>
      </c>
      <c r="E948" s="20" t="s">
        <v>3404</v>
      </c>
      <c r="F948" s="20" t="s">
        <v>3405</v>
      </c>
      <c r="G948" s="21">
        <v>13.4</v>
      </c>
      <c r="H948" s="16">
        <v>16</v>
      </c>
      <c r="I948" s="16"/>
      <c r="J948" s="17">
        <v>214.4</v>
      </c>
      <c r="K948" s="22"/>
      <c r="L948" s="23"/>
      <c r="M948" s="23">
        <v>0</v>
      </c>
      <c r="N948" s="19">
        <v>26.8</v>
      </c>
      <c r="O948" s="19">
        <v>-67</v>
      </c>
      <c r="P948" s="48">
        <v>67</v>
      </c>
      <c r="Q948" s="17">
        <v>0</v>
      </c>
      <c r="R948" s="24">
        <v>214.4</v>
      </c>
      <c r="S948" s="18" t="s">
        <v>28</v>
      </c>
      <c r="T948" s="25">
        <v>22</v>
      </c>
    </row>
    <row r="949" spans="1:20" s="26" customFormat="1" x14ac:dyDescent="0.25">
      <c r="A949" s="16">
        <v>229634</v>
      </c>
      <c r="B949" s="30" t="s">
        <v>457</v>
      </c>
      <c r="C949" s="20" t="s">
        <v>651</v>
      </c>
      <c r="D949" s="20" t="s">
        <v>719</v>
      </c>
      <c r="E949" s="20" t="s">
        <v>3406</v>
      </c>
      <c r="F949" s="20" t="s">
        <v>3407</v>
      </c>
      <c r="G949" s="21">
        <v>13.4</v>
      </c>
      <c r="H949" s="16">
        <v>16</v>
      </c>
      <c r="I949" s="16"/>
      <c r="J949" s="17">
        <v>214.4</v>
      </c>
      <c r="K949" s="22"/>
      <c r="L949" s="23"/>
      <c r="M949" s="23">
        <v>0</v>
      </c>
      <c r="N949" s="19">
        <v>26.8</v>
      </c>
      <c r="O949" s="19">
        <v>-67</v>
      </c>
      <c r="P949" s="48">
        <v>67</v>
      </c>
      <c r="Q949" s="17">
        <v>0</v>
      </c>
      <c r="R949" s="24">
        <v>214.4</v>
      </c>
      <c r="S949" s="18" t="s">
        <v>28</v>
      </c>
      <c r="T949" s="25">
        <v>22</v>
      </c>
    </row>
    <row r="950" spans="1:20" s="26" customFormat="1" x14ac:dyDescent="0.25">
      <c r="A950" s="16">
        <v>229635</v>
      </c>
      <c r="B950" s="30" t="s">
        <v>458</v>
      </c>
      <c r="C950" s="20" t="s">
        <v>651</v>
      </c>
      <c r="D950" s="20" t="s">
        <v>719</v>
      </c>
      <c r="E950" s="20" t="s">
        <v>3408</v>
      </c>
      <c r="F950" s="20" t="s">
        <v>3409</v>
      </c>
      <c r="G950" s="21">
        <v>13.4</v>
      </c>
      <c r="H950" s="16">
        <v>16</v>
      </c>
      <c r="I950" s="16"/>
      <c r="J950" s="17">
        <v>214.4</v>
      </c>
      <c r="K950" s="22"/>
      <c r="L950" s="23"/>
      <c r="M950" s="23">
        <v>0</v>
      </c>
      <c r="N950" s="19">
        <v>26.8</v>
      </c>
      <c r="O950" s="19">
        <v>-67</v>
      </c>
      <c r="P950" s="48">
        <v>67</v>
      </c>
      <c r="Q950" s="17">
        <v>0</v>
      </c>
      <c r="R950" s="24">
        <v>214.4</v>
      </c>
      <c r="S950" s="18" t="s">
        <v>28</v>
      </c>
      <c r="T950" s="25">
        <v>22</v>
      </c>
    </row>
    <row r="951" spans="1:20" s="26" customFormat="1" x14ac:dyDescent="0.25">
      <c r="A951" s="16">
        <v>230251</v>
      </c>
      <c r="B951" s="30" t="s">
        <v>459</v>
      </c>
      <c r="C951" s="20" t="s">
        <v>651</v>
      </c>
      <c r="D951" s="20" t="s">
        <v>717</v>
      </c>
      <c r="E951" s="20" t="s">
        <v>3410</v>
      </c>
      <c r="F951" s="20" t="s">
        <v>3411</v>
      </c>
      <c r="G951" s="21">
        <v>13.4</v>
      </c>
      <c r="H951" s="16">
        <v>16</v>
      </c>
      <c r="I951" s="16"/>
      <c r="J951" s="17">
        <v>214.4</v>
      </c>
      <c r="K951" s="22"/>
      <c r="L951" s="23"/>
      <c r="M951" s="23">
        <v>0</v>
      </c>
      <c r="N951" s="19">
        <v>26.8</v>
      </c>
      <c r="O951" s="19">
        <v>-67</v>
      </c>
      <c r="P951" s="48">
        <v>67</v>
      </c>
      <c r="Q951" s="17">
        <v>0</v>
      </c>
      <c r="R951" s="24">
        <v>214.4</v>
      </c>
      <c r="S951" s="18" t="s">
        <v>28</v>
      </c>
      <c r="T951" s="25">
        <v>22</v>
      </c>
    </row>
    <row r="952" spans="1:20" s="26" customFormat="1" x14ac:dyDescent="0.25">
      <c r="A952" s="16">
        <v>230408</v>
      </c>
      <c r="B952" s="30" t="s">
        <v>460</v>
      </c>
      <c r="C952" s="20" t="s">
        <v>651</v>
      </c>
      <c r="D952" s="20" t="s">
        <v>716</v>
      </c>
      <c r="E952" s="20" t="s">
        <v>3412</v>
      </c>
      <c r="F952" s="20" t="s">
        <v>3413</v>
      </c>
      <c r="G952" s="21">
        <v>13.4</v>
      </c>
      <c r="H952" s="16">
        <v>16</v>
      </c>
      <c r="I952" s="16"/>
      <c r="J952" s="17">
        <v>214.4</v>
      </c>
      <c r="K952" s="22"/>
      <c r="L952" s="23"/>
      <c r="M952" s="23">
        <v>0</v>
      </c>
      <c r="N952" s="19">
        <v>26.8</v>
      </c>
      <c r="O952" s="19">
        <v>-67</v>
      </c>
      <c r="P952" s="48">
        <v>67</v>
      </c>
      <c r="Q952" s="17">
        <v>0</v>
      </c>
      <c r="R952" s="24">
        <v>214.4</v>
      </c>
      <c r="S952" s="18" t="s">
        <v>28</v>
      </c>
      <c r="T952" s="25">
        <v>22</v>
      </c>
    </row>
    <row r="953" spans="1:20" s="26" customFormat="1" x14ac:dyDescent="0.25">
      <c r="A953" s="16">
        <v>230410</v>
      </c>
      <c r="B953" s="30" t="s">
        <v>461</v>
      </c>
      <c r="C953" s="20" t="s">
        <v>651</v>
      </c>
      <c r="D953" s="20" t="s">
        <v>719</v>
      </c>
      <c r="E953" s="20" t="s">
        <v>3414</v>
      </c>
      <c r="F953" s="20" t="s">
        <v>3415</v>
      </c>
      <c r="G953" s="21">
        <v>13.4</v>
      </c>
      <c r="H953" s="16">
        <v>16</v>
      </c>
      <c r="I953" s="16"/>
      <c r="J953" s="17">
        <v>214.4</v>
      </c>
      <c r="K953" s="22"/>
      <c r="L953" s="23"/>
      <c r="M953" s="23">
        <v>0</v>
      </c>
      <c r="N953" s="19">
        <v>26.8</v>
      </c>
      <c r="O953" s="19">
        <v>-67</v>
      </c>
      <c r="P953" s="48">
        <v>67</v>
      </c>
      <c r="Q953" s="17">
        <v>0</v>
      </c>
      <c r="R953" s="24">
        <v>214.4</v>
      </c>
      <c r="S953" s="18" t="s">
        <v>28</v>
      </c>
      <c r="T953" s="25">
        <v>22</v>
      </c>
    </row>
    <row r="954" spans="1:20" s="26" customFormat="1" x14ac:dyDescent="0.25">
      <c r="A954" s="16">
        <v>230542</v>
      </c>
      <c r="B954" s="30" t="s">
        <v>462</v>
      </c>
      <c r="C954" s="20" t="s">
        <v>651</v>
      </c>
      <c r="D954" s="20" t="s">
        <v>716</v>
      </c>
      <c r="E954" s="20" t="s">
        <v>3416</v>
      </c>
      <c r="F954" s="20" t="s">
        <v>3417</v>
      </c>
      <c r="G954" s="21">
        <v>13.4</v>
      </c>
      <c r="H954" s="16">
        <v>16</v>
      </c>
      <c r="I954" s="16"/>
      <c r="J954" s="17">
        <v>214.4</v>
      </c>
      <c r="K954" s="22"/>
      <c r="L954" s="23"/>
      <c r="M954" s="23">
        <v>0</v>
      </c>
      <c r="N954" s="19">
        <v>26.8</v>
      </c>
      <c r="O954" s="19">
        <v>-67</v>
      </c>
      <c r="P954" s="48">
        <v>67</v>
      </c>
      <c r="Q954" s="17">
        <v>0</v>
      </c>
      <c r="R954" s="24">
        <v>214.4</v>
      </c>
      <c r="S954" s="18" t="s">
        <v>28</v>
      </c>
      <c r="T954" s="25">
        <v>22</v>
      </c>
    </row>
    <row r="955" spans="1:20" s="26" customFormat="1" x14ac:dyDescent="0.25">
      <c r="A955" s="16">
        <v>230585</v>
      </c>
      <c r="B955" s="30" t="s">
        <v>1095</v>
      </c>
      <c r="C955" s="20" t="s">
        <v>651</v>
      </c>
      <c r="D955" s="20" t="s">
        <v>716</v>
      </c>
      <c r="E955" s="20" t="s">
        <v>3418</v>
      </c>
      <c r="F955" s="20" t="s">
        <v>3419</v>
      </c>
      <c r="G955" s="21">
        <v>13.4</v>
      </c>
      <c r="H955" s="16">
        <v>16</v>
      </c>
      <c r="I955" s="16">
        <v>8</v>
      </c>
      <c r="J955" s="17">
        <v>107.2</v>
      </c>
      <c r="K955" s="22"/>
      <c r="L955" s="23"/>
      <c r="M955" s="23">
        <v>0</v>
      </c>
      <c r="N955" s="19">
        <v>26.8</v>
      </c>
      <c r="O955" s="19">
        <v>-67</v>
      </c>
      <c r="P955" s="48">
        <v>67</v>
      </c>
      <c r="Q955" s="17">
        <v>0</v>
      </c>
      <c r="R955" s="24">
        <v>107.2</v>
      </c>
      <c r="S955" s="18" t="s">
        <v>28</v>
      </c>
      <c r="T955" s="25">
        <v>22</v>
      </c>
    </row>
    <row r="956" spans="1:20" s="26" customFormat="1" x14ac:dyDescent="0.25">
      <c r="A956" s="16">
        <v>230618</v>
      </c>
      <c r="B956" s="30" t="s">
        <v>463</v>
      </c>
      <c r="C956" s="20" t="s">
        <v>651</v>
      </c>
      <c r="D956" s="20" t="s">
        <v>719</v>
      </c>
      <c r="E956" s="20" t="s">
        <v>3420</v>
      </c>
      <c r="F956" s="20" t="s">
        <v>3421</v>
      </c>
      <c r="G956" s="21">
        <v>13.4</v>
      </c>
      <c r="H956" s="16">
        <v>16</v>
      </c>
      <c r="I956" s="16">
        <v>1</v>
      </c>
      <c r="J956" s="17">
        <v>201</v>
      </c>
      <c r="K956" s="22"/>
      <c r="L956" s="23">
        <v>35.700000000000003</v>
      </c>
      <c r="M956" s="23">
        <v>35.700000000000003</v>
      </c>
      <c r="N956" s="19">
        <v>26.8</v>
      </c>
      <c r="O956" s="19">
        <v>-31.299999999999997</v>
      </c>
      <c r="P956" s="48">
        <v>67</v>
      </c>
      <c r="Q956" s="17">
        <v>0</v>
      </c>
      <c r="R956" s="24">
        <v>201</v>
      </c>
      <c r="S956" s="18" t="s">
        <v>28</v>
      </c>
      <c r="T956" s="25">
        <v>22</v>
      </c>
    </row>
    <row r="957" spans="1:20" s="26" customFormat="1" x14ac:dyDescent="0.25">
      <c r="A957" s="16">
        <v>230619</v>
      </c>
      <c r="B957" s="30" t="s">
        <v>464</v>
      </c>
      <c r="C957" s="20" t="s">
        <v>651</v>
      </c>
      <c r="D957" s="20" t="s">
        <v>719</v>
      </c>
      <c r="E957" s="20" t="s">
        <v>3422</v>
      </c>
      <c r="F957" s="20" t="s">
        <v>3423</v>
      </c>
      <c r="G957" s="21">
        <v>13.4</v>
      </c>
      <c r="H957" s="16">
        <v>16</v>
      </c>
      <c r="I957" s="16"/>
      <c r="J957" s="17">
        <v>214.4</v>
      </c>
      <c r="K957" s="22"/>
      <c r="L957" s="23"/>
      <c r="M957" s="23">
        <v>0</v>
      </c>
      <c r="N957" s="19">
        <v>26.8</v>
      </c>
      <c r="O957" s="19">
        <v>-67</v>
      </c>
      <c r="P957" s="48">
        <v>67</v>
      </c>
      <c r="Q957" s="17">
        <v>0</v>
      </c>
      <c r="R957" s="24">
        <v>214.4</v>
      </c>
      <c r="S957" s="18" t="s">
        <v>28</v>
      </c>
      <c r="T957" s="25">
        <v>22</v>
      </c>
    </row>
    <row r="958" spans="1:20" s="26" customFormat="1" x14ac:dyDescent="0.25">
      <c r="A958" s="16">
        <v>230642</v>
      </c>
      <c r="B958" s="30" t="s">
        <v>465</v>
      </c>
      <c r="C958" s="20" t="s">
        <v>651</v>
      </c>
      <c r="D958" s="20" t="s">
        <v>747</v>
      </c>
      <c r="E958" s="20" t="s">
        <v>3424</v>
      </c>
      <c r="F958" s="20" t="s">
        <v>3425</v>
      </c>
      <c r="G958" s="21">
        <v>13.4</v>
      </c>
      <c r="H958" s="16">
        <v>16</v>
      </c>
      <c r="I958" s="16"/>
      <c r="J958" s="17">
        <v>214.4</v>
      </c>
      <c r="K958" s="22"/>
      <c r="L958" s="23">
        <v>11.9</v>
      </c>
      <c r="M958" s="23">
        <v>11.9</v>
      </c>
      <c r="N958" s="19">
        <v>26.8</v>
      </c>
      <c r="O958" s="19">
        <v>-55.1</v>
      </c>
      <c r="P958" s="48">
        <v>67</v>
      </c>
      <c r="Q958" s="17">
        <v>0</v>
      </c>
      <c r="R958" s="24">
        <v>214.4</v>
      </c>
      <c r="S958" s="18" t="s">
        <v>28</v>
      </c>
      <c r="T958" s="25">
        <v>22</v>
      </c>
    </row>
    <row r="959" spans="1:20" s="26" customFormat="1" x14ac:dyDescent="0.25">
      <c r="A959" s="16">
        <v>230718</v>
      </c>
      <c r="B959" s="30" t="s">
        <v>559</v>
      </c>
      <c r="C959" s="20" t="s">
        <v>651</v>
      </c>
      <c r="D959" s="20" t="s">
        <v>719</v>
      </c>
      <c r="E959" s="20" t="s">
        <v>3426</v>
      </c>
      <c r="F959" s="20" t="s">
        <v>3427</v>
      </c>
      <c r="G959" s="21">
        <v>13.4</v>
      </c>
      <c r="H959" s="16">
        <v>16</v>
      </c>
      <c r="I959" s="16"/>
      <c r="J959" s="17">
        <v>214.4</v>
      </c>
      <c r="K959" s="22"/>
      <c r="L959" s="23"/>
      <c r="M959" s="23">
        <v>0</v>
      </c>
      <c r="N959" s="19">
        <v>26.8</v>
      </c>
      <c r="O959" s="19">
        <v>-67</v>
      </c>
      <c r="P959" s="48">
        <v>67</v>
      </c>
      <c r="Q959" s="17">
        <v>0</v>
      </c>
      <c r="R959" s="24">
        <v>214.4</v>
      </c>
      <c r="S959" s="18" t="s">
        <v>28</v>
      </c>
      <c r="T959" s="25">
        <v>22</v>
      </c>
    </row>
    <row r="960" spans="1:20" s="26" customFormat="1" x14ac:dyDescent="0.25">
      <c r="A960" s="16">
        <v>230748</v>
      </c>
      <c r="B960" s="30" t="s">
        <v>572</v>
      </c>
      <c r="C960" s="20" t="s">
        <v>651</v>
      </c>
      <c r="D960" s="20" t="s">
        <v>719</v>
      </c>
      <c r="E960" s="20" t="s">
        <v>3428</v>
      </c>
      <c r="F960" s="20" t="s">
        <v>3429</v>
      </c>
      <c r="G960" s="21">
        <v>13.4</v>
      </c>
      <c r="H960" s="16">
        <v>16</v>
      </c>
      <c r="I960" s="16">
        <v>1</v>
      </c>
      <c r="J960" s="17">
        <v>201</v>
      </c>
      <c r="K960" s="22"/>
      <c r="L960" s="23"/>
      <c r="M960" s="23">
        <v>0</v>
      </c>
      <c r="N960" s="19">
        <v>26.8</v>
      </c>
      <c r="O960" s="19">
        <v>-67</v>
      </c>
      <c r="P960" s="48">
        <v>67</v>
      </c>
      <c r="Q960" s="17">
        <v>0</v>
      </c>
      <c r="R960" s="24">
        <v>201</v>
      </c>
      <c r="S960" s="18" t="s">
        <v>28</v>
      </c>
      <c r="T960" s="25">
        <v>22</v>
      </c>
    </row>
    <row r="961" spans="1:20" s="26" customFormat="1" x14ac:dyDescent="0.25">
      <c r="A961" s="16">
        <v>230826</v>
      </c>
      <c r="B961" s="30" t="s">
        <v>466</v>
      </c>
      <c r="C961" s="20" t="s">
        <v>651</v>
      </c>
      <c r="D961" s="20" t="s">
        <v>716</v>
      </c>
      <c r="E961" s="20" t="s">
        <v>3430</v>
      </c>
      <c r="F961" s="20" t="s">
        <v>3431</v>
      </c>
      <c r="G961" s="21">
        <v>13.4</v>
      </c>
      <c r="H961" s="16">
        <v>16</v>
      </c>
      <c r="I961" s="16"/>
      <c r="J961" s="17">
        <v>214.4</v>
      </c>
      <c r="K961" s="22"/>
      <c r="L961" s="23"/>
      <c r="M961" s="23">
        <v>0</v>
      </c>
      <c r="N961" s="19">
        <v>26.8</v>
      </c>
      <c r="O961" s="19">
        <v>-67</v>
      </c>
      <c r="P961" s="48">
        <v>67</v>
      </c>
      <c r="Q961" s="17">
        <v>0</v>
      </c>
      <c r="R961" s="24">
        <v>214.4</v>
      </c>
      <c r="S961" s="18" t="s">
        <v>28</v>
      </c>
      <c r="T961" s="25">
        <v>22</v>
      </c>
    </row>
    <row r="962" spans="1:20" s="26" customFormat="1" x14ac:dyDescent="0.25">
      <c r="A962" s="16">
        <v>230938</v>
      </c>
      <c r="B962" s="30" t="s">
        <v>467</v>
      </c>
      <c r="C962" s="20" t="s">
        <v>651</v>
      </c>
      <c r="D962" s="20" t="s">
        <v>716</v>
      </c>
      <c r="E962" s="20" t="s">
        <v>3432</v>
      </c>
      <c r="F962" s="20" t="s">
        <v>3433</v>
      </c>
      <c r="G962" s="21">
        <v>13.4</v>
      </c>
      <c r="H962" s="16">
        <v>16</v>
      </c>
      <c r="I962" s="16">
        <v>1</v>
      </c>
      <c r="J962" s="17">
        <v>201</v>
      </c>
      <c r="K962" s="22"/>
      <c r="L962" s="23"/>
      <c r="M962" s="23">
        <v>0</v>
      </c>
      <c r="N962" s="19">
        <v>26.8</v>
      </c>
      <c r="O962" s="19">
        <v>-67</v>
      </c>
      <c r="P962" s="48">
        <v>67</v>
      </c>
      <c r="Q962" s="17">
        <v>0</v>
      </c>
      <c r="R962" s="24">
        <v>201</v>
      </c>
      <c r="S962" s="18" t="s">
        <v>28</v>
      </c>
      <c r="T962" s="25">
        <v>22</v>
      </c>
    </row>
    <row r="963" spans="1:20" s="26" customFormat="1" x14ac:dyDescent="0.25">
      <c r="A963" s="16">
        <v>231007</v>
      </c>
      <c r="B963" s="30" t="s">
        <v>584</v>
      </c>
      <c r="C963" s="20" t="s">
        <v>651</v>
      </c>
      <c r="D963" s="20" t="s">
        <v>716</v>
      </c>
      <c r="E963" s="20" t="s">
        <v>3434</v>
      </c>
      <c r="F963" s="20" t="s">
        <v>3435</v>
      </c>
      <c r="G963" s="21">
        <v>13.4</v>
      </c>
      <c r="H963" s="16">
        <v>16</v>
      </c>
      <c r="I963" s="16">
        <v>9</v>
      </c>
      <c r="J963" s="17">
        <v>93.8</v>
      </c>
      <c r="K963" s="22"/>
      <c r="L963" s="23"/>
      <c r="M963" s="23">
        <v>0</v>
      </c>
      <c r="N963" s="19">
        <v>26.8</v>
      </c>
      <c r="O963" s="19">
        <v>-67</v>
      </c>
      <c r="P963" s="48">
        <v>67</v>
      </c>
      <c r="Q963" s="17">
        <v>0</v>
      </c>
      <c r="R963" s="24">
        <v>93.8</v>
      </c>
      <c r="S963" s="18" t="s">
        <v>28</v>
      </c>
      <c r="T963" s="25">
        <v>22</v>
      </c>
    </row>
    <row r="964" spans="1:20" s="26" customFormat="1" x14ac:dyDescent="0.25">
      <c r="A964" s="16">
        <v>231137</v>
      </c>
      <c r="B964" s="30" t="s">
        <v>1221</v>
      </c>
      <c r="C964" s="20" t="s">
        <v>651</v>
      </c>
      <c r="D964" s="20" t="s">
        <v>719</v>
      </c>
      <c r="E964" s="20" t="s">
        <v>3436</v>
      </c>
      <c r="F964" s="20" t="s">
        <v>3437</v>
      </c>
      <c r="G964" s="21">
        <v>13.4</v>
      </c>
      <c r="H964" s="16">
        <v>16</v>
      </c>
      <c r="I964" s="16">
        <v>5</v>
      </c>
      <c r="J964" s="17">
        <v>147.4</v>
      </c>
      <c r="K964" s="22"/>
      <c r="L964" s="23"/>
      <c r="M964" s="23">
        <v>0</v>
      </c>
      <c r="N964" s="19">
        <v>26.8</v>
      </c>
      <c r="O964" s="19">
        <v>-67</v>
      </c>
      <c r="P964" s="48">
        <v>67</v>
      </c>
      <c r="Q964" s="17">
        <v>0</v>
      </c>
      <c r="R964" s="24">
        <v>147.4</v>
      </c>
      <c r="S964" s="18" t="s">
        <v>28</v>
      </c>
      <c r="T964" s="25">
        <v>22</v>
      </c>
    </row>
    <row r="965" spans="1:20" s="26" customFormat="1" x14ac:dyDescent="0.25">
      <c r="A965" s="16">
        <v>231481</v>
      </c>
      <c r="B965" s="30" t="s">
        <v>795</v>
      </c>
      <c r="C965" s="20" t="s">
        <v>651</v>
      </c>
      <c r="D965" s="20" t="s">
        <v>716</v>
      </c>
      <c r="E965" s="20" t="s">
        <v>3438</v>
      </c>
      <c r="F965" s="20" t="s">
        <v>3439</v>
      </c>
      <c r="G965" s="21">
        <v>13.4</v>
      </c>
      <c r="H965" s="16">
        <v>16</v>
      </c>
      <c r="I965" s="16">
        <v>3</v>
      </c>
      <c r="J965" s="17">
        <v>174.20000000000002</v>
      </c>
      <c r="K965" s="22"/>
      <c r="L965" s="23"/>
      <c r="M965" s="23">
        <v>0</v>
      </c>
      <c r="N965" s="19">
        <v>26.8</v>
      </c>
      <c r="O965" s="19">
        <v>-67</v>
      </c>
      <c r="P965" s="48">
        <v>67</v>
      </c>
      <c r="Q965" s="17">
        <v>0</v>
      </c>
      <c r="R965" s="24">
        <v>174.20000000000002</v>
      </c>
      <c r="S965" s="18" t="s">
        <v>28</v>
      </c>
      <c r="T965" s="25">
        <v>22</v>
      </c>
    </row>
    <row r="966" spans="1:20" s="26" customFormat="1" x14ac:dyDescent="0.25">
      <c r="A966" s="16">
        <v>231510</v>
      </c>
      <c r="B966" s="30" t="s">
        <v>796</v>
      </c>
      <c r="C966" s="20" t="s">
        <v>651</v>
      </c>
      <c r="D966" s="20" t="s">
        <v>716</v>
      </c>
      <c r="E966" s="20" t="s">
        <v>3440</v>
      </c>
      <c r="F966" s="20" t="s">
        <v>3441</v>
      </c>
      <c r="G966" s="21">
        <v>13.4</v>
      </c>
      <c r="H966" s="16">
        <v>16</v>
      </c>
      <c r="I966" s="16"/>
      <c r="J966" s="17">
        <v>214.4</v>
      </c>
      <c r="K966" s="22"/>
      <c r="L966" s="23"/>
      <c r="M966" s="23">
        <v>0</v>
      </c>
      <c r="N966" s="19">
        <v>26.8</v>
      </c>
      <c r="O966" s="19">
        <v>-67</v>
      </c>
      <c r="P966" s="48">
        <v>67</v>
      </c>
      <c r="Q966" s="17">
        <v>0</v>
      </c>
      <c r="R966" s="24">
        <v>214.4</v>
      </c>
      <c r="S966" s="18" t="s">
        <v>28</v>
      </c>
      <c r="T966" s="25">
        <v>22</v>
      </c>
    </row>
    <row r="967" spans="1:20" s="26" customFormat="1" x14ac:dyDescent="0.25">
      <c r="A967" s="16">
        <v>231579</v>
      </c>
      <c r="B967" s="30" t="s">
        <v>917</v>
      </c>
      <c r="C967" s="20" t="s">
        <v>651</v>
      </c>
      <c r="D967" s="20" t="s">
        <v>716</v>
      </c>
      <c r="E967" s="20" t="s">
        <v>3442</v>
      </c>
      <c r="F967" s="20" t="s">
        <v>3443</v>
      </c>
      <c r="G967" s="21">
        <v>13.4</v>
      </c>
      <c r="H967" s="16">
        <v>16</v>
      </c>
      <c r="I967" s="16"/>
      <c r="J967" s="17">
        <v>214.4</v>
      </c>
      <c r="K967" s="22"/>
      <c r="L967" s="23"/>
      <c r="M967" s="23">
        <v>0</v>
      </c>
      <c r="N967" s="19">
        <v>26.8</v>
      </c>
      <c r="O967" s="19">
        <v>-67</v>
      </c>
      <c r="P967" s="48">
        <v>67</v>
      </c>
      <c r="Q967" s="17">
        <v>0</v>
      </c>
      <c r="R967" s="24">
        <v>214.4</v>
      </c>
      <c r="S967" s="18" t="s">
        <v>28</v>
      </c>
      <c r="T967" s="25">
        <v>22</v>
      </c>
    </row>
    <row r="968" spans="1:20" s="26" customFormat="1" x14ac:dyDescent="0.25">
      <c r="A968" s="16">
        <v>231606</v>
      </c>
      <c r="B968" s="30" t="s">
        <v>848</v>
      </c>
      <c r="C968" s="20" t="s">
        <v>651</v>
      </c>
      <c r="D968" s="20" t="s">
        <v>719</v>
      </c>
      <c r="E968" s="20" t="s">
        <v>3444</v>
      </c>
      <c r="F968" s="20" t="s">
        <v>3445</v>
      </c>
      <c r="G968" s="21">
        <v>13.4</v>
      </c>
      <c r="H968" s="16">
        <v>16</v>
      </c>
      <c r="I968" s="16"/>
      <c r="J968" s="17">
        <v>214.4</v>
      </c>
      <c r="K968" s="22"/>
      <c r="L968" s="23"/>
      <c r="M968" s="23">
        <v>0</v>
      </c>
      <c r="N968" s="19">
        <v>26.8</v>
      </c>
      <c r="O968" s="19">
        <v>-67</v>
      </c>
      <c r="P968" s="48">
        <v>67</v>
      </c>
      <c r="Q968" s="17">
        <v>0</v>
      </c>
      <c r="R968" s="24">
        <v>214.4</v>
      </c>
      <c r="S968" s="18" t="s">
        <v>28</v>
      </c>
      <c r="T968" s="25">
        <v>22</v>
      </c>
    </row>
    <row r="969" spans="1:20" s="26" customFormat="1" x14ac:dyDescent="0.25">
      <c r="A969" s="16">
        <v>231693</v>
      </c>
      <c r="B969" s="30" t="s">
        <v>849</v>
      </c>
      <c r="C969" s="20" t="s">
        <v>651</v>
      </c>
      <c r="D969" s="20" t="s">
        <v>716</v>
      </c>
      <c r="E969" s="20" t="s">
        <v>3446</v>
      </c>
      <c r="F969" s="20" t="s">
        <v>3447</v>
      </c>
      <c r="G969" s="21">
        <v>13.4</v>
      </c>
      <c r="H969" s="16">
        <v>16</v>
      </c>
      <c r="I969" s="16"/>
      <c r="J969" s="17">
        <v>214.4</v>
      </c>
      <c r="K969" s="22"/>
      <c r="L969" s="23"/>
      <c r="M969" s="23">
        <v>0</v>
      </c>
      <c r="N969" s="19">
        <v>26.8</v>
      </c>
      <c r="O969" s="19">
        <v>-67</v>
      </c>
      <c r="P969" s="48">
        <v>67</v>
      </c>
      <c r="Q969" s="17">
        <v>0</v>
      </c>
      <c r="R969" s="24">
        <v>214.4</v>
      </c>
      <c r="S969" s="18" t="s">
        <v>28</v>
      </c>
      <c r="T969" s="25">
        <v>22</v>
      </c>
    </row>
    <row r="970" spans="1:20" s="26" customFormat="1" x14ac:dyDescent="0.25">
      <c r="A970" s="16">
        <v>231898</v>
      </c>
      <c r="B970" s="30" t="s">
        <v>850</v>
      </c>
      <c r="C970" s="20" t="s">
        <v>651</v>
      </c>
      <c r="D970" s="20" t="s">
        <v>716</v>
      </c>
      <c r="E970" s="20" t="s">
        <v>3448</v>
      </c>
      <c r="F970" s="20" t="s">
        <v>3449</v>
      </c>
      <c r="G970" s="21">
        <v>13.4</v>
      </c>
      <c r="H970" s="16">
        <v>26</v>
      </c>
      <c r="I970" s="16"/>
      <c r="J970" s="17">
        <v>348.40000000000003</v>
      </c>
      <c r="K970" s="22"/>
      <c r="L970" s="23"/>
      <c r="M970" s="23">
        <v>0</v>
      </c>
      <c r="N970" s="19">
        <v>26.8</v>
      </c>
      <c r="O970" s="19">
        <v>-67</v>
      </c>
      <c r="P970" s="48">
        <v>67</v>
      </c>
      <c r="Q970" s="17">
        <v>0</v>
      </c>
      <c r="R970" s="24">
        <v>348.40000000000003</v>
      </c>
      <c r="S970" s="18" t="s">
        <v>28</v>
      </c>
      <c r="T970" s="25">
        <v>22</v>
      </c>
    </row>
    <row r="971" spans="1:20" s="26" customFormat="1" x14ac:dyDescent="0.25">
      <c r="A971" s="16">
        <v>231995</v>
      </c>
      <c r="B971" s="30" t="s">
        <v>851</v>
      </c>
      <c r="C971" s="20" t="s">
        <v>651</v>
      </c>
      <c r="D971" s="20" t="s">
        <v>719</v>
      </c>
      <c r="E971" s="20" t="s">
        <v>3450</v>
      </c>
      <c r="F971" s="20" t="s">
        <v>3451</v>
      </c>
      <c r="G971" s="21">
        <v>13.4</v>
      </c>
      <c r="H971" s="16">
        <v>16</v>
      </c>
      <c r="I971" s="16">
        <v>1</v>
      </c>
      <c r="J971" s="17">
        <v>201</v>
      </c>
      <c r="K971" s="22"/>
      <c r="L971" s="23"/>
      <c r="M971" s="23">
        <v>0</v>
      </c>
      <c r="N971" s="19">
        <v>26.8</v>
      </c>
      <c r="O971" s="19">
        <v>-67</v>
      </c>
      <c r="P971" s="48">
        <v>67</v>
      </c>
      <c r="Q971" s="17">
        <v>0</v>
      </c>
      <c r="R971" s="24">
        <v>201</v>
      </c>
      <c r="S971" s="18" t="s">
        <v>28</v>
      </c>
      <c r="T971" s="25">
        <v>22</v>
      </c>
    </row>
    <row r="972" spans="1:20" s="26" customFormat="1" x14ac:dyDescent="0.25">
      <c r="A972" s="16">
        <v>232482</v>
      </c>
      <c r="B972" s="30" t="s">
        <v>918</v>
      </c>
      <c r="C972" s="20" t="s">
        <v>651</v>
      </c>
      <c r="D972" s="20" t="s">
        <v>716</v>
      </c>
      <c r="E972" s="20" t="s">
        <v>3452</v>
      </c>
      <c r="F972" s="20" t="s">
        <v>3453</v>
      </c>
      <c r="G972" s="21">
        <v>13.4</v>
      </c>
      <c r="H972" s="16">
        <v>16</v>
      </c>
      <c r="I972" s="16">
        <v>2</v>
      </c>
      <c r="J972" s="17">
        <v>187.6</v>
      </c>
      <c r="K972" s="22"/>
      <c r="L972" s="23"/>
      <c r="M972" s="23">
        <v>0</v>
      </c>
      <c r="N972" s="19">
        <v>26.8</v>
      </c>
      <c r="O972" s="19">
        <v>-67</v>
      </c>
      <c r="P972" s="48">
        <v>67</v>
      </c>
      <c r="Q972" s="17">
        <v>0</v>
      </c>
      <c r="R972" s="24">
        <v>187.6</v>
      </c>
      <c r="S972" s="18" t="s">
        <v>28</v>
      </c>
      <c r="T972" s="25">
        <v>22</v>
      </c>
    </row>
    <row r="973" spans="1:20" s="26" customFormat="1" x14ac:dyDescent="0.25">
      <c r="A973" s="16">
        <v>232867</v>
      </c>
      <c r="B973" s="30" t="s">
        <v>946</v>
      </c>
      <c r="C973" s="20" t="s">
        <v>651</v>
      </c>
      <c r="D973" s="20" t="s">
        <v>716</v>
      </c>
      <c r="E973" s="20" t="s">
        <v>3454</v>
      </c>
      <c r="F973" s="20" t="s">
        <v>3455</v>
      </c>
      <c r="G973" s="21">
        <v>13.4</v>
      </c>
      <c r="H973" s="16">
        <v>16</v>
      </c>
      <c r="I973" s="16">
        <v>11</v>
      </c>
      <c r="J973" s="17">
        <v>67</v>
      </c>
      <c r="K973" s="22"/>
      <c r="L973" s="23"/>
      <c r="M973" s="23">
        <v>0</v>
      </c>
      <c r="N973" s="19">
        <v>26.8</v>
      </c>
      <c r="O973" s="19">
        <v>-67</v>
      </c>
      <c r="P973" s="48">
        <v>67</v>
      </c>
      <c r="Q973" s="17">
        <v>0</v>
      </c>
      <c r="R973" s="24">
        <v>67</v>
      </c>
      <c r="S973" s="18" t="s">
        <v>28</v>
      </c>
      <c r="T973" s="25">
        <v>22</v>
      </c>
    </row>
    <row r="974" spans="1:20" s="26" customFormat="1" x14ac:dyDescent="0.25">
      <c r="A974" s="16">
        <v>233081</v>
      </c>
      <c r="B974" s="30" t="s">
        <v>1006</v>
      </c>
      <c r="C974" s="20" t="s">
        <v>651</v>
      </c>
      <c r="D974" s="20" t="s">
        <v>716</v>
      </c>
      <c r="E974" s="20" t="s">
        <v>3456</v>
      </c>
      <c r="F974" s="20" t="s">
        <v>3457</v>
      </c>
      <c r="G974" s="21">
        <v>13.4</v>
      </c>
      <c r="H974" s="16">
        <v>26</v>
      </c>
      <c r="I974" s="16"/>
      <c r="J974" s="17">
        <v>348.40000000000003</v>
      </c>
      <c r="K974" s="22"/>
      <c r="L974" s="23"/>
      <c r="M974" s="23">
        <v>0</v>
      </c>
      <c r="N974" s="19">
        <v>26.8</v>
      </c>
      <c r="O974" s="19">
        <v>-67</v>
      </c>
      <c r="P974" s="48">
        <v>67</v>
      </c>
      <c r="Q974" s="17">
        <v>0</v>
      </c>
      <c r="R974" s="24">
        <v>348.40000000000003</v>
      </c>
      <c r="S974" s="18" t="s">
        <v>28</v>
      </c>
      <c r="T974" s="25">
        <v>22</v>
      </c>
    </row>
    <row r="975" spans="1:20" s="26" customFormat="1" x14ac:dyDescent="0.25">
      <c r="A975" s="16">
        <v>233170</v>
      </c>
      <c r="B975" s="30" t="s">
        <v>1007</v>
      </c>
      <c r="C975" s="20" t="s">
        <v>651</v>
      </c>
      <c r="D975" s="20" t="s">
        <v>716</v>
      </c>
      <c r="E975" s="20" t="s">
        <v>3458</v>
      </c>
      <c r="F975" s="20" t="s">
        <v>3459</v>
      </c>
      <c r="G975" s="21">
        <v>15.4</v>
      </c>
      <c r="H975" s="16">
        <v>16</v>
      </c>
      <c r="I975" s="16">
        <v>3</v>
      </c>
      <c r="J975" s="17">
        <v>200.20000000000002</v>
      </c>
      <c r="K975" s="22"/>
      <c r="L975" s="23"/>
      <c r="M975" s="23">
        <v>0</v>
      </c>
      <c r="N975" s="19">
        <v>30.8</v>
      </c>
      <c r="O975" s="19">
        <v>-77</v>
      </c>
      <c r="P975" s="48">
        <v>77</v>
      </c>
      <c r="Q975" s="17">
        <v>0</v>
      </c>
      <c r="R975" s="24">
        <v>200.20000000000002</v>
      </c>
      <c r="S975" s="18" t="s">
        <v>28</v>
      </c>
      <c r="T975" s="25">
        <v>22</v>
      </c>
    </row>
    <row r="976" spans="1:20" s="26" customFormat="1" x14ac:dyDescent="0.25">
      <c r="A976" s="16">
        <v>233299</v>
      </c>
      <c r="B976" s="30" t="s">
        <v>1096</v>
      </c>
      <c r="C976" s="20" t="s">
        <v>651</v>
      </c>
      <c r="D976" s="20" t="s">
        <v>719</v>
      </c>
      <c r="E976" s="20" t="s">
        <v>3460</v>
      </c>
      <c r="F976" s="20" t="s">
        <v>3461</v>
      </c>
      <c r="G976" s="21">
        <v>13.4</v>
      </c>
      <c r="H976" s="16">
        <v>16</v>
      </c>
      <c r="I976" s="16"/>
      <c r="J976" s="17">
        <v>214.4</v>
      </c>
      <c r="K976" s="22"/>
      <c r="L976" s="23"/>
      <c r="M976" s="23">
        <v>0</v>
      </c>
      <c r="N976" s="19">
        <v>26.8</v>
      </c>
      <c r="O976" s="19">
        <v>-67</v>
      </c>
      <c r="P976" s="48">
        <v>67</v>
      </c>
      <c r="Q976" s="17">
        <v>0</v>
      </c>
      <c r="R976" s="24">
        <v>214.4</v>
      </c>
      <c r="S976" s="18" t="s">
        <v>28</v>
      </c>
      <c r="T976" s="25">
        <v>22</v>
      </c>
    </row>
    <row r="977" spans="1:20" s="26" customFormat="1" x14ac:dyDescent="0.25">
      <c r="A977" s="16">
        <v>233340</v>
      </c>
      <c r="B977" s="30" t="s">
        <v>1097</v>
      </c>
      <c r="C977" s="20" t="s">
        <v>651</v>
      </c>
      <c r="D977" s="20" t="s">
        <v>716</v>
      </c>
      <c r="E977" s="20" t="s">
        <v>3462</v>
      </c>
      <c r="F977" s="20" t="s">
        <v>3463</v>
      </c>
      <c r="G977" s="21">
        <v>13.4</v>
      </c>
      <c r="H977" s="16">
        <v>16</v>
      </c>
      <c r="I977" s="16">
        <v>3</v>
      </c>
      <c r="J977" s="17">
        <v>174.20000000000002</v>
      </c>
      <c r="K977" s="22"/>
      <c r="L977" s="23"/>
      <c r="M977" s="23">
        <v>0</v>
      </c>
      <c r="N977" s="19">
        <v>26.8</v>
      </c>
      <c r="O977" s="19">
        <v>-67</v>
      </c>
      <c r="P977" s="48">
        <v>67</v>
      </c>
      <c r="Q977" s="17">
        <v>0</v>
      </c>
      <c r="R977" s="24">
        <v>174.20000000000002</v>
      </c>
      <c r="S977" s="18" t="s">
        <v>28</v>
      </c>
      <c r="T977" s="25">
        <v>22</v>
      </c>
    </row>
    <row r="978" spans="1:20" s="26" customFormat="1" x14ac:dyDescent="0.25">
      <c r="A978" s="16">
        <v>233389</v>
      </c>
      <c r="B978" s="30" t="s">
        <v>1098</v>
      </c>
      <c r="C978" s="20" t="s">
        <v>651</v>
      </c>
      <c r="D978" s="20" t="s">
        <v>719</v>
      </c>
      <c r="E978" s="20" t="s">
        <v>3464</v>
      </c>
      <c r="F978" s="20" t="s">
        <v>3465</v>
      </c>
      <c r="G978" s="21">
        <v>18.8</v>
      </c>
      <c r="H978" s="16">
        <v>16</v>
      </c>
      <c r="I978" s="16">
        <v>3</v>
      </c>
      <c r="J978" s="17">
        <v>244.4</v>
      </c>
      <c r="K978" s="22"/>
      <c r="L978" s="23"/>
      <c r="M978" s="23">
        <v>0</v>
      </c>
      <c r="N978" s="19">
        <v>37.6</v>
      </c>
      <c r="O978" s="19">
        <v>-94</v>
      </c>
      <c r="P978" s="48">
        <v>94</v>
      </c>
      <c r="Q978" s="17">
        <v>0</v>
      </c>
      <c r="R978" s="24">
        <v>244.4</v>
      </c>
      <c r="S978" s="18" t="s">
        <v>28</v>
      </c>
      <c r="T978" s="25">
        <v>22</v>
      </c>
    </row>
    <row r="979" spans="1:20" s="26" customFormat="1" x14ac:dyDescent="0.25">
      <c r="A979" s="16">
        <v>233390</v>
      </c>
      <c r="B979" s="30" t="s">
        <v>1099</v>
      </c>
      <c r="C979" s="20" t="s">
        <v>651</v>
      </c>
      <c r="D979" s="20" t="s">
        <v>716</v>
      </c>
      <c r="E979" s="20" t="s">
        <v>3466</v>
      </c>
      <c r="F979" s="20" t="s">
        <v>3467</v>
      </c>
      <c r="G979" s="21">
        <v>13.4</v>
      </c>
      <c r="H979" s="16">
        <v>16</v>
      </c>
      <c r="I979" s="16"/>
      <c r="J979" s="17">
        <v>214.4</v>
      </c>
      <c r="K979" s="22"/>
      <c r="L979" s="23"/>
      <c r="M979" s="23">
        <v>0</v>
      </c>
      <c r="N979" s="19">
        <v>26.8</v>
      </c>
      <c r="O979" s="19">
        <v>-67</v>
      </c>
      <c r="P979" s="48">
        <v>67</v>
      </c>
      <c r="Q979" s="17">
        <v>0</v>
      </c>
      <c r="R979" s="24">
        <v>214.4</v>
      </c>
      <c r="S979" s="18" t="s">
        <v>28</v>
      </c>
      <c r="T979" s="25">
        <v>22</v>
      </c>
    </row>
    <row r="980" spans="1:20" s="26" customFormat="1" x14ac:dyDescent="0.25">
      <c r="A980" s="16">
        <v>233420</v>
      </c>
      <c r="B980" s="30" t="s">
        <v>1100</v>
      </c>
      <c r="C980" s="20" t="s">
        <v>651</v>
      </c>
      <c r="D980" s="20" t="s">
        <v>719</v>
      </c>
      <c r="E980" s="20" t="s">
        <v>3468</v>
      </c>
      <c r="F980" s="20" t="s">
        <v>3469</v>
      </c>
      <c r="G980" s="21">
        <v>13.4</v>
      </c>
      <c r="H980" s="16">
        <v>16</v>
      </c>
      <c r="I980" s="16"/>
      <c r="J980" s="17">
        <v>214.4</v>
      </c>
      <c r="K980" s="22"/>
      <c r="L980" s="23"/>
      <c r="M980" s="23">
        <v>0</v>
      </c>
      <c r="N980" s="19">
        <v>26.8</v>
      </c>
      <c r="O980" s="19">
        <v>-67</v>
      </c>
      <c r="P980" s="48">
        <v>67</v>
      </c>
      <c r="Q980" s="17">
        <v>0</v>
      </c>
      <c r="R980" s="24">
        <v>214.4</v>
      </c>
      <c r="S980" s="18" t="s">
        <v>28</v>
      </c>
      <c r="T980" s="25">
        <v>22</v>
      </c>
    </row>
    <row r="981" spans="1:20" s="26" customFormat="1" x14ac:dyDescent="0.25">
      <c r="A981" s="16">
        <v>233474</v>
      </c>
      <c r="B981" s="30" t="s">
        <v>1101</v>
      </c>
      <c r="C981" s="20" t="s">
        <v>651</v>
      </c>
      <c r="D981" s="20" t="s">
        <v>719</v>
      </c>
      <c r="E981" s="20" t="s">
        <v>3470</v>
      </c>
      <c r="F981" s="20" t="s">
        <v>3471</v>
      </c>
      <c r="G981" s="21">
        <v>13.4</v>
      </c>
      <c r="H981" s="16">
        <v>16</v>
      </c>
      <c r="I981" s="16">
        <v>1</v>
      </c>
      <c r="J981" s="17">
        <v>201</v>
      </c>
      <c r="K981" s="22"/>
      <c r="L981" s="23"/>
      <c r="M981" s="23">
        <v>0</v>
      </c>
      <c r="N981" s="19">
        <v>26.8</v>
      </c>
      <c r="O981" s="19">
        <v>-67</v>
      </c>
      <c r="P981" s="48">
        <v>67</v>
      </c>
      <c r="Q981" s="17">
        <v>0</v>
      </c>
      <c r="R981" s="24">
        <v>201</v>
      </c>
      <c r="S981" s="18" t="s">
        <v>28</v>
      </c>
      <c r="T981" s="25">
        <v>22</v>
      </c>
    </row>
    <row r="982" spans="1:20" s="26" customFormat="1" x14ac:dyDescent="0.25">
      <c r="A982" s="16">
        <v>233563</v>
      </c>
      <c r="B982" s="30" t="s">
        <v>1102</v>
      </c>
      <c r="C982" s="20" t="s">
        <v>651</v>
      </c>
      <c r="D982" s="20" t="s">
        <v>716</v>
      </c>
      <c r="E982" s="20" t="s">
        <v>3472</v>
      </c>
      <c r="F982" s="20" t="s">
        <v>3473</v>
      </c>
      <c r="G982" s="21">
        <v>13.4</v>
      </c>
      <c r="H982" s="16">
        <v>16</v>
      </c>
      <c r="I982" s="16">
        <v>1</v>
      </c>
      <c r="J982" s="17">
        <v>201</v>
      </c>
      <c r="K982" s="22"/>
      <c r="L982" s="23"/>
      <c r="M982" s="23">
        <v>0</v>
      </c>
      <c r="N982" s="19">
        <v>26.8</v>
      </c>
      <c r="O982" s="19">
        <v>-67</v>
      </c>
      <c r="P982" s="48">
        <v>67</v>
      </c>
      <c r="Q982" s="17">
        <v>0</v>
      </c>
      <c r="R982" s="24">
        <v>201</v>
      </c>
      <c r="S982" s="18" t="s">
        <v>28</v>
      </c>
      <c r="T982" s="25">
        <v>22</v>
      </c>
    </row>
    <row r="983" spans="1:20" s="26" customFormat="1" x14ac:dyDescent="0.25">
      <c r="A983" s="16">
        <v>233572</v>
      </c>
      <c r="B983" s="30" t="s">
        <v>1103</v>
      </c>
      <c r="C983" s="20" t="s">
        <v>651</v>
      </c>
      <c r="D983" s="20" t="s">
        <v>716</v>
      </c>
      <c r="E983" s="20" t="s">
        <v>3474</v>
      </c>
      <c r="F983" s="20" t="s">
        <v>3475</v>
      </c>
      <c r="G983" s="21">
        <v>13.4</v>
      </c>
      <c r="H983" s="16">
        <v>16</v>
      </c>
      <c r="I983" s="16"/>
      <c r="J983" s="17">
        <v>214.4</v>
      </c>
      <c r="K983" s="22"/>
      <c r="L983" s="23"/>
      <c r="M983" s="23">
        <v>0</v>
      </c>
      <c r="N983" s="19">
        <v>26.8</v>
      </c>
      <c r="O983" s="19">
        <v>-67</v>
      </c>
      <c r="P983" s="48">
        <v>67</v>
      </c>
      <c r="Q983" s="17">
        <v>0</v>
      </c>
      <c r="R983" s="24">
        <v>214.4</v>
      </c>
      <c r="S983" s="18" t="s">
        <v>28</v>
      </c>
      <c r="T983" s="25">
        <v>22</v>
      </c>
    </row>
    <row r="984" spans="1:20" s="26" customFormat="1" x14ac:dyDescent="0.25">
      <c r="A984" s="16">
        <v>233899</v>
      </c>
      <c r="B984" s="30" t="s">
        <v>1104</v>
      </c>
      <c r="C984" s="20" t="s">
        <v>651</v>
      </c>
      <c r="D984" s="20" t="s">
        <v>716</v>
      </c>
      <c r="E984" s="20" t="s">
        <v>3476</v>
      </c>
      <c r="F984" s="20" t="s">
        <v>3477</v>
      </c>
      <c r="G984" s="21">
        <v>13.4</v>
      </c>
      <c r="H984" s="16">
        <v>16</v>
      </c>
      <c r="I984" s="16"/>
      <c r="J984" s="17">
        <v>214.4</v>
      </c>
      <c r="K984" s="22"/>
      <c r="L984" s="23"/>
      <c r="M984" s="23">
        <v>0</v>
      </c>
      <c r="N984" s="19">
        <v>26.8</v>
      </c>
      <c r="O984" s="19">
        <v>-67</v>
      </c>
      <c r="P984" s="48">
        <v>67</v>
      </c>
      <c r="Q984" s="17">
        <v>0</v>
      </c>
      <c r="R984" s="24">
        <v>214.4</v>
      </c>
      <c r="S984" s="18" t="s">
        <v>28</v>
      </c>
      <c r="T984" s="25">
        <v>22</v>
      </c>
    </row>
    <row r="985" spans="1:20" s="26" customFormat="1" x14ac:dyDescent="0.25">
      <c r="A985" s="16">
        <v>233954</v>
      </c>
      <c r="B985" s="30" t="s">
        <v>1222</v>
      </c>
      <c r="C985" s="20" t="s">
        <v>651</v>
      </c>
      <c r="D985" s="20" t="s">
        <v>716</v>
      </c>
      <c r="E985" s="20" t="s">
        <v>3478</v>
      </c>
      <c r="F985" s="20" t="s">
        <v>3479</v>
      </c>
      <c r="G985" s="21">
        <v>13.4</v>
      </c>
      <c r="H985" s="16">
        <v>16</v>
      </c>
      <c r="I985" s="16"/>
      <c r="J985" s="17">
        <v>214.4</v>
      </c>
      <c r="K985" s="22"/>
      <c r="L985" s="23"/>
      <c r="M985" s="23">
        <v>0</v>
      </c>
      <c r="N985" s="19">
        <v>26.8</v>
      </c>
      <c r="O985" s="19">
        <v>-67</v>
      </c>
      <c r="P985" s="48">
        <v>67</v>
      </c>
      <c r="Q985" s="17">
        <v>0</v>
      </c>
      <c r="R985" s="24">
        <v>214.4</v>
      </c>
      <c r="S985" s="18" t="s">
        <v>28</v>
      </c>
      <c r="T985" s="25">
        <v>22</v>
      </c>
    </row>
    <row r="986" spans="1:20" s="26" customFormat="1" x14ac:dyDescent="0.25">
      <c r="A986" s="16">
        <v>234447</v>
      </c>
      <c r="B986" s="30" t="s">
        <v>1296</v>
      </c>
      <c r="C986" s="20" t="s">
        <v>651</v>
      </c>
      <c r="D986" s="20" t="s">
        <v>716</v>
      </c>
      <c r="E986" s="20" t="s">
        <v>3480</v>
      </c>
      <c r="F986" s="20" t="s">
        <v>3481</v>
      </c>
      <c r="G986" s="21">
        <v>13.4</v>
      </c>
      <c r="H986" s="16">
        <v>16</v>
      </c>
      <c r="I986" s="16"/>
      <c r="J986" s="17">
        <v>214.4</v>
      </c>
      <c r="K986" s="22"/>
      <c r="L986" s="23"/>
      <c r="M986" s="23">
        <v>0</v>
      </c>
      <c r="N986" s="19">
        <v>26.8</v>
      </c>
      <c r="O986" s="19">
        <v>-67</v>
      </c>
      <c r="P986" s="48">
        <v>67</v>
      </c>
      <c r="Q986" s="17">
        <v>0</v>
      </c>
      <c r="R986" s="24">
        <v>214.4</v>
      </c>
      <c r="S986" s="18" t="s">
        <v>28</v>
      </c>
      <c r="T986" s="25">
        <v>22</v>
      </c>
    </row>
    <row r="987" spans="1:20" s="26" customFormat="1" x14ac:dyDescent="0.25">
      <c r="A987" s="16">
        <v>234506</v>
      </c>
      <c r="B987" s="30" t="s">
        <v>1297</v>
      </c>
      <c r="C987" s="20" t="s">
        <v>651</v>
      </c>
      <c r="D987" s="20" t="s">
        <v>716</v>
      </c>
      <c r="E987" s="20" t="s">
        <v>3482</v>
      </c>
      <c r="F987" s="20" t="s">
        <v>3483</v>
      </c>
      <c r="G987" s="21">
        <v>13.4</v>
      </c>
      <c r="H987" s="16">
        <v>16</v>
      </c>
      <c r="I987" s="16"/>
      <c r="J987" s="17">
        <v>214.4</v>
      </c>
      <c r="K987" s="22"/>
      <c r="L987" s="23"/>
      <c r="M987" s="23">
        <v>0</v>
      </c>
      <c r="N987" s="19">
        <v>26.8</v>
      </c>
      <c r="O987" s="19">
        <v>-67</v>
      </c>
      <c r="P987" s="48">
        <v>67</v>
      </c>
      <c r="Q987" s="17">
        <v>0</v>
      </c>
      <c r="R987" s="24">
        <v>214.4</v>
      </c>
      <c r="S987" s="18" t="s">
        <v>28</v>
      </c>
      <c r="T987" s="25">
        <v>22</v>
      </c>
    </row>
    <row r="988" spans="1:20" s="26" customFormat="1" x14ac:dyDescent="0.25">
      <c r="A988" s="16">
        <v>234661</v>
      </c>
      <c r="B988" s="30" t="s">
        <v>1327</v>
      </c>
      <c r="C988" s="20" t="s">
        <v>651</v>
      </c>
      <c r="D988" s="20" t="s">
        <v>716</v>
      </c>
      <c r="E988" s="20" t="s">
        <v>3484</v>
      </c>
      <c r="F988" s="20" t="s">
        <v>3485</v>
      </c>
      <c r="G988" s="21">
        <v>13.4</v>
      </c>
      <c r="H988" s="16">
        <v>16</v>
      </c>
      <c r="I988" s="16"/>
      <c r="J988" s="17">
        <v>214.4</v>
      </c>
      <c r="K988" s="22"/>
      <c r="L988" s="23"/>
      <c r="M988" s="23">
        <v>0</v>
      </c>
      <c r="N988" s="19">
        <v>26.8</v>
      </c>
      <c r="O988" s="19">
        <v>-67</v>
      </c>
      <c r="P988" s="48">
        <v>67</v>
      </c>
      <c r="Q988" s="17">
        <v>0</v>
      </c>
      <c r="R988" s="24">
        <v>214.4</v>
      </c>
      <c r="S988" s="18" t="s">
        <v>28</v>
      </c>
      <c r="T988" s="25">
        <v>22</v>
      </c>
    </row>
    <row r="989" spans="1:20" s="26" customFormat="1" x14ac:dyDescent="0.25">
      <c r="A989" s="16">
        <v>234878</v>
      </c>
      <c r="B989" s="30" t="s">
        <v>1498</v>
      </c>
      <c r="C989" s="20" t="s">
        <v>651</v>
      </c>
      <c r="D989" s="20" t="s">
        <v>716</v>
      </c>
      <c r="E989" s="20" t="s">
        <v>3486</v>
      </c>
      <c r="F989" s="20" t="s">
        <v>3487</v>
      </c>
      <c r="G989" s="21">
        <v>13.4</v>
      </c>
      <c r="H989" s="16">
        <v>16</v>
      </c>
      <c r="I989" s="16"/>
      <c r="J989" s="17">
        <v>214.4</v>
      </c>
      <c r="K989" s="22"/>
      <c r="L989" s="23"/>
      <c r="M989" s="23">
        <v>0</v>
      </c>
      <c r="N989" s="19">
        <v>26.8</v>
      </c>
      <c r="O989" s="19">
        <v>-67</v>
      </c>
      <c r="P989" s="48">
        <v>67</v>
      </c>
      <c r="Q989" s="17">
        <v>0</v>
      </c>
      <c r="R989" s="24">
        <v>214.4</v>
      </c>
      <c r="S989" s="18" t="s">
        <v>28</v>
      </c>
      <c r="T989" s="25">
        <v>22</v>
      </c>
    </row>
    <row r="990" spans="1:20" s="26" customFormat="1" x14ac:dyDescent="0.25">
      <c r="A990" s="16">
        <v>234921</v>
      </c>
      <c r="B990" s="30" t="s">
        <v>1499</v>
      </c>
      <c r="C990" s="20" t="s">
        <v>651</v>
      </c>
      <c r="D990" s="20" t="s">
        <v>716</v>
      </c>
      <c r="E990" s="20" t="s">
        <v>3488</v>
      </c>
      <c r="F990" s="20" t="s">
        <v>3489</v>
      </c>
      <c r="G990" s="21">
        <v>13.4</v>
      </c>
      <c r="H990" s="16">
        <v>16</v>
      </c>
      <c r="I990" s="16">
        <v>3</v>
      </c>
      <c r="J990" s="17">
        <v>174.20000000000002</v>
      </c>
      <c r="K990" s="22"/>
      <c r="L990" s="23"/>
      <c r="M990" s="23">
        <v>0</v>
      </c>
      <c r="N990" s="19">
        <v>26.8</v>
      </c>
      <c r="O990" s="19">
        <v>-67</v>
      </c>
      <c r="P990" s="48">
        <v>67</v>
      </c>
      <c r="Q990" s="17">
        <v>0</v>
      </c>
      <c r="R990" s="24">
        <v>174.20000000000002</v>
      </c>
      <c r="S990" s="18" t="s">
        <v>28</v>
      </c>
      <c r="T990" s="25">
        <v>22</v>
      </c>
    </row>
    <row r="991" spans="1:20" s="26" customFormat="1" x14ac:dyDescent="0.25">
      <c r="A991" s="16">
        <v>10483</v>
      </c>
      <c r="B991" s="30" t="s">
        <v>852</v>
      </c>
      <c r="C991" s="20" t="s">
        <v>652</v>
      </c>
      <c r="D991" s="20" t="s">
        <v>739</v>
      </c>
      <c r="E991" s="20" t="s">
        <v>3490</v>
      </c>
      <c r="F991" s="20" t="s">
        <v>3491</v>
      </c>
      <c r="G991" s="21">
        <v>29.2</v>
      </c>
      <c r="H991" s="16">
        <v>26</v>
      </c>
      <c r="I991" s="16"/>
      <c r="J991" s="17">
        <v>759.19999999999993</v>
      </c>
      <c r="K991" s="22"/>
      <c r="L991" s="23">
        <v>337.95</v>
      </c>
      <c r="M991" s="23">
        <v>337.95</v>
      </c>
      <c r="N991" s="19">
        <v>58.4</v>
      </c>
      <c r="O991" s="19">
        <v>191.95</v>
      </c>
      <c r="P991" s="48">
        <v>146</v>
      </c>
      <c r="Q991" s="17">
        <v>191.95</v>
      </c>
      <c r="R991" s="24">
        <v>567.25</v>
      </c>
      <c r="S991" s="18" t="s">
        <v>11</v>
      </c>
      <c r="T991" s="25">
        <v>22</v>
      </c>
    </row>
    <row r="992" spans="1:20" s="26" customFormat="1" x14ac:dyDescent="0.25">
      <c r="A992" s="16">
        <v>222119</v>
      </c>
      <c r="B992" s="30" t="s">
        <v>480</v>
      </c>
      <c r="C992" s="20" t="s">
        <v>1388</v>
      </c>
      <c r="D992" s="20" t="s">
        <v>1389</v>
      </c>
      <c r="E992" s="20" t="s">
        <v>3492</v>
      </c>
      <c r="F992" s="20" t="s">
        <v>3493</v>
      </c>
      <c r="G992" s="21">
        <v>14.2</v>
      </c>
      <c r="H992" s="16">
        <v>26</v>
      </c>
      <c r="I992" s="16"/>
      <c r="J992" s="17">
        <v>369.2</v>
      </c>
      <c r="K992" s="22"/>
      <c r="L992" s="23"/>
      <c r="M992" s="23">
        <v>0</v>
      </c>
      <c r="N992" s="19">
        <v>28.4</v>
      </c>
      <c r="O992" s="19">
        <v>-71</v>
      </c>
      <c r="P992" s="48">
        <v>71</v>
      </c>
      <c r="Q992" s="17">
        <v>0</v>
      </c>
      <c r="R992" s="24">
        <v>369.2</v>
      </c>
      <c r="S992" s="18" t="s">
        <v>28</v>
      </c>
      <c r="T992" s="25">
        <v>22</v>
      </c>
    </row>
    <row r="993" spans="1:20" s="26" customFormat="1" x14ac:dyDescent="0.25">
      <c r="A993" s="16">
        <v>211813</v>
      </c>
      <c r="B993" s="30" t="s">
        <v>468</v>
      </c>
      <c r="C993" s="20" t="s">
        <v>635</v>
      </c>
      <c r="D993" s="20" t="s">
        <v>698</v>
      </c>
      <c r="E993" s="20" t="s">
        <v>3494</v>
      </c>
      <c r="F993" s="20" t="s">
        <v>3495</v>
      </c>
      <c r="G993" s="21">
        <v>14.2</v>
      </c>
      <c r="H993" s="16">
        <v>26</v>
      </c>
      <c r="I993" s="16"/>
      <c r="J993" s="17">
        <v>369.2</v>
      </c>
      <c r="K993" s="22"/>
      <c r="L993" s="23"/>
      <c r="M993" s="23">
        <v>0</v>
      </c>
      <c r="N993" s="19">
        <v>28.4</v>
      </c>
      <c r="O993" s="19">
        <v>-71</v>
      </c>
      <c r="P993" s="48">
        <v>71</v>
      </c>
      <c r="Q993" s="17">
        <v>0</v>
      </c>
      <c r="R993" s="24">
        <v>369.2</v>
      </c>
      <c r="S993" s="18" t="s">
        <v>28</v>
      </c>
      <c r="T993" s="25">
        <v>22</v>
      </c>
    </row>
    <row r="994" spans="1:20" s="26" customFormat="1" x14ac:dyDescent="0.25">
      <c r="A994" s="16">
        <v>226106</v>
      </c>
      <c r="B994" s="30" t="s">
        <v>300</v>
      </c>
      <c r="C994" s="20" t="s">
        <v>635</v>
      </c>
      <c r="D994" s="20" t="s">
        <v>689</v>
      </c>
      <c r="E994" s="20" t="s">
        <v>3496</v>
      </c>
      <c r="F994" s="20" t="s">
        <v>3497</v>
      </c>
      <c r="G994" s="21">
        <v>16.5</v>
      </c>
      <c r="H994" s="16">
        <v>26</v>
      </c>
      <c r="I994" s="16">
        <v>1</v>
      </c>
      <c r="J994" s="17">
        <v>412.5</v>
      </c>
      <c r="K994" s="22"/>
      <c r="L994" s="23"/>
      <c r="M994" s="23">
        <v>0</v>
      </c>
      <c r="N994" s="19">
        <v>33</v>
      </c>
      <c r="O994" s="19">
        <v>-82.5</v>
      </c>
      <c r="P994" s="48">
        <v>82.5</v>
      </c>
      <c r="Q994" s="17">
        <v>0</v>
      </c>
      <c r="R994" s="24">
        <v>412.5</v>
      </c>
      <c r="S994" s="18" t="s">
        <v>28</v>
      </c>
      <c r="T994" s="25">
        <v>22</v>
      </c>
    </row>
    <row r="995" spans="1:20" s="26" customFormat="1" x14ac:dyDescent="0.25">
      <c r="A995" s="16">
        <v>231226</v>
      </c>
      <c r="B995" s="30" t="s">
        <v>797</v>
      </c>
      <c r="C995" s="20" t="s">
        <v>636</v>
      </c>
      <c r="D995" s="20" t="s">
        <v>729</v>
      </c>
      <c r="E995" s="20" t="s">
        <v>3498</v>
      </c>
      <c r="F995" s="20" t="s">
        <v>3499</v>
      </c>
      <c r="G995" s="21">
        <v>9.4</v>
      </c>
      <c r="H995" s="16">
        <v>22</v>
      </c>
      <c r="I995" s="16">
        <v>3</v>
      </c>
      <c r="J995" s="17">
        <v>178.6</v>
      </c>
      <c r="K995" s="22"/>
      <c r="L995" s="23"/>
      <c r="M995" s="23">
        <v>0</v>
      </c>
      <c r="N995" s="19">
        <v>18.8</v>
      </c>
      <c r="O995" s="19">
        <v>-47</v>
      </c>
      <c r="P995" s="48">
        <v>47</v>
      </c>
      <c r="Q995" s="17">
        <v>0</v>
      </c>
      <c r="R995" s="24">
        <v>178.6</v>
      </c>
      <c r="S995" s="18" t="s">
        <v>28</v>
      </c>
      <c r="T995" s="25">
        <v>22</v>
      </c>
    </row>
    <row r="996" spans="1:20" s="26" customFormat="1" x14ac:dyDescent="0.25">
      <c r="A996" s="16">
        <v>231625</v>
      </c>
      <c r="B996" s="30" t="s">
        <v>853</v>
      </c>
      <c r="C996" s="20" t="s">
        <v>636</v>
      </c>
      <c r="D996" s="20" t="s">
        <v>729</v>
      </c>
      <c r="E996" s="20" t="s">
        <v>3500</v>
      </c>
      <c r="F996" s="20" t="s">
        <v>3501</v>
      </c>
      <c r="G996" s="21">
        <v>13.4</v>
      </c>
      <c r="H996" s="16">
        <v>22</v>
      </c>
      <c r="I996" s="16"/>
      <c r="J996" s="17">
        <v>294.8</v>
      </c>
      <c r="K996" s="22"/>
      <c r="L996" s="23"/>
      <c r="M996" s="23">
        <v>0</v>
      </c>
      <c r="N996" s="19">
        <v>26.8</v>
      </c>
      <c r="O996" s="19">
        <v>-67</v>
      </c>
      <c r="P996" s="48">
        <v>67</v>
      </c>
      <c r="Q996" s="17">
        <v>0</v>
      </c>
      <c r="R996" s="24">
        <v>294.8</v>
      </c>
      <c r="S996" s="18" t="s">
        <v>28</v>
      </c>
      <c r="T996" s="25">
        <v>22</v>
      </c>
    </row>
    <row r="997" spans="1:20" s="26" customFormat="1" x14ac:dyDescent="0.25">
      <c r="A997" s="16">
        <v>231626</v>
      </c>
      <c r="B997" s="30" t="s">
        <v>854</v>
      </c>
      <c r="C997" s="20" t="s">
        <v>636</v>
      </c>
      <c r="D997" s="20" t="s">
        <v>730</v>
      </c>
      <c r="E997" s="20" t="s">
        <v>3502</v>
      </c>
      <c r="F997" s="20" t="s">
        <v>3503</v>
      </c>
      <c r="G997" s="21">
        <v>13.4</v>
      </c>
      <c r="H997" s="16">
        <v>22</v>
      </c>
      <c r="I997" s="16"/>
      <c r="J997" s="17">
        <v>294.8</v>
      </c>
      <c r="K997" s="22"/>
      <c r="L997" s="23"/>
      <c r="M997" s="23">
        <v>0</v>
      </c>
      <c r="N997" s="19">
        <v>26.8</v>
      </c>
      <c r="O997" s="19">
        <v>-67</v>
      </c>
      <c r="P997" s="48">
        <v>67</v>
      </c>
      <c r="Q997" s="17">
        <v>0</v>
      </c>
      <c r="R997" s="24">
        <v>294.8</v>
      </c>
      <c r="S997" s="18" t="s">
        <v>28</v>
      </c>
      <c r="T997" s="25">
        <v>22</v>
      </c>
    </row>
    <row r="998" spans="1:20" s="26" customFormat="1" x14ac:dyDescent="0.25">
      <c r="A998" s="16">
        <v>231627</v>
      </c>
      <c r="B998" s="30" t="s">
        <v>855</v>
      </c>
      <c r="C998" s="20" t="s">
        <v>636</v>
      </c>
      <c r="D998" s="20" t="s">
        <v>730</v>
      </c>
      <c r="E998" s="20" t="s">
        <v>3504</v>
      </c>
      <c r="F998" s="20" t="s">
        <v>3505</v>
      </c>
      <c r="G998" s="21">
        <v>13.4</v>
      </c>
      <c r="H998" s="16">
        <v>22</v>
      </c>
      <c r="I998" s="16"/>
      <c r="J998" s="17">
        <v>294.8</v>
      </c>
      <c r="K998" s="22"/>
      <c r="L998" s="23"/>
      <c r="M998" s="23">
        <v>0</v>
      </c>
      <c r="N998" s="19">
        <v>26.8</v>
      </c>
      <c r="O998" s="19">
        <v>-67</v>
      </c>
      <c r="P998" s="48">
        <v>67</v>
      </c>
      <c r="Q998" s="17">
        <v>0</v>
      </c>
      <c r="R998" s="24">
        <v>294.8</v>
      </c>
      <c r="S998" s="18" t="s">
        <v>28</v>
      </c>
      <c r="T998" s="25">
        <v>22</v>
      </c>
    </row>
    <row r="999" spans="1:20" s="26" customFormat="1" x14ac:dyDescent="0.25">
      <c r="A999" s="16">
        <v>233235</v>
      </c>
      <c r="B999" s="30" t="s">
        <v>1008</v>
      </c>
      <c r="C999" s="20" t="s">
        <v>636</v>
      </c>
      <c r="D999" s="20" t="s">
        <v>729</v>
      </c>
      <c r="E999" s="20" t="s">
        <v>3506</v>
      </c>
      <c r="F999" s="20" t="s">
        <v>3507</v>
      </c>
      <c r="G999" s="21">
        <v>18.8</v>
      </c>
      <c r="H999" s="16">
        <v>22</v>
      </c>
      <c r="I999" s="16">
        <v>1</v>
      </c>
      <c r="J999" s="17">
        <v>394.8</v>
      </c>
      <c r="K999" s="22"/>
      <c r="L999" s="23"/>
      <c r="M999" s="23">
        <v>0</v>
      </c>
      <c r="N999" s="19">
        <v>37.6</v>
      </c>
      <c r="O999" s="19">
        <v>-94</v>
      </c>
      <c r="P999" s="48">
        <v>94</v>
      </c>
      <c r="Q999" s="17">
        <v>0</v>
      </c>
      <c r="R999" s="24">
        <v>394.8</v>
      </c>
      <c r="S999" s="18" t="s">
        <v>28</v>
      </c>
      <c r="T999" s="25">
        <v>22</v>
      </c>
    </row>
    <row r="1000" spans="1:20" s="26" customFormat="1" x14ac:dyDescent="0.25">
      <c r="A1000" s="16">
        <v>233236</v>
      </c>
      <c r="B1000" s="30" t="s">
        <v>1009</v>
      </c>
      <c r="C1000" s="20" t="s">
        <v>636</v>
      </c>
      <c r="D1000" s="20" t="s">
        <v>729</v>
      </c>
      <c r="E1000" s="20" t="s">
        <v>3508</v>
      </c>
      <c r="F1000" s="20" t="s">
        <v>3509</v>
      </c>
      <c r="G1000" s="21">
        <v>13.4</v>
      </c>
      <c r="H1000" s="16">
        <v>22</v>
      </c>
      <c r="I1000" s="16">
        <v>5</v>
      </c>
      <c r="J1000" s="17">
        <v>227.8</v>
      </c>
      <c r="K1000" s="22"/>
      <c r="L1000" s="23"/>
      <c r="M1000" s="23">
        <v>0</v>
      </c>
      <c r="N1000" s="19">
        <v>26.8</v>
      </c>
      <c r="O1000" s="19">
        <v>-67</v>
      </c>
      <c r="P1000" s="48">
        <v>67</v>
      </c>
      <c r="Q1000" s="17">
        <v>0</v>
      </c>
      <c r="R1000" s="24">
        <v>227.8</v>
      </c>
      <c r="S1000" s="18" t="s">
        <v>28</v>
      </c>
      <c r="T1000" s="25">
        <v>22</v>
      </c>
    </row>
    <row r="1001" spans="1:20" s="26" customFormat="1" x14ac:dyDescent="0.25">
      <c r="A1001" s="16">
        <v>234094</v>
      </c>
      <c r="B1001" s="30" t="s">
        <v>1223</v>
      </c>
      <c r="C1001" s="20" t="s">
        <v>636</v>
      </c>
      <c r="D1001" s="20" t="s">
        <v>729</v>
      </c>
      <c r="E1001" s="20" t="s">
        <v>3510</v>
      </c>
      <c r="F1001" s="20" t="s">
        <v>3511</v>
      </c>
      <c r="G1001" s="21">
        <v>13.4</v>
      </c>
      <c r="H1001" s="16">
        <v>22</v>
      </c>
      <c r="I1001" s="16">
        <v>1</v>
      </c>
      <c r="J1001" s="17">
        <v>281.40000000000003</v>
      </c>
      <c r="K1001" s="22"/>
      <c r="L1001" s="23"/>
      <c r="M1001" s="23">
        <v>0</v>
      </c>
      <c r="N1001" s="19">
        <v>26.8</v>
      </c>
      <c r="O1001" s="19">
        <v>-67</v>
      </c>
      <c r="P1001" s="48">
        <v>67</v>
      </c>
      <c r="Q1001" s="17">
        <v>0</v>
      </c>
      <c r="R1001" s="24">
        <v>281.40000000000003</v>
      </c>
      <c r="S1001" s="18" t="s">
        <v>28</v>
      </c>
      <c r="T1001" s="25">
        <v>22</v>
      </c>
    </row>
    <row r="1002" spans="1:20" s="26" customFormat="1" x14ac:dyDescent="0.25">
      <c r="A1002" s="16">
        <v>234096</v>
      </c>
      <c r="B1002" s="30" t="s">
        <v>1224</v>
      </c>
      <c r="C1002" s="20" t="s">
        <v>636</v>
      </c>
      <c r="D1002" s="20" t="s">
        <v>729</v>
      </c>
      <c r="E1002" s="20" t="s">
        <v>3512</v>
      </c>
      <c r="F1002" s="20" t="s">
        <v>3513</v>
      </c>
      <c r="G1002" s="21">
        <v>20.100000000000001</v>
      </c>
      <c r="H1002" s="16">
        <v>22</v>
      </c>
      <c r="I1002" s="16">
        <v>1</v>
      </c>
      <c r="J1002" s="17">
        <v>422.1</v>
      </c>
      <c r="K1002" s="22"/>
      <c r="L1002" s="23"/>
      <c r="M1002" s="23">
        <v>0</v>
      </c>
      <c r="N1002" s="19">
        <v>40.200000000000003</v>
      </c>
      <c r="O1002" s="19">
        <v>-100.5</v>
      </c>
      <c r="P1002" s="48">
        <v>100.5</v>
      </c>
      <c r="Q1002" s="17">
        <v>0</v>
      </c>
      <c r="R1002" s="24">
        <v>422.1</v>
      </c>
      <c r="S1002" s="18" t="s">
        <v>28</v>
      </c>
      <c r="T1002" s="25">
        <v>22</v>
      </c>
    </row>
    <row r="1003" spans="1:20" s="26" customFormat="1" x14ac:dyDescent="0.25">
      <c r="A1003" s="16">
        <v>234097</v>
      </c>
      <c r="B1003" s="30" t="s">
        <v>1225</v>
      </c>
      <c r="C1003" s="20" t="s">
        <v>636</v>
      </c>
      <c r="D1003" s="20" t="s">
        <v>729</v>
      </c>
      <c r="E1003" s="20" t="s">
        <v>3514</v>
      </c>
      <c r="F1003" s="20" t="s">
        <v>3515</v>
      </c>
      <c r="G1003" s="21">
        <v>13.4</v>
      </c>
      <c r="H1003" s="16">
        <v>22</v>
      </c>
      <c r="I1003" s="16"/>
      <c r="J1003" s="17">
        <v>294.8</v>
      </c>
      <c r="K1003" s="22"/>
      <c r="L1003" s="23"/>
      <c r="M1003" s="23">
        <v>0</v>
      </c>
      <c r="N1003" s="19">
        <v>26.8</v>
      </c>
      <c r="O1003" s="19">
        <v>-67</v>
      </c>
      <c r="P1003" s="48">
        <v>67</v>
      </c>
      <c r="Q1003" s="17">
        <v>0</v>
      </c>
      <c r="R1003" s="24">
        <v>294.8</v>
      </c>
      <c r="S1003" s="18" t="s">
        <v>28</v>
      </c>
      <c r="T1003" s="25">
        <v>22</v>
      </c>
    </row>
    <row r="1004" spans="1:20" s="26" customFormat="1" x14ac:dyDescent="0.25">
      <c r="A1004" s="16">
        <v>235048</v>
      </c>
      <c r="B1004" s="30" t="s">
        <v>1500</v>
      </c>
      <c r="C1004" s="20" t="s">
        <v>636</v>
      </c>
      <c r="D1004" s="20" t="s">
        <v>729</v>
      </c>
      <c r="E1004" s="20" t="s">
        <v>3516</v>
      </c>
      <c r="F1004" s="20" t="s">
        <v>3517</v>
      </c>
      <c r="G1004" s="21">
        <v>16.100000000000001</v>
      </c>
      <c r="H1004" s="16">
        <v>22</v>
      </c>
      <c r="I1004" s="16"/>
      <c r="J1004" s="17">
        <v>354.20000000000005</v>
      </c>
      <c r="K1004" s="22"/>
      <c r="L1004" s="23">
        <v>11.9</v>
      </c>
      <c r="M1004" s="23">
        <v>11.9</v>
      </c>
      <c r="N1004" s="19">
        <v>32.200000000000003</v>
      </c>
      <c r="O1004" s="19">
        <v>-68.599999999999994</v>
      </c>
      <c r="P1004" s="48">
        <v>80.5</v>
      </c>
      <c r="Q1004" s="17">
        <v>0</v>
      </c>
      <c r="R1004" s="24">
        <v>354.20000000000005</v>
      </c>
      <c r="S1004" s="18" t="s">
        <v>28</v>
      </c>
      <c r="T1004" s="25">
        <v>22</v>
      </c>
    </row>
    <row r="1005" spans="1:20" s="26" customFormat="1" x14ac:dyDescent="0.25">
      <c r="A1005" s="16">
        <v>235049</v>
      </c>
      <c r="B1005" s="30" t="s">
        <v>1501</v>
      </c>
      <c r="C1005" s="20" t="s">
        <v>636</v>
      </c>
      <c r="D1005" s="20" t="s">
        <v>729</v>
      </c>
      <c r="E1005" s="20" t="s">
        <v>3518</v>
      </c>
      <c r="F1005" s="20" t="s">
        <v>3519</v>
      </c>
      <c r="G1005" s="21">
        <v>13.4</v>
      </c>
      <c r="H1005" s="16">
        <v>22</v>
      </c>
      <c r="I1005" s="16"/>
      <c r="J1005" s="17">
        <v>294.8</v>
      </c>
      <c r="K1005" s="22"/>
      <c r="L1005" s="23">
        <v>11.9</v>
      </c>
      <c r="M1005" s="23">
        <v>11.9</v>
      </c>
      <c r="N1005" s="19">
        <v>26.8</v>
      </c>
      <c r="O1005" s="19">
        <v>-55.1</v>
      </c>
      <c r="P1005" s="48">
        <v>67</v>
      </c>
      <c r="Q1005" s="17">
        <v>0</v>
      </c>
      <c r="R1005" s="24">
        <v>294.8</v>
      </c>
      <c r="S1005" s="18" t="s">
        <v>28</v>
      </c>
      <c r="T1005" s="25">
        <v>22</v>
      </c>
    </row>
    <row r="1006" spans="1:20" s="26" customFormat="1" x14ac:dyDescent="0.25">
      <c r="A1006" s="16">
        <v>221976</v>
      </c>
      <c r="B1006" s="30" t="s">
        <v>470</v>
      </c>
      <c r="C1006" s="20" t="s">
        <v>653</v>
      </c>
      <c r="D1006" s="20" t="s">
        <v>891</v>
      </c>
      <c r="E1006" s="20" t="s">
        <v>3520</v>
      </c>
      <c r="F1006" s="20" t="s">
        <v>3521</v>
      </c>
      <c r="G1006" s="21">
        <v>18.8</v>
      </c>
      <c r="H1006" s="16">
        <v>26</v>
      </c>
      <c r="I1006" s="16">
        <v>1</v>
      </c>
      <c r="J1006" s="17">
        <v>470</v>
      </c>
      <c r="K1006" s="22"/>
      <c r="L1006" s="23"/>
      <c r="M1006" s="23">
        <v>0</v>
      </c>
      <c r="N1006" s="19">
        <v>37.6</v>
      </c>
      <c r="O1006" s="19">
        <v>-94</v>
      </c>
      <c r="P1006" s="48">
        <v>94</v>
      </c>
      <c r="Q1006" s="17">
        <v>0</v>
      </c>
      <c r="R1006" s="24">
        <v>470</v>
      </c>
      <c r="S1006" s="18" t="s">
        <v>28</v>
      </c>
      <c r="T1006" s="25">
        <v>22</v>
      </c>
    </row>
    <row r="1007" spans="1:20" s="26" customFormat="1" x14ac:dyDescent="0.25">
      <c r="A1007" s="16">
        <v>222969</v>
      </c>
      <c r="B1007" s="30" t="s">
        <v>1226</v>
      </c>
      <c r="C1007" s="20" t="s">
        <v>653</v>
      </c>
      <c r="D1007" s="20" t="s">
        <v>714</v>
      </c>
      <c r="E1007" s="20" t="s">
        <v>3522</v>
      </c>
      <c r="F1007" s="20" t="s">
        <v>3523</v>
      </c>
      <c r="G1007" s="21">
        <v>13.1</v>
      </c>
      <c r="H1007" s="16">
        <v>26</v>
      </c>
      <c r="I1007" s="16"/>
      <c r="J1007" s="17">
        <v>340.59999999999997</v>
      </c>
      <c r="K1007" s="22"/>
      <c r="L1007" s="23"/>
      <c r="M1007" s="23">
        <v>0</v>
      </c>
      <c r="N1007" s="19">
        <v>26.2</v>
      </c>
      <c r="O1007" s="19">
        <v>-65.5</v>
      </c>
      <c r="P1007" s="48">
        <v>65.5</v>
      </c>
      <c r="Q1007" s="17">
        <v>0</v>
      </c>
      <c r="R1007" s="24">
        <v>340.59999999999997</v>
      </c>
      <c r="S1007" s="18" t="s">
        <v>28</v>
      </c>
      <c r="T1007" s="25">
        <v>22</v>
      </c>
    </row>
    <row r="1008" spans="1:20" s="26" customFormat="1" x14ac:dyDescent="0.25">
      <c r="A1008" s="16">
        <v>228216</v>
      </c>
      <c r="B1008" s="30" t="s">
        <v>472</v>
      </c>
      <c r="C1008" s="20" t="s">
        <v>653</v>
      </c>
      <c r="D1008" s="20" t="s">
        <v>714</v>
      </c>
      <c r="E1008" s="20" t="s">
        <v>3524</v>
      </c>
      <c r="F1008" s="20" t="s">
        <v>3525</v>
      </c>
      <c r="G1008" s="21">
        <v>15.4</v>
      </c>
      <c r="H1008" s="16">
        <v>26</v>
      </c>
      <c r="I1008" s="16"/>
      <c r="J1008" s="17">
        <v>400.40000000000003</v>
      </c>
      <c r="K1008" s="22"/>
      <c r="L1008" s="23"/>
      <c r="M1008" s="23">
        <v>0</v>
      </c>
      <c r="N1008" s="19">
        <v>30.8</v>
      </c>
      <c r="O1008" s="19">
        <v>-77</v>
      </c>
      <c r="P1008" s="48">
        <v>77</v>
      </c>
      <c r="Q1008" s="17">
        <v>0</v>
      </c>
      <c r="R1008" s="24">
        <v>400.40000000000003</v>
      </c>
      <c r="S1008" s="18" t="s">
        <v>28</v>
      </c>
      <c r="T1008" s="25">
        <v>22</v>
      </c>
    </row>
    <row r="1009" spans="1:20" s="26" customFormat="1" x14ac:dyDescent="0.25">
      <c r="A1009" s="16">
        <v>229279</v>
      </c>
      <c r="B1009" s="30" t="s">
        <v>473</v>
      </c>
      <c r="C1009" s="20" t="s">
        <v>653</v>
      </c>
      <c r="D1009" s="20" t="s">
        <v>714</v>
      </c>
      <c r="E1009" s="20" t="s">
        <v>3526</v>
      </c>
      <c r="F1009" s="20" t="s">
        <v>3527</v>
      </c>
      <c r="G1009" s="21">
        <v>13.4</v>
      </c>
      <c r="H1009" s="16">
        <v>26</v>
      </c>
      <c r="I1009" s="16"/>
      <c r="J1009" s="17">
        <v>348.40000000000003</v>
      </c>
      <c r="K1009" s="22"/>
      <c r="L1009" s="23"/>
      <c r="M1009" s="23">
        <v>0</v>
      </c>
      <c r="N1009" s="19">
        <v>26.8</v>
      </c>
      <c r="O1009" s="19">
        <v>-67</v>
      </c>
      <c r="P1009" s="48">
        <v>67</v>
      </c>
      <c r="Q1009" s="17">
        <v>0</v>
      </c>
      <c r="R1009" s="24">
        <v>348.40000000000003</v>
      </c>
      <c r="S1009" s="18" t="s">
        <v>28</v>
      </c>
      <c r="T1009" s="25">
        <v>22</v>
      </c>
    </row>
    <row r="1010" spans="1:20" s="26" customFormat="1" x14ac:dyDescent="0.25">
      <c r="A1010" s="16">
        <v>229503</v>
      </c>
      <c r="B1010" s="30" t="s">
        <v>474</v>
      </c>
      <c r="C1010" s="20" t="s">
        <v>653</v>
      </c>
      <c r="D1010" s="20" t="s">
        <v>714</v>
      </c>
      <c r="E1010" s="20" t="s">
        <v>3528</v>
      </c>
      <c r="F1010" s="20" t="s">
        <v>3529</v>
      </c>
      <c r="G1010" s="21">
        <v>18.8</v>
      </c>
      <c r="H1010" s="16">
        <v>26</v>
      </c>
      <c r="I1010" s="16"/>
      <c r="J1010" s="17">
        <v>488.8</v>
      </c>
      <c r="K1010" s="22"/>
      <c r="L1010" s="23">
        <v>153.55000000000001</v>
      </c>
      <c r="M1010" s="23">
        <v>153.55000000000001</v>
      </c>
      <c r="N1010" s="19">
        <v>37.6</v>
      </c>
      <c r="O1010" s="19">
        <v>59.550000000000011</v>
      </c>
      <c r="P1010" s="48">
        <v>94</v>
      </c>
      <c r="Q1010" s="17">
        <v>59.550000000000011</v>
      </c>
      <c r="R1010" s="24">
        <v>429.25</v>
      </c>
      <c r="S1010" s="18" t="s">
        <v>11</v>
      </c>
      <c r="T1010" s="25">
        <v>22</v>
      </c>
    </row>
    <row r="1011" spans="1:20" s="26" customFormat="1" x14ac:dyDescent="0.25">
      <c r="A1011" s="16">
        <v>230158</v>
      </c>
      <c r="B1011" s="30" t="s">
        <v>475</v>
      </c>
      <c r="C1011" s="20" t="s">
        <v>653</v>
      </c>
      <c r="D1011" s="20" t="s">
        <v>714</v>
      </c>
      <c r="E1011" s="20" t="s">
        <v>3530</v>
      </c>
      <c r="F1011" s="20" t="s">
        <v>3531</v>
      </c>
      <c r="G1011" s="21">
        <v>13.4</v>
      </c>
      <c r="H1011" s="16">
        <v>26</v>
      </c>
      <c r="I1011" s="16">
        <v>1</v>
      </c>
      <c r="J1011" s="17">
        <v>335</v>
      </c>
      <c r="K1011" s="22"/>
      <c r="L1011" s="23"/>
      <c r="M1011" s="23">
        <v>0</v>
      </c>
      <c r="N1011" s="19">
        <v>26.8</v>
      </c>
      <c r="O1011" s="19">
        <v>-67</v>
      </c>
      <c r="P1011" s="48">
        <v>67</v>
      </c>
      <c r="Q1011" s="17">
        <v>0</v>
      </c>
      <c r="R1011" s="24">
        <v>335</v>
      </c>
      <c r="S1011" s="18" t="s">
        <v>28</v>
      </c>
      <c r="T1011" s="25">
        <v>22</v>
      </c>
    </row>
    <row r="1012" spans="1:20" s="26" customFormat="1" x14ac:dyDescent="0.25">
      <c r="A1012" s="16">
        <v>230693</v>
      </c>
      <c r="B1012" s="30" t="s">
        <v>591</v>
      </c>
      <c r="C1012" s="20" t="s">
        <v>653</v>
      </c>
      <c r="D1012" s="20" t="s">
        <v>714</v>
      </c>
      <c r="E1012" s="20" t="s">
        <v>3532</v>
      </c>
      <c r="F1012" s="20" t="s">
        <v>3533</v>
      </c>
      <c r="G1012" s="21">
        <v>13.4</v>
      </c>
      <c r="H1012" s="16">
        <v>26</v>
      </c>
      <c r="I1012" s="16"/>
      <c r="J1012" s="17">
        <v>348.40000000000003</v>
      </c>
      <c r="K1012" s="22"/>
      <c r="L1012" s="23"/>
      <c r="M1012" s="23">
        <v>0</v>
      </c>
      <c r="N1012" s="19">
        <v>26.8</v>
      </c>
      <c r="O1012" s="19">
        <v>-67</v>
      </c>
      <c r="P1012" s="48">
        <v>67</v>
      </c>
      <c r="Q1012" s="17">
        <v>0</v>
      </c>
      <c r="R1012" s="24">
        <v>348.40000000000003</v>
      </c>
      <c r="S1012" s="18" t="s">
        <v>28</v>
      </c>
      <c r="T1012" s="25">
        <v>22</v>
      </c>
    </row>
    <row r="1013" spans="1:20" s="26" customFormat="1" x14ac:dyDescent="0.25">
      <c r="A1013" s="16">
        <v>230772</v>
      </c>
      <c r="B1013" s="30" t="s">
        <v>592</v>
      </c>
      <c r="C1013" s="20" t="s">
        <v>653</v>
      </c>
      <c r="D1013" s="20" t="s">
        <v>714</v>
      </c>
      <c r="E1013" s="20" t="s">
        <v>3534</v>
      </c>
      <c r="F1013" s="20" t="s">
        <v>3535</v>
      </c>
      <c r="G1013" s="21">
        <v>13.4</v>
      </c>
      <c r="H1013" s="16">
        <v>26</v>
      </c>
      <c r="I1013" s="16">
        <v>1</v>
      </c>
      <c r="J1013" s="17">
        <v>335</v>
      </c>
      <c r="K1013" s="22"/>
      <c r="L1013" s="23"/>
      <c r="M1013" s="23">
        <v>0</v>
      </c>
      <c r="N1013" s="19">
        <v>26.8</v>
      </c>
      <c r="O1013" s="19">
        <v>-67</v>
      </c>
      <c r="P1013" s="48">
        <v>67</v>
      </c>
      <c r="Q1013" s="17">
        <v>0</v>
      </c>
      <c r="R1013" s="24">
        <v>335</v>
      </c>
      <c r="S1013" s="18" t="s">
        <v>28</v>
      </c>
      <c r="T1013" s="25">
        <v>22</v>
      </c>
    </row>
    <row r="1014" spans="1:20" s="26" customFormat="1" x14ac:dyDescent="0.25">
      <c r="A1014" s="16">
        <v>231042</v>
      </c>
      <c r="B1014" s="30" t="s">
        <v>476</v>
      </c>
      <c r="C1014" s="20" t="s">
        <v>653</v>
      </c>
      <c r="D1014" s="20" t="s">
        <v>714</v>
      </c>
      <c r="E1014" s="20" t="s">
        <v>3536</v>
      </c>
      <c r="F1014" s="20" t="s">
        <v>3537</v>
      </c>
      <c r="G1014" s="21">
        <v>13.4</v>
      </c>
      <c r="H1014" s="16">
        <v>26</v>
      </c>
      <c r="I1014" s="16"/>
      <c r="J1014" s="17">
        <v>348.40000000000003</v>
      </c>
      <c r="K1014" s="22"/>
      <c r="L1014" s="23"/>
      <c r="M1014" s="23">
        <v>0</v>
      </c>
      <c r="N1014" s="19">
        <v>26.8</v>
      </c>
      <c r="O1014" s="19">
        <v>-67</v>
      </c>
      <c r="P1014" s="48">
        <v>67</v>
      </c>
      <c r="Q1014" s="17">
        <v>0</v>
      </c>
      <c r="R1014" s="24">
        <v>348.40000000000003</v>
      </c>
      <c r="S1014" s="18" t="s">
        <v>28</v>
      </c>
      <c r="T1014" s="25">
        <v>22</v>
      </c>
    </row>
    <row r="1015" spans="1:20" s="26" customFormat="1" x14ac:dyDescent="0.25">
      <c r="A1015" s="16">
        <v>231177</v>
      </c>
      <c r="B1015" s="30" t="s">
        <v>773</v>
      </c>
      <c r="C1015" s="20" t="s">
        <v>653</v>
      </c>
      <c r="D1015" s="20" t="s">
        <v>714</v>
      </c>
      <c r="E1015" s="20" t="s">
        <v>3538</v>
      </c>
      <c r="F1015" s="20" t="s">
        <v>3539</v>
      </c>
      <c r="G1015" s="21">
        <v>13.4</v>
      </c>
      <c r="H1015" s="16">
        <v>11</v>
      </c>
      <c r="I1015" s="16">
        <v>1</v>
      </c>
      <c r="J1015" s="17">
        <v>134</v>
      </c>
      <c r="K1015" s="22"/>
      <c r="L1015" s="23"/>
      <c r="M1015" s="23">
        <v>0</v>
      </c>
      <c r="N1015" s="19">
        <v>26.8</v>
      </c>
      <c r="O1015" s="19">
        <v>-67</v>
      </c>
      <c r="P1015" s="48">
        <v>67</v>
      </c>
      <c r="Q1015" s="17">
        <v>0</v>
      </c>
      <c r="R1015" s="24">
        <v>134</v>
      </c>
      <c r="S1015" s="18" t="s">
        <v>28</v>
      </c>
      <c r="T1015" s="25">
        <v>22</v>
      </c>
    </row>
    <row r="1016" spans="1:20" s="26" customFormat="1" x14ac:dyDescent="0.25">
      <c r="A1016" s="16">
        <v>231222</v>
      </c>
      <c r="B1016" s="30" t="s">
        <v>1502</v>
      </c>
      <c r="C1016" s="20" t="s">
        <v>653</v>
      </c>
      <c r="D1016" s="20" t="s">
        <v>714</v>
      </c>
      <c r="E1016" s="20" t="s">
        <v>3540</v>
      </c>
      <c r="F1016" s="20" t="s">
        <v>3541</v>
      </c>
      <c r="G1016" s="21">
        <v>13.4</v>
      </c>
      <c r="H1016" s="16">
        <v>26</v>
      </c>
      <c r="I1016" s="16"/>
      <c r="J1016" s="17">
        <v>348.40000000000003</v>
      </c>
      <c r="K1016" s="22"/>
      <c r="L1016" s="23"/>
      <c r="M1016" s="23">
        <v>0</v>
      </c>
      <c r="N1016" s="19">
        <v>26.8</v>
      </c>
      <c r="O1016" s="19">
        <v>-67</v>
      </c>
      <c r="P1016" s="48">
        <v>67</v>
      </c>
      <c r="Q1016" s="17">
        <v>0</v>
      </c>
      <c r="R1016" s="24">
        <v>348.40000000000003</v>
      </c>
      <c r="S1016" s="18" t="s">
        <v>28</v>
      </c>
      <c r="T1016" s="25">
        <v>22</v>
      </c>
    </row>
    <row r="1017" spans="1:20" s="26" customFormat="1" x14ac:dyDescent="0.25">
      <c r="A1017" s="16">
        <v>231827</v>
      </c>
      <c r="B1017" s="30" t="s">
        <v>856</v>
      </c>
      <c r="C1017" s="20" t="s">
        <v>653</v>
      </c>
      <c r="D1017" s="20" t="s">
        <v>714</v>
      </c>
      <c r="E1017" s="20" t="s">
        <v>3542</v>
      </c>
      <c r="F1017" s="20" t="s">
        <v>3543</v>
      </c>
      <c r="G1017" s="21">
        <v>13.4</v>
      </c>
      <c r="H1017" s="16">
        <v>26</v>
      </c>
      <c r="I1017" s="16"/>
      <c r="J1017" s="17">
        <v>348.40000000000003</v>
      </c>
      <c r="K1017" s="22"/>
      <c r="L1017" s="23"/>
      <c r="M1017" s="23">
        <v>0</v>
      </c>
      <c r="N1017" s="19">
        <v>26.8</v>
      </c>
      <c r="O1017" s="19">
        <v>-67</v>
      </c>
      <c r="P1017" s="48">
        <v>67</v>
      </c>
      <c r="Q1017" s="17">
        <v>0</v>
      </c>
      <c r="R1017" s="24">
        <v>348.40000000000003</v>
      </c>
      <c r="S1017" s="18" t="s">
        <v>28</v>
      </c>
      <c r="T1017" s="25">
        <v>22</v>
      </c>
    </row>
    <row r="1018" spans="1:20" s="26" customFormat="1" x14ac:dyDescent="0.25">
      <c r="A1018" s="16">
        <v>233200</v>
      </c>
      <c r="B1018" s="30" t="s">
        <v>1010</v>
      </c>
      <c r="C1018" s="20" t="s">
        <v>653</v>
      </c>
      <c r="D1018" s="20" t="s">
        <v>714</v>
      </c>
      <c r="E1018" s="20" t="s">
        <v>3544</v>
      </c>
      <c r="F1018" s="20" t="s">
        <v>3545</v>
      </c>
      <c r="G1018" s="21">
        <v>18.8</v>
      </c>
      <c r="H1018" s="16">
        <v>26</v>
      </c>
      <c r="I1018" s="16"/>
      <c r="J1018" s="17">
        <v>488.8</v>
      </c>
      <c r="K1018" s="22"/>
      <c r="L1018" s="23">
        <v>81.45</v>
      </c>
      <c r="M1018" s="23">
        <v>81.45</v>
      </c>
      <c r="N1018" s="19">
        <v>37.6</v>
      </c>
      <c r="O1018" s="19">
        <v>-12.549999999999997</v>
      </c>
      <c r="P1018" s="48">
        <v>94</v>
      </c>
      <c r="Q1018" s="17">
        <v>0</v>
      </c>
      <c r="R1018" s="24">
        <v>488.8</v>
      </c>
      <c r="S1018" s="18" t="s">
        <v>28</v>
      </c>
      <c r="T1018" s="25">
        <v>22</v>
      </c>
    </row>
    <row r="1019" spans="1:20" s="26" customFormat="1" x14ac:dyDescent="0.25">
      <c r="A1019" s="16">
        <v>234227</v>
      </c>
      <c r="B1019" s="30" t="s">
        <v>1227</v>
      </c>
      <c r="C1019" s="20" t="s">
        <v>653</v>
      </c>
      <c r="D1019" s="20" t="s">
        <v>714</v>
      </c>
      <c r="E1019" s="20" t="s">
        <v>3546</v>
      </c>
      <c r="F1019" s="20" t="s">
        <v>3547</v>
      </c>
      <c r="G1019" s="21">
        <v>13.4</v>
      </c>
      <c r="H1019" s="16">
        <v>26</v>
      </c>
      <c r="I1019" s="16"/>
      <c r="J1019" s="17">
        <v>348.40000000000003</v>
      </c>
      <c r="K1019" s="22"/>
      <c r="L1019" s="23"/>
      <c r="M1019" s="23">
        <v>0</v>
      </c>
      <c r="N1019" s="19">
        <v>26.8</v>
      </c>
      <c r="O1019" s="19">
        <v>-67</v>
      </c>
      <c r="P1019" s="48">
        <v>67</v>
      </c>
      <c r="Q1019" s="17">
        <v>0</v>
      </c>
      <c r="R1019" s="24">
        <v>348.40000000000003</v>
      </c>
      <c r="S1019" s="18" t="s">
        <v>28</v>
      </c>
      <c r="T1019" s="25">
        <v>22</v>
      </c>
    </row>
    <row r="1020" spans="1:20" s="26" customFormat="1" x14ac:dyDescent="0.25">
      <c r="A1020" s="16">
        <v>235075</v>
      </c>
      <c r="B1020" s="30" t="s">
        <v>1503</v>
      </c>
      <c r="C1020" s="20" t="s">
        <v>653</v>
      </c>
      <c r="D1020" s="20" t="s">
        <v>714</v>
      </c>
      <c r="E1020" s="20" t="s">
        <v>3548</v>
      </c>
      <c r="F1020" s="20" t="s">
        <v>3549</v>
      </c>
      <c r="G1020" s="21">
        <v>13.4</v>
      </c>
      <c r="H1020" s="16">
        <v>26</v>
      </c>
      <c r="I1020" s="16"/>
      <c r="J1020" s="17">
        <v>348.40000000000003</v>
      </c>
      <c r="K1020" s="22"/>
      <c r="L1020" s="23"/>
      <c r="M1020" s="23">
        <v>0</v>
      </c>
      <c r="N1020" s="19">
        <v>26.8</v>
      </c>
      <c r="O1020" s="19">
        <v>-67</v>
      </c>
      <c r="P1020" s="48">
        <v>67</v>
      </c>
      <c r="Q1020" s="17">
        <v>0</v>
      </c>
      <c r="R1020" s="24">
        <v>348.40000000000003</v>
      </c>
      <c r="S1020" s="18" t="s">
        <v>28</v>
      </c>
      <c r="T1020" s="25">
        <v>22</v>
      </c>
    </row>
    <row r="1021" spans="1:20" s="26" customFormat="1" x14ac:dyDescent="0.25">
      <c r="A1021" s="16">
        <v>235106</v>
      </c>
      <c r="B1021" s="30" t="s">
        <v>1504</v>
      </c>
      <c r="C1021" s="20" t="s">
        <v>653</v>
      </c>
      <c r="D1021" s="20" t="s">
        <v>714</v>
      </c>
      <c r="E1021" s="20">
        <v>0</v>
      </c>
      <c r="F1021" s="20" t="s">
        <v>4181</v>
      </c>
      <c r="G1021" s="21">
        <v>13.4</v>
      </c>
      <c r="H1021" s="16">
        <v>0</v>
      </c>
      <c r="I1021" s="16"/>
      <c r="J1021" s="17">
        <v>0</v>
      </c>
      <c r="K1021" s="22"/>
      <c r="L1021" s="23"/>
      <c r="M1021" s="23">
        <v>0</v>
      </c>
      <c r="N1021" s="19">
        <v>26.8</v>
      </c>
      <c r="O1021" s="19">
        <v>-67</v>
      </c>
      <c r="P1021" s="48">
        <v>67</v>
      </c>
      <c r="Q1021" s="17">
        <v>0</v>
      </c>
      <c r="R1021" s="24">
        <v>0</v>
      </c>
      <c r="S1021" s="18" t="s">
        <v>12</v>
      </c>
      <c r="T1021" s="25">
        <v>22</v>
      </c>
    </row>
    <row r="1022" spans="1:20" s="26" customFormat="1" x14ac:dyDescent="0.25">
      <c r="A1022" s="16">
        <v>224336</v>
      </c>
      <c r="B1022" s="30" t="s">
        <v>441</v>
      </c>
      <c r="C1022" s="20" t="s">
        <v>656</v>
      </c>
      <c r="D1022" s="20" t="s">
        <v>740</v>
      </c>
      <c r="E1022" s="20" t="s">
        <v>3550</v>
      </c>
      <c r="F1022" s="20" t="s">
        <v>3551</v>
      </c>
      <c r="G1022" s="21">
        <v>13.4</v>
      </c>
      <c r="H1022" s="16">
        <v>26</v>
      </c>
      <c r="I1022" s="16"/>
      <c r="J1022" s="17">
        <v>348.40000000000003</v>
      </c>
      <c r="K1022" s="22"/>
      <c r="L1022" s="23"/>
      <c r="M1022" s="23">
        <v>0</v>
      </c>
      <c r="N1022" s="19">
        <v>26.8</v>
      </c>
      <c r="O1022" s="19">
        <v>-67</v>
      </c>
      <c r="P1022" s="48">
        <v>67</v>
      </c>
      <c r="Q1022" s="17">
        <v>0</v>
      </c>
      <c r="R1022" s="24">
        <v>348.40000000000003</v>
      </c>
      <c r="S1022" s="18" t="s">
        <v>28</v>
      </c>
      <c r="T1022" s="25">
        <v>22</v>
      </c>
    </row>
    <row r="1023" spans="1:20" s="26" customFormat="1" x14ac:dyDescent="0.25">
      <c r="A1023" s="16">
        <v>4157</v>
      </c>
      <c r="B1023" s="30" t="s">
        <v>477</v>
      </c>
      <c r="C1023" s="20" t="s">
        <v>654</v>
      </c>
      <c r="D1023" s="20" t="s">
        <v>731</v>
      </c>
      <c r="E1023" s="20" t="s">
        <v>3552</v>
      </c>
      <c r="F1023" s="20" t="s">
        <v>3553</v>
      </c>
      <c r="G1023" s="21">
        <v>18.8</v>
      </c>
      <c r="H1023" s="16">
        <v>26</v>
      </c>
      <c r="I1023" s="16"/>
      <c r="J1023" s="17">
        <v>488.8</v>
      </c>
      <c r="K1023" s="22"/>
      <c r="L1023" s="23">
        <v>282.8</v>
      </c>
      <c r="M1023" s="23">
        <v>282.8</v>
      </c>
      <c r="N1023" s="19">
        <v>37.6</v>
      </c>
      <c r="O1023" s="19">
        <v>188.8</v>
      </c>
      <c r="P1023" s="48">
        <v>94</v>
      </c>
      <c r="Q1023" s="17">
        <v>188.8</v>
      </c>
      <c r="R1023" s="24">
        <v>300</v>
      </c>
      <c r="S1023" s="18" t="s">
        <v>11</v>
      </c>
      <c r="T1023" s="25">
        <v>22</v>
      </c>
    </row>
    <row r="1024" spans="1:20" s="26" customFormat="1" x14ac:dyDescent="0.25">
      <c r="A1024" s="16">
        <v>219225</v>
      </c>
      <c r="B1024" s="30" t="s">
        <v>479</v>
      </c>
      <c r="C1024" s="20" t="s">
        <v>654</v>
      </c>
      <c r="D1024" s="20" t="s">
        <v>715</v>
      </c>
      <c r="E1024" s="20" t="s">
        <v>3554</v>
      </c>
      <c r="F1024" s="20" t="s">
        <v>3555</v>
      </c>
      <c r="G1024" s="21">
        <v>13.4</v>
      </c>
      <c r="H1024" s="16">
        <v>26</v>
      </c>
      <c r="I1024" s="16"/>
      <c r="J1024" s="17">
        <v>348.40000000000003</v>
      </c>
      <c r="K1024" s="22"/>
      <c r="L1024" s="23"/>
      <c r="M1024" s="23">
        <v>0</v>
      </c>
      <c r="N1024" s="19">
        <v>26.8</v>
      </c>
      <c r="O1024" s="19">
        <v>-67</v>
      </c>
      <c r="P1024" s="48">
        <v>67</v>
      </c>
      <c r="Q1024" s="17">
        <v>0</v>
      </c>
      <c r="R1024" s="24">
        <v>348.40000000000003</v>
      </c>
      <c r="S1024" s="18" t="s">
        <v>28</v>
      </c>
      <c r="T1024" s="25">
        <v>22</v>
      </c>
    </row>
    <row r="1025" spans="1:20" s="26" customFormat="1" x14ac:dyDescent="0.25">
      <c r="A1025" s="16">
        <v>222309</v>
      </c>
      <c r="B1025" s="30" t="s">
        <v>481</v>
      </c>
      <c r="C1025" s="20" t="s">
        <v>654</v>
      </c>
      <c r="D1025" s="20" t="s">
        <v>715</v>
      </c>
      <c r="E1025" s="20" t="s">
        <v>3556</v>
      </c>
      <c r="F1025" s="20" t="s">
        <v>3557</v>
      </c>
      <c r="G1025" s="21">
        <v>13.7</v>
      </c>
      <c r="H1025" s="16">
        <v>26</v>
      </c>
      <c r="I1025" s="16"/>
      <c r="J1025" s="17">
        <v>356.2</v>
      </c>
      <c r="K1025" s="22"/>
      <c r="L1025" s="23">
        <v>242.5</v>
      </c>
      <c r="M1025" s="23">
        <v>242.5</v>
      </c>
      <c r="N1025" s="19">
        <v>27.4</v>
      </c>
      <c r="O1025" s="19">
        <v>174</v>
      </c>
      <c r="P1025" s="48">
        <v>68.5</v>
      </c>
      <c r="Q1025" s="17">
        <v>174</v>
      </c>
      <c r="R1025" s="24">
        <v>182.2</v>
      </c>
      <c r="S1025" s="18" t="s">
        <v>11</v>
      </c>
      <c r="T1025" s="25">
        <v>22</v>
      </c>
    </row>
    <row r="1026" spans="1:20" s="26" customFormat="1" x14ac:dyDescent="0.25">
      <c r="A1026" s="16">
        <v>222371</v>
      </c>
      <c r="B1026" s="30" t="s">
        <v>1228</v>
      </c>
      <c r="C1026" s="20" t="s">
        <v>654</v>
      </c>
      <c r="D1026" s="20" t="s">
        <v>715</v>
      </c>
      <c r="E1026" s="20" t="s">
        <v>3558</v>
      </c>
      <c r="F1026" s="20" t="s">
        <v>3559</v>
      </c>
      <c r="G1026" s="21">
        <v>18.8</v>
      </c>
      <c r="H1026" s="16">
        <v>26</v>
      </c>
      <c r="I1026" s="16"/>
      <c r="J1026" s="17">
        <v>488.8</v>
      </c>
      <c r="K1026" s="22"/>
      <c r="L1026" s="23"/>
      <c r="M1026" s="23">
        <v>0</v>
      </c>
      <c r="N1026" s="19">
        <v>37.6</v>
      </c>
      <c r="O1026" s="19">
        <v>-94</v>
      </c>
      <c r="P1026" s="48">
        <v>94</v>
      </c>
      <c r="Q1026" s="17">
        <v>0</v>
      </c>
      <c r="R1026" s="24">
        <v>488.8</v>
      </c>
      <c r="S1026" s="18" t="s">
        <v>28</v>
      </c>
      <c r="T1026" s="25">
        <v>22</v>
      </c>
    </row>
    <row r="1027" spans="1:20" s="26" customFormat="1" x14ac:dyDescent="0.25">
      <c r="A1027" s="16">
        <v>223192</v>
      </c>
      <c r="B1027" s="30" t="s">
        <v>482</v>
      </c>
      <c r="C1027" s="20" t="s">
        <v>654</v>
      </c>
      <c r="D1027" s="20" t="s">
        <v>715</v>
      </c>
      <c r="E1027" s="20" t="s">
        <v>3560</v>
      </c>
      <c r="F1027" s="20" t="s">
        <v>3561</v>
      </c>
      <c r="G1027" s="21">
        <v>13.4</v>
      </c>
      <c r="H1027" s="16">
        <v>26</v>
      </c>
      <c r="I1027" s="16"/>
      <c r="J1027" s="17">
        <v>348.40000000000003</v>
      </c>
      <c r="K1027" s="22"/>
      <c r="L1027" s="23"/>
      <c r="M1027" s="23">
        <v>0</v>
      </c>
      <c r="N1027" s="19">
        <v>26.8</v>
      </c>
      <c r="O1027" s="19">
        <v>-67</v>
      </c>
      <c r="P1027" s="48">
        <v>67</v>
      </c>
      <c r="Q1027" s="17">
        <v>0</v>
      </c>
      <c r="R1027" s="24">
        <v>348.40000000000003</v>
      </c>
      <c r="S1027" s="18" t="s">
        <v>28</v>
      </c>
      <c r="T1027" s="25">
        <v>22</v>
      </c>
    </row>
    <row r="1028" spans="1:20" s="26" customFormat="1" x14ac:dyDescent="0.25">
      <c r="A1028" s="16">
        <v>225123</v>
      </c>
      <c r="B1028" s="30" t="s">
        <v>483</v>
      </c>
      <c r="C1028" s="20" t="s">
        <v>654</v>
      </c>
      <c r="D1028" s="20" t="s">
        <v>715</v>
      </c>
      <c r="E1028" s="20" t="s">
        <v>3562</v>
      </c>
      <c r="F1028" s="20" t="s">
        <v>3563</v>
      </c>
      <c r="G1028" s="21">
        <v>13.4</v>
      </c>
      <c r="H1028" s="16">
        <v>26</v>
      </c>
      <c r="I1028" s="16"/>
      <c r="J1028" s="17">
        <v>348.40000000000003</v>
      </c>
      <c r="K1028" s="22"/>
      <c r="L1028" s="23"/>
      <c r="M1028" s="23">
        <v>0</v>
      </c>
      <c r="N1028" s="19">
        <v>26.8</v>
      </c>
      <c r="O1028" s="19">
        <v>-67</v>
      </c>
      <c r="P1028" s="48">
        <v>67</v>
      </c>
      <c r="Q1028" s="17">
        <v>0</v>
      </c>
      <c r="R1028" s="24">
        <v>348.40000000000003</v>
      </c>
      <c r="S1028" s="18" t="s">
        <v>28</v>
      </c>
      <c r="T1028" s="25">
        <v>22</v>
      </c>
    </row>
    <row r="1029" spans="1:20" s="26" customFormat="1" x14ac:dyDescent="0.25">
      <c r="A1029" s="16">
        <v>226402</v>
      </c>
      <c r="B1029" s="30" t="s">
        <v>484</v>
      </c>
      <c r="C1029" s="20" t="s">
        <v>654</v>
      </c>
      <c r="D1029" s="20" t="s">
        <v>715</v>
      </c>
      <c r="E1029" s="20" t="s">
        <v>3564</v>
      </c>
      <c r="F1029" s="20" t="s">
        <v>3565</v>
      </c>
      <c r="G1029" s="21">
        <v>13.4</v>
      </c>
      <c r="H1029" s="16">
        <v>26</v>
      </c>
      <c r="I1029" s="16"/>
      <c r="J1029" s="17">
        <v>348.40000000000003</v>
      </c>
      <c r="K1029" s="22"/>
      <c r="L1029" s="23"/>
      <c r="M1029" s="23">
        <v>0</v>
      </c>
      <c r="N1029" s="19">
        <v>26.8</v>
      </c>
      <c r="O1029" s="19">
        <v>-67</v>
      </c>
      <c r="P1029" s="48">
        <v>67</v>
      </c>
      <c r="Q1029" s="17">
        <v>0</v>
      </c>
      <c r="R1029" s="24">
        <v>348.40000000000003</v>
      </c>
      <c r="S1029" s="18" t="s">
        <v>28</v>
      </c>
      <c r="T1029" s="25">
        <v>22</v>
      </c>
    </row>
    <row r="1030" spans="1:20" s="26" customFormat="1" x14ac:dyDescent="0.25">
      <c r="A1030" s="16">
        <v>228529</v>
      </c>
      <c r="B1030" s="30" t="s">
        <v>485</v>
      </c>
      <c r="C1030" s="20" t="s">
        <v>654</v>
      </c>
      <c r="D1030" s="20" t="s">
        <v>715</v>
      </c>
      <c r="E1030" s="20" t="s">
        <v>3566</v>
      </c>
      <c r="F1030" s="20" t="s">
        <v>3567</v>
      </c>
      <c r="G1030" s="21">
        <v>13.4</v>
      </c>
      <c r="H1030" s="16">
        <v>26</v>
      </c>
      <c r="I1030" s="16"/>
      <c r="J1030" s="17">
        <v>348.40000000000003</v>
      </c>
      <c r="K1030" s="22"/>
      <c r="L1030" s="23"/>
      <c r="M1030" s="23">
        <v>0</v>
      </c>
      <c r="N1030" s="19">
        <v>26.8</v>
      </c>
      <c r="O1030" s="19">
        <v>-67</v>
      </c>
      <c r="P1030" s="48">
        <v>67</v>
      </c>
      <c r="Q1030" s="17">
        <v>0</v>
      </c>
      <c r="R1030" s="24">
        <v>348.40000000000003</v>
      </c>
      <c r="S1030" s="18" t="s">
        <v>28</v>
      </c>
      <c r="T1030" s="25">
        <v>22</v>
      </c>
    </row>
    <row r="1031" spans="1:20" s="26" customFormat="1" x14ac:dyDescent="0.25">
      <c r="A1031" s="16">
        <v>229214</v>
      </c>
      <c r="B1031" s="30" t="s">
        <v>486</v>
      </c>
      <c r="C1031" s="20" t="s">
        <v>654</v>
      </c>
      <c r="D1031" s="20" t="s">
        <v>715</v>
      </c>
      <c r="E1031" s="20" t="s">
        <v>3568</v>
      </c>
      <c r="F1031" s="20" t="s">
        <v>3569</v>
      </c>
      <c r="G1031" s="21">
        <v>15.4</v>
      </c>
      <c r="H1031" s="16">
        <v>26</v>
      </c>
      <c r="I1031" s="16"/>
      <c r="J1031" s="17">
        <v>400.40000000000003</v>
      </c>
      <c r="K1031" s="22"/>
      <c r="L1031" s="23"/>
      <c r="M1031" s="23">
        <v>0</v>
      </c>
      <c r="N1031" s="19">
        <v>30.8</v>
      </c>
      <c r="O1031" s="19">
        <v>-77</v>
      </c>
      <c r="P1031" s="48">
        <v>77</v>
      </c>
      <c r="Q1031" s="17">
        <v>0</v>
      </c>
      <c r="R1031" s="24">
        <v>400.40000000000003</v>
      </c>
      <c r="S1031" s="18" t="s">
        <v>28</v>
      </c>
      <c r="T1031" s="25">
        <v>22</v>
      </c>
    </row>
    <row r="1032" spans="1:20" s="26" customFormat="1" x14ac:dyDescent="0.25">
      <c r="A1032" s="16">
        <v>229909</v>
      </c>
      <c r="B1032" s="30" t="s">
        <v>487</v>
      </c>
      <c r="C1032" s="20" t="s">
        <v>654</v>
      </c>
      <c r="D1032" s="20" t="s">
        <v>715</v>
      </c>
      <c r="E1032" s="20" t="s">
        <v>3570</v>
      </c>
      <c r="F1032" s="20" t="s">
        <v>3571</v>
      </c>
      <c r="G1032" s="21">
        <v>13.4</v>
      </c>
      <c r="H1032" s="16">
        <v>26</v>
      </c>
      <c r="I1032" s="16"/>
      <c r="J1032" s="17">
        <v>348.40000000000003</v>
      </c>
      <c r="K1032" s="22"/>
      <c r="L1032" s="23"/>
      <c r="M1032" s="23">
        <v>0</v>
      </c>
      <c r="N1032" s="19">
        <v>26.8</v>
      </c>
      <c r="O1032" s="19">
        <v>-67</v>
      </c>
      <c r="P1032" s="48">
        <v>67</v>
      </c>
      <c r="Q1032" s="17">
        <v>0</v>
      </c>
      <c r="R1032" s="24">
        <v>348.40000000000003</v>
      </c>
      <c r="S1032" s="18" t="s">
        <v>28</v>
      </c>
      <c r="T1032" s="25">
        <v>22</v>
      </c>
    </row>
    <row r="1033" spans="1:20" s="26" customFormat="1" x14ac:dyDescent="0.25">
      <c r="A1033" s="16">
        <v>230377</v>
      </c>
      <c r="B1033" s="30" t="s">
        <v>488</v>
      </c>
      <c r="C1033" s="20" t="s">
        <v>654</v>
      </c>
      <c r="D1033" s="20" t="s">
        <v>715</v>
      </c>
      <c r="E1033" s="20" t="s">
        <v>3572</v>
      </c>
      <c r="F1033" s="20" t="s">
        <v>3573</v>
      </c>
      <c r="G1033" s="21">
        <v>13.4</v>
      </c>
      <c r="H1033" s="16">
        <v>26</v>
      </c>
      <c r="I1033" s="16"/>
      <c r="J1033" s="17">
        <v>348.40000000000003</v>
      </c>
      <c r="K1033" s="22"/>
      <c r="L1033" s="23"/>
      <c r="M1033" s="23">
        <v>0</v>
      </c>
      <c r="N1033" s="19">
        <v>26.8</v>
      </c>
      <c r="O1033" s="19">
        <v>-67</v>
      </c>
      <c r="P1033" s="48">
        <v>67</v>
      </c>
      <c r="Q1033" s="17">
        <v>0</v>
      </c>
      <c r="R1033" s="24">
        <v>348.40000000000003</v>
      </c>
      <c r="S1033" s="18" t="s">
        <v>28</v>
      </c>
      <c r="T1033" s="25">
        <v>22</v>
      </c>
    </row>
    <row r="1034" spans="1:20" s="26" customFormat="1" x14ac:dyDescent="0.25">
      <c r="A1034" s="16">
        <v>231041</v>
      </c>
      <c r="B1034" s="30" t="s">
        <v>1505</v>
      </c>
      <c r="C1034" s="20" t="s">
        <v>654</v>
      </c>
      <c r="D1034" s="20" t="s">
        <v>715</v>
      </c>
      <c r="E1034" s="20" t="s">
        <v>3574</v>
      </c>
      <c r="F1034" s="20" t="s">
        <v>3575</v>
      </c>
      <c r="G1034" s="21">
        <v>13.4</v>
      </c>
      <c r="H1034" s="16">
        <v>26</v>
      </c>
      <c r="I1034" s="16"/>
      <c r="J1034" s="17">
        <v>348.40000000000003</v>
      </c>
      <c r="K1034" s="22"/>
      <c r="L1034" s="23"/>
      <c r="M1034" s="23">
        <v>0</v>
      </c>
      <c r="N1034" s="19">
        <v>26.8</v>
      </c>
      <c r="O1034" s="19">
        <v>-67</v>
      </c>
      <c r="P1034" s="48">
        <v>67</v>
      </c>
      <c r="Q1034" s="17">
        <v>0</v>
      </c>
      <c r="R1034" s="24">
        <v>348.40000000000003</v>
      </c>
      <c r="S1034" s="18" t="s">
        <v>28</v>
      </c>
      <c r="T1034" s="25">
        <v>22</v>
      </c>
    </row>
    <row r="1035" spans="1:20" s="26" customFormat="1" x14ac:dyDescent="0.25">
      <c r="A1035" s="16">
        <v>231607</v>
      </c>
      <c r="B1035" s="30" t="s">
        <v>857</v>
      </c>
      <c r="C1035" s="20" t="s">
        <v>654</v>
      </c>
      <c r="D1035" s="20" t="s">
        <v>715</v>
      </c>
      <c r="E1035" s="20" t="s">
        <v>3576</v>
      </c>
      <c r="F1035" s="20" t="s">
        <v>3577</v>
      </c>
      <c r="G1035" s="21">
        <v>13.4</v>
      </c>
      <c r="H1035" s="16">
        <v>26</v>
      </c>
      <c r="I1035" s="16"/>
      <c r="J1035" s="17">
        <v>348.40000000000003</v>
      </c>
      <c r="K1035" s="22"/>
      <c r="L1035" s="23"/>
      <c r="M1035" s="23">
        <v>0</v>
      </c>
      <c r="N1035" s="19">
        <v>26.8</v>
      </c>
      <c r="O1035" s="19">
        <v>-67</v>
      </c>
      <c r="P1035" s="48">
        <v>67</v>
      </c>
      <c r="Q1035" s="17">
        <v>0</v>
      </c>
      <c r="R1035" s="24">
        <v>348.40000000000003</v>
      </c>
      <c r="S1035" s="18" t="s">
        <v>28</v>
      </c>
      <c r="T1035" s="25">
        <v>22</v>
      </c>
    </row>
    <row r="1036" spans="1:20" s="26" customFormat="1" x14ac:dyDescent="0.25">
      <c r="A1036" s="16">
        <v>231993</v>
      </c>
      <c r="B1036" s="30" t="s">
        <v>858</v>
      </c>
      <c r="C1036" s="20" t="s">
        <v>654</v>
      </c>
      <c r="D1036" s="20" t="s">
        <v>715</v>
      </c>
      <c r="E1036" s="20" t="s">
        <v>3578</v>
      </c>
      <c r="F1036" s="20" t="s">
        <v>3579</v>
      </c>
      <c r="G1036" s="21">
        <v>15.4</v>
      </c>
      <c r="H1036" s="16">
        <v>26</v>
      </c>
      <c r="I1036" s="16"/>
      <c r="J1036" s="17">
        <v>400.40000000000003</v>
      </c>
      <c r="K1036" s="22"/>
      <c r="L1036" s="23"/>
      <c r="M1036" s="23">
        <v>0</v>
      </c>
      <c r="N1036" s="19">
        <v>30.8</v>
      </c>
      <c r="O1036" s="19">
        <v>-77</v>
      </c>
      <c r="P1036" s="48">
        <v>77</v>
      </c>
      <c r="Q1036" s="17">
        <v>0</v>
      </c>
      <c r="R1036" s="24">
        <v>400.40000000000003</v>
      </c>
      <c r="S1036" s="18" t="s">
        <v>28</v>
      </c>
      <c r="T1036" s="25">
        <v>22</v>
      </c>
    </row>
    <row r="1037" spans="1:20" s="26" customFormat="1" x14ac:dyDescent="0.25">
      <c r="A1037" s="16">
        <v>232401</v>
      </c>
      <c r="B1037" s="30" t="s">
        <v>919</v>
      </c>
      <c r="C1037" s="20" t="s">
        <v>654</v>
      </c>
      <c r="D1037" s="20" t="s">
        <v>715</v>
      </c>
      <c r="E1037" s="20" t="s">
        <v>3580</v>
      </c>
      <c r="F1037" s="20" t="s">
        <v>3581</v>
      </c>
      <c r="G1037" s="21">
        <v>13.4</v>
      </c>
      <c r="H1037" s="16">
        <v>26</v>
      </c>
      <c r="I1037" s="16"/>
      <c r="J1037" s="17">
        <v>348.40000000000003</v>
      </c>
      <c r="K1037" s="22"/>
      <c r="L1037" s="23"/>
      <c r="M1037" s="23">
        <v>0</v>
      </c>
      <c r="N1037" s="19">
        <v>26.8</v>
      </c>
      <c r="O1037" s="19">
        <v>-67</v>
      </c>
      <c r="P1037" s="48">
        <v>67</v>
      </c>
      <c r="Q1037" s="17">
        <v>0</v>
      </c>
      <c r="R1037" s="24">
        <v>348.40000000000003</v>
      </c>
      <c r="S1037" s="18" t="s">
        <v>28</v>
      </c>
      <c r="T1037" s="25">
        <v>22</v>
      </c>
    </row>
    <row r="1038" spans="1:20" s="26" customFormat="1" x14ac:dyDescent="0.25">
      <c r="A1038" s="16">
        <v>234014</v>
      </c>
      <c r="B1038" s="30" t="s">
        <v>1229</v>
      </c>
      <c r="C1038" s="20" t="s">
        <v>654</v>
      </c>
      <c r="D1038" s="20" t="s">
        <v>715</v>
      </c>
      <c r="E1038" s="20" t="s">
        <v>3582</v>
      </c>
      <c r="F1038" s="20" t="s">
        <v>3583</v>
      </c>
      <c r="G1038" s="21">
        <v>13.4</v>
      </c>
      <c r="H1038" s="16">
        <v>26</v>
      </c>
      <c r="I1038" s="16"/>
      <c r="J1038" s="17">
        <v>348.40000000000003</v>
      </c>
      <c r="K1038" s="22"/>
      <c r="L1038" s="23"/>
      <c r="M1038" s="23">
        <v>0</v>
      </c>
      <c r="N1038" s="19">
        <v>26.8</v>
      </c>
      <c r="O1038" s="19">
        <v>-67</v>
      </c>
      <c r="P1038" s="48">
        <v>67</v>
      </c>
      <c r="Q1038" s="17">
        <v>0</v>
      </c>
      <c r="R1038" s="24">
        <v>348.40000000000003</v>
      </c>
      <c r="S1038" s="18" t="s">
        <v>28</v>
      </c>
      <c r="T1038" s="25">
        <v>22</v>
      </c>
    </row>
    <row r="1039" spans="1:20" s="26" customFormat="1" x14ac:dyDescent="0.25">
      <c r="A1039" s="16">
        <v>234073</v>
      </c>
      <c r="B1039" s="30" t="s">
        <v>1230</v>
      </c>
      <c r="C1039" s="20" t="s">
        <v>654</v>
      </c>
      <c r="D1039" s="20" t="s">
        <v>715</v>
      </c>
      <c r="E1039" s="20" t="s">
        <v>3584</v>
      </c>
      <c r="F1039" s="20" t="s">
        <v>3585</v>
      </c>
      <c r="G1039" s="21">
        <v>13.4</v>
      </c>
      <c r="H1039" s="16">
        <v>26</v>
      </c>
      <c r="I1039" s="16"/>
      <c r="J1039" s="17">
        <v>348.40000000000003</v>
      </c>
      <c r="K1039" s="22"/>
      <c r="L1039" s="23"/>
      <c r="M1039" s="23">
        <v>0</v>
      </c>
      <c r="N1039" s="19">
        <v>26.8</v>
      </c>
      <c r="O1039" s="19">
        <v>-67</v>
      </c>
      <c r="P1039" s="48">
        <v>67</v>
      </c>
      <c r="Q1039" s="17">
        <v>0</v>
      </c>
      <c r="R1039" s="24">
        <v>348.40000000000003</v>
      </c>
      <c r="S1039" s="18" t="s">
        <v>28</v>
      </c>
      <c r="T1039" s="25">
        <v>22</v>
      </c>
    </row>
    <row r="1040" spans="1:20" s="26" customFormat="1" x14ac:dyDescent="0.25">
      <c r="A1040" s="16">
        <v>234469</v>
      </c>
      <c r="B1040" s="30" t="s">
        <v>1298</v>
      </c>
      <c r="C1040" s="20" t="s">
        <v>654</v>
      </c>
      <c r="D1040" s="20" t="s">
        <v>715</v>
      </c>
      <c r="E1040" s="20" t="s">
        <v>3586</v>
      </c>
      <c r="F1040" s="20" t="s">
        <v>3587</v>
      </c>
      <c r="G1040" s="21">
        <v>13.4</v>
      </c>
      <c r="H1040" s="16">
        <v>26</v>
      </c>
      <c r="I1040" s="16"/>
      <c r="J1040" s="17">
        <v>348.40000000000003</v>
      </c>
      <c r="K1040" s="22"/>
      <c r="L1040" s="23"/>
      <c r="M1040" s="23">
        <v>0</v>
      </c>
      <c r="N1040" s="19">
        <v>26.8</v>
      </c>
      <c r="O1040" s="19">
        <v>-67</v>
      </c>
      <c r="P1040" s="48">
        <v>67</v>
      </c>
      <c r="Q1040" s="17">
        <v>0</v>
      </c>
      <c r="R1040" s="24">
        <v>348.40000000000003</v>
      </c>
      <c r="S1040" s="18" t="s">
        <v>28</v>
      </c>
      <c r="T1040" s="25">
        <v>22</v>
      </c>
    </row>
    <row r="1041" spans="1:20" s="26" customFormat="1" x14ac:dyDescent="0.25">
      <c r="A1041" s="16">
        <v>234605</v>
      </c>
      <c r="B1041" s="30" t="s">
        <v>1328</v>
      </c>
      <c r="C1041" s="20" t="s">
        <v>654</v>
      </c>
      <c r="D1041" s="20" t="s">
        <v>715</v>
      </c>
      <c r="E1041" s="20" t="s">
        <v>3588</v>
      </c>
      <c r="F1041" s="20" t="s">
        <v>3589</v>
      </c>
      <c r="G1041" s="21">
        <v>13.4</v>
      </c>
      <c r="H1041" s="16">
        <v>26</v>
      </c>
      <c r="I1041" s="16"/>
      <c r="J1041" s="17">
        <v>348.40000000000003</v>
      </c>
      <c r="K1041" s="22"/>
      <c r="L1041" s="23"/>
      <c r="M1041" s="23">
        <v>0</v>
      </c>
      <c r="N1041" s="19">
        <v>26.8</v>
      </c>
      <c r="O1041" s="19">
        <v>-67</v>
      </c>
      <c r="P1041" s="48">
        <v>67</v>
      </c>
      <c r="Q1041" s="17">
        <v>0</v>
      </c>
      <c r="R1041" s="24">
        <v>348.40000000000003</v>
      </c>
      <c r="S1041" s="18" t="s">
        <v>28</v>
      </c>
      <c r="T1041" s="25">
        <v>22</v>
      </c>
    </row>
    <row r="1042" spans="1:20" s="26" customFormat="1" x14ac:dyDescent="0.25">
      <c r="A1042" s="16">
        <v>234623</v>
      </c>
      <c r="B1042" s="30" t="s">
        <v>1329</v>
      </c>
      <c r="C1042" s="20" t="s">
        <v>654</v>
      </c>
      <c r="D1042" s="20" t="s">
        <v>715</v>
      </c>
      <c r="E1042" s="20" t="s">
        <v>3590</v>
      </c>
      <c r="F1042" s="20" t="s">
        <v>3591</v>
      </c>
      <c r="G1042" s="21">
        <v>13.4</v>
      </c>
      <c r="H1042" s="16">
        <v>26</v>
      </c>
      <c r="I1042" s="16"/>
      <c r="J1042" s="17">
        <v>348.40000000000003</v>
      </c>
      <c r="K1042" s="22"/>
      <c r="L1042" s="23"/>
      <c r="M1042" s="23">
        <v>0</v>
      </c>
      <c r="N1042" s="19">
        <v>26.8</v>
      </c>
      <c r="O1042" s="19">
        <v>-67</v>
      </c>
      <c r="P1042" s="48">
        <v>67</v>
      </c>
      <c r="Q1042" s="17">
        <v>0</v>
      </c>
      <c r="R1042" s="24">
        <v>348.40000000000003</v>
      </c>
      <c r="S1042" s="18" t="s">
        <v>28</v>
      </c>
      <c r="T1042" s="25">
        <v>22</v>
      </c>
    </row>
    <row r="1043" spans="1:20" s="26" customFormat="1" x14ac:dyDescent="0.25">
      <c r="A1043" s="16">
        <v>222310</v>
      </c>
      <c r="B1043" s="30" t="s">
        <v>489</v>
      </c>
      <c r="C1043" s="20" t="s">
        <v>640</v>
      </c>
      <c r="D1043" s="20" t="s">
        <v>702</v>
      </c>
      <c r="E1043" s="20" t="s">
        <v>3592</v>
      </c>
      <c r="F1043" s="20" t="s">
        <v>3593</v>
      </c>
      <c r="G1043" s="21">
        <v>13.4</v>
      </c>
      <c r="H1043" s="16">
        <v>26</v>
      </c>
      <c r="I1043" s="16"/>
      <c r="J1043" s="17">
        <v>348.40000000000003</v>
      </c>
      <c r="K1043" s="22"/>
      <c r="L1043" s="23"/>
      <c r="M1043" s="23">
        <v>0</v>
      </c>
      <c r="N1043" s="19">
        <v>26.8</v>
      </c>
      <c r="O1043" s="19">
        <v>-67</v>
      </c>
      <c r="P1043" s="48">
        <v>67</v>
      </c>
      <c r="Q1043" s="17">
        <v>0</v>
      </c>
      <c r="R1043" s="24">
        <v>348.40000000000003</v>
      </c>
      <c r="S1043" s="18" t="s">
        <v>28</v>
      </c>
      <c r="T1043" s="25">
        <v>22</v>
      </c>
    </row>
    <row r="1044" spans="1:20" s="26" customFormat="1" x14ac:dyDescent="0.25">
      <c r="A1044" s="16">
        <v>229063</v>
      </c>
      <c r="B1044" s="30" t="s">
        <v>254</v>
      </c>
      <c r="C1044" s="20" t="s">
        <v>640</v>
      </c>
      <c r="D1044" s="20" t="s">
        <v>701</v>
      </c>
      <c r="E1044" s="20" t="s">
        <v>3594</v>
      </c>
      <c r="F1044" s="20" t="s">
        <v>3595</v>
      </c>
      <c r="G1044" s="21">
        <v>18.8</v>
      </c>
      <c r="H1044" s="16">
        <v>26</v>
      </c>
      <c r="I1044" s="16"/>
      <c r="J1044" s="17">
        <v>488.8</v>
      </c>
      <c r="K1044" s="22"/>
      <c r="L1044" s="23"/>
      <c r="M1044" s="23">
        <v>0</v>
      </c>
      <c r="N1044" s="19">
        <v>37.6</v>
      </c>
      <c r="O1044" s="19">
        <v>-94</v>
      </c>
      <c r="P1044" s="48">
        <v>94</v>
      </c>
      <c r="Q1044" s="17">
        <v>0</v>
      </c>
      <c r="R1044" s="24">
        <v>488.8</v>
      </c>
      <c r="S1044" s="18" t="s">
        <v>28</v>
      </c>
      <c r="T1044" s="25">
        <v>22</v>
      </c>
    </row>
    <row r="1045" spans="1:20" s="26" customFormat="1" x14ac:dyDescent="0.25">
      <c r="A1045" s="16">
        <v>231900</v>
      </c>
      <c r="B1045" s="30" t="s">
        <v>878</v>
      </c>
      <c r="C1045" s="20" t="s">
        <v>640</v>
      </c>
      <c r="D1045" s="20" t="s">
        <v>701</v>
      </c>
      <c r="E1045" s="20" t="s">
        <v>3596</v>
      </c>
      <c r="F1045" s="20" t="s">
        <v>3597</v>
      </c>
      <c r="G1045" s="21">
        <v>13.4</v>
      </c>
      <c r="H1045" s="16">
        <v>26</v>
      </c>
      <c r="I1045" s="16"/>
      <c r="J1045" s="17">
        <v>348.40000000000003</v>
      </c>
      <c r="K1045" s="22"/>
      <c r="L1045" s="23"/>
      <c r="M1045" s="23">
        <v>0</v>
      </c>
      <c r="N1045" s="19">
        <v>26.8</v>
      </c>
      <c r="O1045" s="19">
        <v>-67</v>
      </c>
      <c r="P1045" s="48">
        <v>67</v>
      </c>
      <c r="Q1045" s="17">
        <v>0</v>
      </c>
      <c r="R1045" s="24">
        <v>348.40000000000003</v>
      </c>
      <c r="S1045" s="18" t="s">
        <v>28</v>
      </c>
      <c r="T1045" s="25">
        <v>22</v>
      </c>
    </row>
    <row r="1046" spans="1:20" s="26" customFormat="1" x14ac:dyDescent="0.25">
      <c r="A1046" s="16">
        <v>234622</v>
      </c>
      <c r="B1046" s="30" t="s">
        <v>1330</v>
      </c>
      <c r="C1046" s="20" t="s">
        <v>640</v>
      </c>
      <c r="D1046" s="20" t="s">
        <v>701</v>
      </c>
      <c r="E1046" s="20" t="s">
        <v>3598</v>
      </c>
      <c r="F1046" s="20" t="s">
        <v>3599</v>
      </c>
      <c r="G1046" s="21">
        <v>13.4</v>
      </c>
      <c r="H1046" s="16">
        <v>26</v>
      </c>
      <c r="I1046" s="16"/>
      <c r="J1046" s="17">
        <v>348.40000000000003</v>
      </c>
      <c r="K1046" s="22"/>
      <c r="L1046" s="23"/>
      <c r="M1046" s="23">
        <v>0</v>
      </c>
      <c r="N1046" s="19">
        <v>26.8</v>
      </c>
      <c r="O1046" s="19">
        <v>-67</v>
      </c>
      <c r="P1046" s="48">
        <v>67</v>
      </c>
      <c r="Q1046" s="17">
        <v>0</v>
      </c>
      <c r="R1046" s="24">
        <v>348.40000000000003</v>
      </c>
      <c r="S1046" s="18" t="s">
        <v>28</v>
      </c>
      <c r="T1046" s="25">
        <v>22</v>
      </c>
    </row>
    <row r="1047" spans="1:20" s="26" customFormat="1" x14ac:dyDescent="0.25">
      <c r="A1047" s="16">
        <v>222064</v>
      </c>
      <c r="B1047" s="30" t="s">
        <v>490</v>
      </c>
      <c r="C1047" s="20" t="s">
        <v>655</v>
      </c>
      <c r="D1047" s="20" t="s">
        <v>732</v>
      </c>
      <c r="E1047" s="20" t="s">
        <v>3600</v>
      </c>
      <c r="F1047" s="20" t="s">
        <v>3601</v>
      </c>
      <c r="G1047" s="21">
        <v>10</v>
      </c>
      <c r="H1047" s="16">
        <v>26</v>
      </c>
      <c r="I1047" s="16"/>
      <c r="J1047" s="17">
        <v>260</v>
      </c>
      <c r="K1047" s="22"/>
      <c r="L1047" s="23"/>
      <c r="M1047" s="23">
        <v>0</v>
      </c>
      <c r="N1047" s="19">
        <v>20</v>
      </c>
      <c r="O1047" s="19">
        <v>-50</v>
      </c>
      <c r="P1047" s="48">
        <v>50</v>
      </c>
      <c r="Q1047" s="17">
        <v>0</v>
      </c>
      <c r="R1047" s="24">
        <v>260</v>
      </c>
      <c r="S1047" s="18" t="s">
        <v>28</v>
      </c>
      <c r="T1047" s="25">
        <v>22</v>
      </c>
    </row>
    <row r="1048" spans="1:20" s="26" customFormat="1" x14ac:dyDescent="0.25">
      <c r="A1048" s="16">
        <v>223191</v>
      </c>
      <c r="B1048" s="30" t="s">
        <v>491</v>
      </c>
      <c r="C1048" s="20" t="s">
        <v>655</v>
      </c>
      <c r="D1048" s="20" t="s">
        <v>734</v>
      </c>
      <c r="E1048" s="20" t="s">
        <v>3602</v>
      </c>
      <c r="F1048" s="20" t="s">
        <v>3603</v>
      </c>
      <c r="G1048" s="21">
        <v>10</v>
      </c>
      <c r="H1048" s="16">
        <v>26</v>
      </c>
      <c r="I1048" s="16">
        <v>2</v>
      </c>
      <c r="J1048" s="17">
        <v>240</v>
      </c>
      <c r="K1048" s="22"/>
      <c r="L1048" s="23"/>
      <c r="M1048" s="23">
        <v>0</v>
      </c>
      <c r="N1048" s="19">
        <v>20</v>
      </c>
      <c r="O1048" s="19">
        <v>-50</v>
      </c>
      <c r="P1048" s="48">
        <v>50</v>
      </c>
      <c r="Q1048" s="17">
        <v>0</v>
      </c>
      <c r="R1048" s="24">
        <v>240</v>
      </c>
      <c r="S1048" s="18" t="s">
        <v>28</v>
      </c>
      <c r="T1048" s="25">
        <v>22</v>
      </c>
    </row>
    <row r="1049" spans="1:20" s="26" customFormat="1" x14ac:dyDescent="0.25">
      <c r="A1049" s="16">
        <v>223733</v>
      </c>
      <c r="B1049" s="30" t="s">
        <v>492</v>
      </c>
      <c r="C1049" s="20" t="s">
        <v>655</v>
      </c>
      <c r="D1049" s="20" t="s">
        <v>713</v>
      </c>
      <c r="E1049" s="20" t="s">
        <v>3604</v>
      </c>
      <c r="F1049" s="20" t="s">
        <v>3605</v>
      </c>
      <c r="G1049" s="21">
        <v>13.4</v>
      </c>
      <c r="H1049" s="16">
        <v>26</v>
      </c>
      <c r="I1049" s="16"/>
      <c r="J1049" s="17">
        <v>348.40000000000003</v>
      </c>
      <c r="K1049" s="22"/>
      <c r="L1049" s="23"/>
      <c r="M1049" s="23">
        <v>0</v>
      </c>
      <c r="N1049" s="19">
        <v>26.8</v>
      </c>
      <c r="O1049" s="19">
        <v>-67</v>
      </c>
      <c r="P1049" s="48">
        <v>67</v>
      </c>
      <c r="Q1049" s="17">
        <v>0</v>
      </c>
      <c r="R1049" s="24">
        <v>348.40000000000003</v>
      </c>
      <c r="S1049" s="18" t="s">
        <v>28</v>
      </c>
      <c r="T1049" s="25">
        <v>22</v>
      </c>
    </row>
    <row r="1050" spans="1:20" s="26" customFormat="1" x14ac:dyDescent="0.25">
      <c r="A1050" s="16">
        <v>225138</v>
      </c>
      <c r="B1050" s="30" t="s">
        <v>1506</v>
      </c>
      <c r="C1050" s="20" t="s">
        <v>655</v>
      </c>
      <c r="D1050" s="20" t="s">
        <v>713</v>
      </c>
      <c r="E1050" s="20" t="s">
        <v>3606</v>
      </c>
      <c r="F1050" s="20" t="s">
        <v>3607</v>
      </c>
      <c r="G1050" s="21">
        <v>14.2</v>
      </c>
      <c r="H1050" s="16">
        <v>26</v>
      </c>
      <c r="I1050" s="16"/>
      <c r="J1050" s="17">
        <v>369.2</v>
      </c>
      <c r="K1050" s="22"/>
      <c r="L1050" s="23"/>
      <c r="M1050" s="23">
        <v>0</v>
      </c>
      <c r="N1050" s="19">
        <v>28.4</v>
      </c>
      <c r="O1050" s="19">
        <v>-71</v>
      </c>
      <c r="P1050" s="48">
        <v>71</v>
      </c>
      <c r="Q1050" s="17">
        <v>0</v>
      </c>
      <c r="R1050" s="24">
        <v>369.2</v>
      </c>
      <c r="S1050" s="18" t="s">
        <v>28</v>
      </c>
      <c r="T1050" s="25">
        <v>22</v>
      </c>
    </row>
    <row r="1051" spans="1:20" s="26" customFormat="1" x14ac:dyDescent="0.25">
      <c r="A1051" s="16">
        <v>225576</v>
      </c>
      <c r="B1051" s="30" t="s">
        <v>605</v>
      </c>
      <c r="C1051" s="20" t="s">
        <v>655</v>
      </c>
      <c r="D1051" s="20" t="s">
        <v>734</v>
      </c>
      <c r="E1051" s="20" t="s">
        <v>3608</v>
      </c>
      <c r="F1051" s="20" t="s">
        <v>3609</v>
      </c>
      <c r="G1051" s="21">
        <v>13.7</v>
      </c>
      <c r="H1051" s="16">
        <v>26</v>
      </c>
      <c r="I1051" s="16"/>
      <c r="J1051" s="17">
        <v>356.2</v>
      </c>
      <c r="K1051" s="22"/>
      <c r="L1051" s="23"/>
      <c r="M1051" s="23">
        <v>0</v>
      </c>
      <c r="N1051" s="19">
        <v>27.4</v>
      </c>
      <c r="O1051" s="19">
        <v>-68.5</v>
      </c>
      <c r="P1051" s="48">
        <v>68.5</v>
      </c>
      <c r="Q1051" s="17">
        <v>0</v>
      </c>
      <c r="R1051" s="24">
        <v>356.2</v>
      </c>
      <c r="S1051" s="18" t="s">
        <v>28</v>
      </c>
      <c r="T1051" s="25">
        <v>22</v>
      </c>
    </row>
    <row r="1052" spans="1:20" s="26" customFormat="1" x14ac:dyDescent="0.25">
      <c r="A1052" s="16">
        <v>226324</v>
      </c>
      <c r="B1052" s="30" t="s">
        <v>1507</v>
      </c>
      <c r="C1052" s="20" t="s">
        <v>655</v>
      </c>
      <c r="D1052" s="20" t="s">
        <v>713</v>
      </c>
      <c r="E1052" s="20" t="s">
        <v>3610</v>
      </c>
      <c r="F1052" s="20" t="s">
        <v>3611</v>
      </c>
      <c r="G1052" s="21">
        <v>13.4</v>
      </c>
      <c r="H1052" s="16">
        <v>26</v>
      </c>
      <c r="I1052" s="16"/>
      <c r="J1052" s="17">
        <v>348.40000000000003</v>
      </c>
      <c r="K1052" s="22"/>
      <c r="L1052" s="23"/>
      <c r="M1052" s="23">
        <v>0</v>
      </c>
      <c r="N1052" s="19">
        <v>26.8</v>
      </c>
      <c r="O1052" s="19">
        <v>-67</v>
      </c>
      <c r="P1052" s="48">
        <v>67</v>
      </c>
      <c r="Q1052" s="17">
        <v>0</v>
      </c>
      <c r="R1052" s="24">
        <v>348.40000000000003</v>
      </c>
      <c r="S1052" s="18" t="s">
        <v>28</v>
      </c>
      <c r="T1052" s="25">
        <v>22</v>
      </c>
    </row>
    <row r="1053" spans="1:20" s="26" customFormat="1" x14ac:dyDescent="0.25">
      <c r="A1053" s="16">
        <v>228252</v>
      </c>
      <c r="B1053" s="30" t="s">
        <v>494</v>
      </c>
      <c r="C1053" s="20" t="s">
        <v>655</v>
      </c>
      <c r="D1053" s="20" t="s">
        <v>734</v>
      </c>
      <c r="E1053" s="20" t="s">
        <v>3612</v>
      </c>
      <c r="F1053" s="20" t="s">
        <v>3613</v>
      </c>
      <c r="G1053" s="21">
        <v>13.4</v>
      </c>
      <c r="H1053" s="16">
        <v>26</v>
      </c>
      <c r="I1053" s="16"/>
      <c r="J1053" s="17">
        <v>348.40000000000003</v>
      </c>
      <c r="K1053" s="22"/>
      <c r="L1053" s="23"/>
      <c r="M1053" s="23">
        <v>0</v>
      </c>
      <c r="N1053" s="19">
        <v>26.8</v>
      </c>
      <c r="O1053" s="19">
        <v>-67</v>
      </c>
      <c r="P1053" s="48">
        <v>67</v>
      </c>
      <c r="Q1053" s="17">
        <v>0</v>
      </c>
      <c r="R1053" s="24">
        <v>348.40000000000003</v>
      </c>
      <c r="S1053" s="18" t="s">
        <v>28</v>
      </c>
      <c r="T1053" s="25">
        <v>22</v>
      </c>
    </row>
    <row r="1054" spans="1:20" s="26" customFormat="1" x14ac:dyDescent="0.25">
      <c r="A1054" s="16">
        <v>229789</v>
      </c>
      <c r="B1054" s="30" t="s">
        <v>1231</v>
      </c>
      <c r="C1054" s="20" t="s">
        <v>655</v>
      </c>
      <c r="D1054" s="20" t="s">
        <v>733</v>
      </c>
      <c r="E1054" s="20" t="s">
        <v>3614</v>
      </c>
      <c r="F1054" s="20" t="s">
        <v>3615</v>
      </c>
      <c r="G1054" s="21">
        <v>13.4</v>
      </c>
      <c r="H1054" s="16">
        <v>26</v>
      </c>
      <c r="I1054" s="16"/>
      <c r="J1054" s="17">
        <v>348.40000000000003</v>
      </c>
      <c r="K1054" s="22"/>
      <c r="L1054" s="23"/>
      <c r="M1054" s="23">
        <v>0</v>
      </c>
      <c r="N1054" s="19">
        <v>26.8</v>
      </c>
      <c r="O1054" s="19">
        <v>-67</v>
      </c>
      <c r="P1054" s="48">
        <v>67</v>
      </c>
      <c r="Q1054" s="17">
        <v>0</v>
      </c>
      <c r="R1054" s="24">
        <v>348.40000000000003</v>
      </c>
      <c r="S1054" s="18" t="s">
        <v>28</v>
      </c>
      <c r="T1054" s="25">
        <v>22</v>
      </c>
    </row>
    <row r="1055" spans="1:20" s="26" customFormat="1" x14ac:dyDescent="0.25">
      <c r="A1055" s="16">
        <v>231608</v>
      </c>
      <c r="B1055" s="30" t="s">
        <v>859</v>
      </c>
      <c r="C1055" s="20" t="s">
        <v>655</v>
      </c>
      <c r="D1055" s="20" t="s">
        <v>734</v>
      </c>
      <c r="E1055" s="20" t="s">
        <v>3616</v>
      </c>
      <c r="F1055" s="20" t="s">
        <v>3617</v>
      </c>
      <c r="G1055" s="21">
        <v>13.4</v>
      </c>
      <c r="H1055" s="16">
        <v>26</v>
      </c>
      <c r="I1055" s="16"/>
      <c r="J1055" s="17">
        <v>348.40000000000003</v>
      </c>
      <c r="K1055" s="22"/>
      <c r="L1055" s="23"/>
      <c r="M1055" s="23">
        <v>0</v>
      </c>
      <c r="N1055" s="19">
        <v>26.8</v>
      </c>
      <c r="O1055" s="19">
        <v>-67</v>
      </c>
      <c r="P1055" s="48">
        <v>67</v>
      </c>
      <c r="Q1055" s="17">
        <v>0</v>
      </c>
      <c r="R1055" s="24">
        <v>348.40000000000003</v>
      </c>
      <c r="S1055" s="18" t="s">
        <v>28</v>
      </c>
      <c r="T1055" s="25">
        <v>22</v>
      </c>
    </row>
    <row r="1056" spans="1:20" s="26" customFormat="1" x14ac:dyDescent="0.25">
      <c r="A1056" s="16">
        <v>232886</v>
      </c>
      <c r="B1056" s="30" t="s">
        <v>1011</v>
      </c>
      <c r="C1056" s="20" t="s">
        <v>655</v>
      </c>
      <c r="D1056" s="20" t="s">
        <v>713</v>
      </c>
      <c r="E1056" s="20" t="s">
        <v>3618</v>
      </c>
      <c r="F1056" s="20" t="s">
        <v>3619</v>
      </c>
      <c r="G1056" s="21">
        <v>13.4</v>
      </c>
      <c r="H1056" s="16">
        <v>26</v>
      </c>
      <c r="I1056" s="16"/>
      <c r="J1056" s="17">
        <v>348.40000000000003</v>
      </c>
      <c r="K1056" s="22"/>
      <c r="L1056" s="23"/>
      <c r="M1056" s="23">
        <v>0</v>
      </c>
      <c r="N1056" s="19">
        <v>26.8</v>
      </c>
      <c r="O1056" s="19">
        <v>-67</v>
      </c>
      <c r="P1056" s="48">
        <v>67</v>
      </c>
      <c r="Q1056" s="17">
        <v>0</v>
      </c>
      <c r="R1056" s="24">
        <v>348.40000000000003</v>
      </c>
      <c r="S1056" s="18" t="s">
        <v>28</v>
      </c>
      <c r="T1056" s="25">
        <v>22</v>
      </c>
    </row>
    <row r="1057" spans="1:20" s="26" customFormat="1" x14ac:dyDescent="0.25">
      <c r="A1057" s="16">
        <v>233419</v>
      </c>
      <c r="B1057" s="30" t="s">
        <v>1105</v>
      </c>
      <c r="C1057" s="20" t="s">
        <v>655</v>
      </c>
      <c r="D1057" s="20" t="s">
        <v>713</v>
      </c>
      <c r="E1057" s="20" t="s">
        <v>3620</v>
      </c>
      <c r="F1057" s="20" t="s">
        <v>3621</v>
      </c>
      <c r="G1057" s="21">
        <v>13.4</v>
      </c>
      <c r="H1057" s="16">
        <v>26</v>
      </c>
      <c r="I1057" s="16"/>
      <c r="J1057" s="17">
        <v>348.40000000000003</v>
      </c>
      <c r="K1057" s="22"/>
      <c r="L1057" s="23"/>
      <c r="M1057" s="23">
        <v>0</v>
      </c>
      <c r="N1057" s="19">
        <v>26.8</v>
      </c>
      <c r="O1057" s="19">
        <v>-67</v>
      </c>
      <c r="P1057" s="48">
        <v>67</v>
      </c>
      <c r="Q1057" s="17">
        <v>0</v>
      </c>
      <c r="R1057" s="24">
        <v>348.40000000000003</v>
      </c>
      <c r="S1057" s="18" t="s">
        <v>28</v>
      </c>
      <c r="T1057" s="25">
        <v>22</v>
      </c>
    </row>
    <row r="1058" spans="1:20" s="26" customFormat="1" x14ac:dyDescent="0.25">
      <c r="A1058" s="65">
        <v>234877</v>
      </c>
      <c r="B1058" s="30" t="s">
        <v>1508</v>
      </c>
      <c r="C1058" s="20" t="s">
        <v>655</v>
      </c>
      <c r="D1058" s="20" t="s">
        <v>734</v>
      </c>
      <c r="E1058" s="20" t="s">
        <v>3622</v>
      </c>
      <c r="F1058" s="20" t="s">
        <v>3623</v>
      </c>
      <c r="G1058" s="21">
        <v>13.4</v>
      </c>
      <c r="H1058" s="16">
        <v>26</v>
      </c>
      <c r="I1058" s="16"/>
      <c r="J1058" s="17">
        <v>348.40000000000003</v>
      </c>
      <c r="K1058" s="22"/>
      <c r="L1058" s="23"/>
      <c r="M1058" s="23">
        <v>0</v>
      </c>
      <c r="N1058" s="19">
        <v>26.8</v>
      </c>
      <c r="O1058" s="19">
        <v>-67</v>
      </c>
      <c r="P1058" s="48">
        <v>67</v>
      </c>
      <c r="Q1058" s="17">
        <v>0</v>
      </c>
      <c r="R1058" s="24">
        <v>348.40000000000003</v>
      </c>
      <c r="S1058" s="18" t="s">
        <v>28</v>
      </c>
      <c r="T1058" s="25">
        <v>22</v>
      </c>
    </row>
    <row r="1059" spans="1:20" s="26" customFormat="1" x14ac:dyDescent="0.25">
      <c r="A1059" s="16">
        <v>218437</v>
      </c>
      <c r="B1059" s="30" t="s">
        <v>1106</v>
      </c>
      <c r="C1059" s="20" t="s">
        <v>641</v>
      </c>
      <c r="D1059" s="20" t="s">
        <v>735</v>
      </c>
      <c r="E1059" s="20" t="s">
        <v>3624</v>
      </c>
      <c r="F1059" s="20" t="s">
        <v>3625</v>
      </c>
      <c r="G1059" s="21">
        <v>18.8</v>
      </c>
      <c r="H1059" s="16">
        <v>26</v>
      </c>
      <c r="I1059" s="16">
        <v>1</v>
      </c>
      <c r="J1059" s="17">
        <v>470</v>
      </c>
      <c r="K1059" s="22"/>
      <c r="L1059" s="23">
        <v>37.6</v>
      </c>
      <c r="M1059" s="23">
        <v>37.6</v>
      </c>
      <c r="N1059" s="19">
        <v>37.6</v>
      </c>
      <c r="O1059" s="19">
        <v>-56.4</v>
      </c>
      <c r="P1059" s="48">
        <v>94</v>
      </c>
      <c r="Q1059" s="17">
        <v>0</v>
      </c>
      <c r="R1059" s="24">
        <v>470</v>
      </c>
      <c r="S1059" s="18" t="s">
        <v>28</v>
      </c>
      <c r="T1059" s="25">
        <v>22</v>
      </c>
    </row>
    <row r="1060" spans="1:20" s="26" customFormat="1" x14ac:dyDescent="0.25">
      <c r="A1060" s="16">
        <v>220301</v>
      </c>
      <c r="B1060" s="30" t="s">
        <v>261</v>
      </c>
      <c r="C1060" s="20" t="s">
        <v>641</v>
      </c>
      <c r="D1060" s="20" t="s">
        <v>735</v>
      </c>
      <c r="E1060" s="20" t="s">
        <v>3626</v>
      </c>
      <c r="F1060" s="20" t="s">
        <v>3627</v>
      </c>
      <c r="G1060" s="21">
        <v>18.8</v>
      </c>
      <c r="H1060" s="16">
        <v>26</v>
      </c>
      <c r="I1060" s="16"/>
      <c r="J1060" s="17">
        <v>488.8</v>
      </c>
      <c r="K1060" s="22"/>
      <c r="L1060" s="23">
        <v>18.8</v>
      </c>
      <c r="M1060" s="23">
        <v>18.8</v>
      </c>
      <c r="N1060" s="19">
        <v>37.6</v>
      </c>
      <c r="O1060" s="19">
        <v>-75.2</v>
      </c>
      <c r="P1060" s="48">
        <v>94</v>
      </c>
      <c r="Q1060" s="17">
        <v>0</v>
      </c>
      <c r="R1060" s="24">
        <v>488.8</v>
      </c>
      <c r="S1060" s="18" t="s">
        <v>28</v>
      </c>
      <c r="T1060" s="25">
        <v>22</v>
      </c>
    </row>
    <row r="1061" spans="1:20" s="26" customFormat="1" x14ac:dyDescent="0.25">
      <c r="A1061" s="16">
        <v>221364</v>
      </c>
      <c r="B1061" s="30" t="s">
        <v>608</v>
      </c>
      <c r="C1061" s="20" t="s">
        <v>641</v>
      </c>
      <c r="D1061" s="20" t="s">
        <v>735</v>
      </c>
      <c r="E1061" s="20" t="s">
        <v>3628</v>
      </c>
      <c r="F1061" s="20" t="s">
        <v>3629</v>
      </c>
      <c r="G1061" s="21">
        <v>18.8</v>
      </c>
      <c r="H1061" s="16">
        <v>26</v>
      </c>
      <c r="I1061" s="16"/>
      <c r="J1061" s="17">
        <v>488.8</v>
      </c>
      <c r="K1061" s="22"/>
      <c r="L1061" s="23"/>
      <c r="M1061" s="23">
        <v>0</v>
      </c>
      <c r="N1061" s="19">
        <v>37.6</v>
      </c>
      <c r="O1061" s="19">
        <v>-94</v>
      </c>
      <c r="P1061" s="48">
        <v>94</v>
      </c>
      <c r="Q1061" s="17">
        <v>0</v>
      </c>
      <c r="R1061" s="24">
        <v>488.8</v>
      </c>
      <c r="S1061" s="18" t="s">
        <v>28</v>
      </c>
      <c r="T1061" s="25">
        <v>22</v>
      </c>
    </row>
    <row r="1062" spans="1:20" s="26" customFormat="1" x14ac:dyDescent="0.25">
      <c r="A1062" s="16">
        <v>222337</v>
      </c>
      <c r="B1062" s="30" t="s">
        <v>495</v>
      </c>
      <c r="C1062" s="20" t="s">
        <v>641</v>
      </c>
      <c r="D1062" s="20" t="s">
        <v>743</v>
      </c>
      <c r="E1062" s="20" t="s">
        <v>3630</v>
      </c>
      <c r="F1062" s="20" t="s">
        <v>3631</v>
      </c>
      <c r="G1062" s="21">
        <v>13.4</v>
      </c>
      <c r="H1062" s="16">
        <v>26</v>
      </c>
      <c r="I1062" s="16"/>
      <c r="J1062" s="17">
        <v>348.40000000000003</v>
      </c>
      <c r="K1062" s="22"/>
      <c r="L1062" s="23"/>
      <c r="M1062" s="23">
        <v>0</v>
      </c>
      <c r="N1062" s="19">
        <v>26.8</v>
      </c>
      <c r="O1062" s="19">
        <v>-67</v>
      </c>
      <c r="P1062" s="48">
        <v>67</v>
      </c>
      <c r="Q1062" s="17">
        <v>0</v>
      </c>
      <c r="R1062" s="24">
        <v>348.40000000000003</v>
      </c>
      <c r="S1062" s="18" t="s">
        <v>28</v>
      </c>
      <c r="T1062" s="25">
        <v>22</v>
      </c>
    </row>
    <row r="1063" spans="1:20" s="26" customFormat="1" x14ac:dyDescent="0.25">
      <c r="A1063" s="16">
        <v>222370</v>
      </c>
      <c r="B1063" s="30" t="s">
        <v>496</v>
      </c>
      <c r="C1063" s="20" t="s">
        <v>641</v>
      </c>
      <c r="D1063" s="20" t="s">
        <v>704</v>
      </c>
      <c r="E1063" s="20" t="s">
        <v>3632</v>
      </c>
      <c r="F1063" s="20" t="s">
        <v>3633</v>
      </c>
      <c r="G1063" s="21">
        <v>13.7</v>
      </c>
      <c r="H1063" s="16">
        <v>26</v>
      </c>
      <c r="I1063" s="16"/>
      <c r="J1063" s="17">
        <v>356.2</v>
      </c>
      <c r="K1063" s="22"/>
      <c r="L1063" s="23"/>
      <c r="M1063" s="23">
        <v>0</v>
      </c>
      <c r="N1063" s="19">
        <v>27.4</v>
      </c>
      <c r="O1063" s="19">
        <v>-68.5</v>
      </c>
      <c r="P1063" s="48">
        <v>68.5</v>
      </c>
      <c r="Q1063" s="17">
        <v>0</v>
      </c>
      <c r="R1063" s="24">
        <v>356.2</v>
      </c>
      <c r="S1063" s="18" t="s">
        <v>28</v>
      </c>
      <c r="T1063" s="25">
        <v>22</v>
      </c>
    </row>
    <row r="1064" spans="1:20" s="26" customFormat="1" x14ac:dyDescent="0.25">
      <c r="A1064" s="16">
        <v>222512</v>
      </c>
      <c r="B1064" s="30" t="s">
        <v>497</v>
      </c>
      <c r="C1064" s="20" t="s">
        <v>641</v>
      </c>
      <c r="D1064" s="20" t="s">
        <v>705</v>
      </c>
      <c r="E1064" s="20" t="s">
        <v>3634</v>
      </c>
      <c r="F1064" s="20" t="s">
        <v>3635</v>
      </c>
      <c r="G1064" s="21">
        <v>13.4</v>
      </c>
      <c r="H1064" s="16">
        <v>26</v>
      </c>
      <c r="I1064" s="16"/>
      <c r="J1064" s="17">
        <v>348.40000000000003</v>
      </c>
      <c r="K1064" s="22"/>
      <c r="L1064" s="23"/>
      <c r="M1064" s="23">
        <v>0</v>
      </c>
      <c r="N1064" s="19">
        <v>26.8</v>
      </c>
      <c r="O1064" s="19">
        <v>-67</v>
      </c>
      <c r="P1064" s="48">
        <v>67</v>
      </c>
      <c r="Q1064" s="17">
        <v>0</v>
      </c>
      <c r="R1064" s="24">
        <v>348.40000000000003</v>
      </c>
      <c r="S1064" s="18" t="s">
        <v>28</v>
      </c>
      <c r="T1064" s="25">
        <v>22</v>
      </c>
    </row>
    <row r="1065" spans="1:20" s="26" customFormat="1" x14ac:dyDescent="0.25">
      <c r="A1065" s="16">
        <v>223819</v>
      </c>
      <c r="B1065" s="30" t="s">
        <v>498</v>
      </c>
      <c r="C1065" s="20" t="s">
        <v>641</v>
      </c>
      <c r="D1065" s="20" t="s">
        <v>743</v>
      </c>
      <c r="E1065" s="20" t="s">
        <v>3636</v>
      </c>
      <c r="F1065" s="20" t="s">
        <v>3637</v>
      </c>
      <c r="G1065" s="21">
        <v>13.4</v>
      </c>
      <c r="H1065" s="16">
        <v>26</v>
      </c>
      <c r="I1065" s="16"/>
      <c r="J1065" s="17">
        <v>348.40000000000003</v>
      </c>
      <c r="K1065" s="22"/>
      <c r="L1065" s="23"/>
      <c r="M1065" s="23">
        <v>0</v>
      </c>
      <c r="N1065" s="19">
        <v>26.8</v>
      </c>
      <c r="O1065" s="19">
        <v>-67</v>
      </c>
      <c r="P1065" s="48">
        <v>67</v>
      </c>
      <c r="Q1065" s="17">
        <v>0</v>
      </c>
      <c r="R1065" s="24">
        <v>348.40000000000003</v>
      </c>
      <c r="S1065" s="18" t="s">
        <v>28</v>
      </c>
      <c r="T1065" s="25">
        <v>22</v>
      </c>
    </row>
    <row r="1066" spans="1:20" s="26" customFormat="1" x14ac:dyDescent="0.25">
      <c r="A1066" s="16">
        <v>224901</v>
      </c>
      <c r="B1066" s="30" t="s">
        <v>500</v>
      </c>
      <c r="C1066" s="20" t="s">
        <v>641</v>
      </c>
      <c r="D1066" s="20" t="s">
        <v>704</v>
      </c>
      <c r="E1066" s="20" t="s">
        <v>3638</v>
      </c>
      <c r="F1066" s="20" t="s">
        <v>3639</v>
      </c>
      <c r="G1066" s="21">
        <v>13.4</v>
      </c>
      <c r="H1066" s="16">
        <v>26</v>
      </c>
      <c r="I1066" s="16"/>
      <c r="J1066" s="17">
        <v>348.40000000000003</v>
      </c>
      <c r="K1066" s="22"/>
      <c r="L1066" s="23">
        <v>140.35</v>
      </c>
      <c r="M1066" s="23">
        <v>140.35</v>
      </c>
      <c r="N1066" s="19">
        <v>26.8</v>
      </c>
      <c r="O1066" s="19">
        <v>73.349999999999994</v>
      </c>
      <c r="P1066" s="48">
        <v>67</v>
      </c>
      <c r="Q1066" s="17">
        <v>73.349999999999994</v>
      </c>
      <c r="R1066" s="24">
        <v>275.05000000000007</v>
      </c>
      <c r="S1066" s="18" t="s">
        <v>11</v>
      </c>
      <c r="T1066" s="25">
        <v>22</v>
      </c>
    </row>
    <row r="1067" spans="1:20" s="26" customFormat="1" x14ac:dyDescent="0.25">
      <c r="A1067" s="16">
        <v>225136</v>
      </c>
      <c r="B1067" s="30" t="s">
        <v>501</v>
      </c>
      <c r="C1067" s="20" t="s">
        <v>641</v>
      </c>
      <c r="D1067" s="20" t="s">
        <v>743</v>
      </c>
      <c r="E1067" s="20" t="s">
        <v>3640</v>
      </c>
      <c r="F1067" s="20" t="s">
        <v>3641</v>
      </c>
      <c r="G1067" s="21">
        <v>13.4</v>
      </c>
      <c r="H1067" s="16">
        <v>26</v>
      </c>
      <c r="I1067" s="16">
        <v>1</v>
      </c>
      <c r="J1067" s="17">
        <v>335</v>
      </c>
      <c r="K1067" s="22"/>
      <c r="L1067" s="23">
        <v>110.3</v>
      </c>
      <c r="M1067" s="23">
        <v>110.3</v>
      </c>
      <c r="N1067" s="19">
        <v>26.8</v>
      </c>
      <c r="O1067" s="19">
        <v>43.3</v>
      </c>
      <c r="P1067" s="48">
        <v>67</v>
      </c>
      <c r="Q1067" s="17">
        <v>43.3</v>
      </c>
      <c r="R1067" s="24">
        <v>291.7</v>
      </c>
      <c r="S1067" s="18" t="s">
        <v>11</v>
      </c>
      <c r="T1067" s="25">
        <v>22</v>
      </c>
    </row>
    <row r="1068" spans="1:20" s="26" customFormat="1" x14ac:dyDescent="0.25">
      <c r="A1068" s="16">
        <v>226942</v>
      </c>
      <c r="B1068" s="30" t="s">
        <v>609</v>
      </c>
      <c r="C1068" s="20" t="s">
        <v>641</v>
      </c>
      <c r="D1068" s="20" t="s">
        <v>704</v>
      </c>
      <c r="E1068" s="20" t="s">
        <v>3642</v>
      </c>
      <c r="F1068" s="20" t="s">
        <v>3643</v>
      </c>
      <c r="G1068" s="21">
        <v>13.4</v>
      </c>
      <c r="H1068" s="16">
        <v>26</v>
      </c>
      <c r="I1068" s="16">
        <v>1</v>
      </c>
      <c r="J1068" s="17">
        <v>335</v>
      </c>
      <c r="K1068" s="22"/>
      <c r="L1068" s="23"/>
      <c r="M1068" s="23">
        <v>0</v>
      </c>
      <c r="N1068" s="19">
        <v>26.8</v>
      </c>
      <c r="O1068" s="19">
        <v>-67</v>
      </c>
      <c r="P1068" s="48">
        <v>67</v>
      </c>
      <c r="Q1068" s="17">
        <v>0</v>
      </c>
      <c r="R1068" s="24">
        <v>335</v>
      </c>
      <c r="S1068" s="18" t="s">
        <v>28</v>
      </c>
      <c r="T1068" s="25">
        <v>22</v>
      </c>
    </row>
    <row r="1069" spans="1:20" s="26" customFormat="1" x14ac:dyDescent="0.25">
      <c r="A1069" s="16">
        <v>228459</v>
      </c>
      <c r="B1069" s="30" t="s">
        <v>502</v>
      </c>
      <c r="C1069" s="20" t="s">
        <v>641</v>
      </c>
      <c r="D1069" s="20" t="s">
        <v>705</v>
      </c>
      <c r="E1069" s="20" t="s">
        <v>3644</v>
      </c>
      <c r="F1069" s="20" t="s">
        <v>3645</v>
      </c>
      <c r="G1069" s="21">
        <v>13.4</v>
      </c>
      <c r="H1069" s="16">
        <v>26</v>
      </c>
      <c r="I1069" s="16"/>
      <c r="J1069" s="17">
        <v>348.40000000000003</v>
      </c>
      <c r="K1069" s="22"/>
      <c r="L1069" s="23"/>
      <c r="M1069" s="23">
        <v>0</v>
      </c>
      <c r="N1069" s="19">
        <v>26.8</v>
      </c>
      <c r="O1069" s="19">
        <v>-67</v>
      </c>
      <c r="P1069" s="48">
        <v>67</v>
      </c>
      <c r="Q1069" s="17">
        <v>0</v>
      </c>
      <c r="R1069" s="24">
        <v>348.40000000000003</v>
      </c>
      <c r="S1069" s="18" t="s">
        <v>28</v>
      </c>
      <c r="T1069" s="25">
        <v>22</v>
      </c>
    </row>
    <row r="1070" spans="1:20" s="26" customFormat="1" x14ac:dyDescent="0.25">
      <c r="A1070" s="16">
        <v>229727</v>
      </c>
      <c r="B1070" s="30" t="s">
        <v>1232</v>
      </c>
      <c r="C1070" s="20" t="s">
        <v>641</v>
      </c>
      <c r="D1070" s="20" t="s">
        <v>704</v>
      </c>
      <c r="E1070" s="20" t="s">
        <v>3646</v>
      </c>
      <c r="F1070" s="20" t="s">
        <v>3647</v>
      </c>
      <c r="G1070" s="21">
        <v>13.4</v>
      </c>
      <c r="H1070" s="16">
        <v>26</v>
      </c>
      <c r="I1070" s="16">
        <v>1</v>
      </c>
      <c r="J1070" s="17">
        <v>335</v>
      </c>
      <c r="K1070" s="22"/>
      <c r="L1070" s="23"/>
      <c r="M1070" s="23">
        <v>0</v>
      </c>
      <c r="N1070" s="19">
        <v>26.8</v>
      </c>
      <c r="O1070" s="19">
        <v>-67</v>
      </c>
      <c r="P1070" s="48">
        <v>67</v>
      </c>
      <c r="Q1070" s="17">
        <v>0</v>
      </c>
      <c r="R1070" s="24">
        <v>335</v>
      </c>
      <c r="S1070" s="18" t="s">
        <v>28</v>
      </c>
      <c r="T1070" s="25">
        <v>22</v>
      </c>
    </row>
    <row r="1071" spans="1:20" s="26" customFormat="1" x14ac:dyDescent="0.25">
      <c r="A1071" s="16">
        <v>229959</v>
      </c>
      <c r="B1071" s="30" t="s">
        <v>504</v>
      </c>
      <c r="C1071" s="20" t="s">
        <v>641</v>
      </c>
      <c r="D1071" s="20" t="s">
        <v>743</v>
      </c>
      <c r="E1071" s="20" t="s">
        <v>3648</v>
      </c>
      <c r="F1071" s="20" t="s">
        <v>3649</v>
      </c>
      <c r="G1071" s="21">
        <v>13.4</v>
      </c>
      <c r="H1071" s="16">
        <v>26</v>
      </c>
      <c r="I1071" s="16"/>
      <c r="J1071" s="17">
        <v>348.40000000000003</v>
      </c>
      <c r="K1071" s="22"/>
      <c r="L1071" s="23"/>
      <c r="M1071" s="23">
        <v>0</v>
      </c>
      <c r="N1071" s="19">
        <v>26.8</v>
      </c>
      <c r="O1071" s="19">
        <v>-67</v>
      </c>
      <c r="P1071" s="48">
        <v>67</v>
      </c>
      <c r="Q1071" s="17">
        <v>0</v>
      </c>
      <c r="R1071" s="24">
        <v>348.40000000000003</v>
      </c>
      <c r="S1071" s="18" t="s">
        <v>28</v>
      </c>
      <c r="T1071" s="25">
        <v>22</v>
      </c>
    </row>
    <row r="1072" spans="1:20" s="26" customFormat="1" x14ac:dyDescent="0.25">
      <c r="A1072" s="16">
        <v>230070</v>
      </c>
      <c r="B1072" s="30" t="s">
        <v>505</v>
      </c>
      <c r="C1072" s="20" t="s">
        <v>641</v>
      </c>
      <c r="D1072" s="20" t="s">
        <v>704</v>
      </c>
      <c r="E1072" s="20" t="s">
        <v>3650</v>
      </c>
      <c r="F1072" s="20" t="s">
        <v>3651</v>
      </c>
      <c r="G1072" s="21">
        <v>13.4</v>
      </c>
      <c r="H1072" s="16">
        <v>26</v>
      </c>
      <c r="I1072" s="16"/>
      <c r="J1072" s="17">
        <v>348.40000000000003</v>
      </c>
      <c r="K1072" s="22"/>
      <c r="L1072" s="23"/>
      <c r="M1072" s="23">
        <v>0</v>
      </c>
      <c r="N1072" s="19">
        <v>26.8</v>
      </c>
      <c r="O1072" s="19">
        <v>-67</v>
      </c>
      <c r="P1072" s="48">
        <v>67</v>
      </c>
      <c r="Q1072" s="17">
        <v>0</v>
      </c>
      <c r="R1072" s="24">
        <v>348.40000000000003</v>
      </c>
      <c r="S1072" s="18" t="s">
        <v>28</v>
      </c>
      <c r="T1072" s="25">
        <v>22</v>
      </c>
    </row>
    <row r="1073" spans="1:20" s="26" customFormat="1" x14ac:dyDescent="0.25">
      <c r="A1073" s="16">
        <v>230567</v>
      </c>
      <c r="B1073" s="30" t="s">
        <v>1509</v>
      </c>
      <c r="C1073" s="20" t="s">
        <v>641</v>
      </c>
      <c r="D1073" s="20" t="s">
        <v>704</v>
      </c>
      <c r="E1073" s="20" t="s">
        <v>3652</v>
      </c>
      <c r="F1073" s="20" t="s">
        <v>3653</v>
      </c>
      <c r="G1073" s="21">
        <v>13.4</v>
      </c>
      <c r="H1073" s="16">
        <v>26</v>
      </c>
      <c r="I1073" s="16"/>
      <c r="J1073" s="17">
        <v>348.40000000000003</v>
      </c>
      <c r="K1073" s="22"/>
      <c r="L1073" s="23"/>
      <c r="M1073" s="23">
        <v>0</v>
      </c>
      <c r="N1073" s="19">
        <v>26.8</v>
      </c>
      <c r="O1073" s="19">
        <v>-67</v>
      </c>
      <c r="P1073" s="48">
        <v>67</v>
      </c>
      <c r="Q1073" s="17">
        <v>0</v>
      </c>
      <c r="R1073" s="24">
        <v>348.40000000000003</v>
      </c>
      <c r="S1073" s="18" t="s">
        <v>28</v>
      </c>
      <c r="T1073" s="25">
        <v>22</v>
      </c>
    </row>
    <row r="1074" spans="1:20" s="26" customFormat="1" x14ac:dyDescent="0.25">
      <c r="A1074" s="16">
        <v>231044</v>
      </c>
      <c r="B1074" s="30" t="s">
        <v>1510</v>
      </c>
      <c r="C1074" s="20" t="s">
        <v>641</v>
      </c>
      <c r="D1074" s="20" t="s">
        <v>704</v>
      </c>
      <c r="E1074" s="20" t="s">
        <v>3654</v>
      </c>
      <c r="F1074" s="20" t="s">
        <v>3655</v>
      </c>
      <c r="G1074" s="21">
        <v>13.4</v>
      </c>
      <c r="H1074" s="16">
        <v>26</v>
      </c>
      <c r="I1074" s="16"/>
      <c r="J1074" s="17">
        <v>348.40000000000003</v>
      </c>
      <c r="K1074" s="22"/>
      <c r="L1074" s="23"/>
      <c r="M1074" s="23">
        <v>0</v>
      </c>
      <c r="N1074" s="19">
        <v>26.8</v>
      </c>
      <c r="O1074" s="19">
        <v>-67</v>
      </c>
      <c r="P1074" s="48">
        <v>67</v>
      </c>
      <c r="Q1074" s="17">
        <v>0</v>
      </c>
      <c r="R1074" s="24">
        <v>348.40000000000003</v>
      </c>
      <c r="S1074" s="18" t="s">
        <v>28</v>
      </c>
      <c r="T1074" s="25">
        <v>22</v>
      </c>
    </row>
    <row r="1075" spans="1:20" s="26" customFormat="1" x14ac:dyDescent="0.25">
      <c r="A1075" s="16">
        <v>231138</v>
      </c>
      <c r="B1075" s="30" t="s">
        <v>774</v>
      </c>
      <c r="C1075" s="20" t="s">
        <v>641</v>
      </c>
      <c r="D1075" s="20" t="s">
        <v>704</v>
      </c>
      <c r="E1075" s="20" t="s">
        <v>3656</v>
      </c>
      <c r="F1075" s="20" t="s">
        <v>3657</v>
      </c>
      <c r="G1075" s="21">
        <v>18.8</v>
      </c>
      <c r="H1075" s="16">
        <v>26</v>
      </c>
      <c r="I1075" s="16"/>
      <c r="J1075" s="17">
        <v>488.8</v>
      </c>
      <c r="K1075" s="22"/>
      <c r="L1075" s="23"/>
      <c r="M1075" s="23">
        <v>0</v>
      </c>
      <c r="N1075" s="19">
        <v>37.6</v>
      </c>
      <c r="O1075" s="19">
        <v>-94</v>
      </c>
      <c r="P1075" s="48">
        <v>94</v>
      </c>
      <c r="Q1075" s="17">
        <v>0</v>
      </c>
      <c r="R1075" s="24">
        <v>488.8</v>
      </c>
      <c r="S1075" s="18" t="s">
        <v>28</v>
      </c>
      <c r="T1075" s="25">
        <v>22</v>
      </c>
    </row>
    <row r="1076" spans="1:20" s="26" customFormat="1" x14ac:dyDescent="0.25">
      <c r="A1076" s="16">
        <v>231509</v>
      </c>
      <c r="B1076" s="30" t="s">
        <v>798</v>
      </c>
      <c r="C1076" s="20" t="s">
        <v>641</v>
      </c>
      <c r="D1076" s="20" t="s">
        <v>743</v>
      </c>
      <c r="E1076" s="20" t="s">
        <v>3658</v>
      </c>
      <c r="F1076" s="20" t="s">
        <v>3659</v>
      </c>
      <c r="G1076" s="21">
        <v>10</v>
      </c>
      <c r="H1076" s="16">
        <v>26</v>
      </c>
      <c r="I1076" s="16"/>
      <c r="J1076" s="17">
        <v>260</v>
      </c>
      <c r="K1076" s="22"/>
      <c r="L1076" s="23"/>
      <c r="M1076" s="23">
        <v>0</v>
      </c>
      <c r="N1076" s="19">
        <v>20</v>
      </c>
      <c r="O1076" s="19">
        <v>-50</v>
      </c>
      <c r="P1076" s="48">
        <v>50</v>
      </c>
      <c r="Q1076" s="17">
        <v>0</v>
      </c>
      <c r="R1076" s="24">
        <v>260</v>
      </c>
      <c r="S1076" s="18" t="s">
        <v>28</v>
      </c>
      <c r="T1076" s="25">
        <v>22</v>
      </c>
    </row>
    <row r="1077" spans="1:20" s="26" customFormat="1" x14ac:dyDescent="0.25">
      <c r="A1077" s="16">
        <v>231878</v>
      </c>
      <c r="B1077" s="30" t="s">
        <v>860</v>
      </c>
      <c r="C1077" s="20" t="s">
        <v>641</v>
      </c>
      <c r="D1077" s="20" t="s">
        <v>744</v>
      </c>
      <c r="E1077" s="20" t="s">
        <v>3660</v>
      </c>
      <c r="F1077" s="20" t="s">
        <v>3661</v>
      </c>
      <c r="G1077" s="21">
        <v>13.4</v>
      </c>
      <c r="H1077" s="16">
        <v>26</v>
      </c>
      <c r="I1077" s="16"/>
      <c r="J1077" s="17">
        <v>348.40000000000003</v>
      </c>
      <c r="K1077" s="22"/>
      <c r="L1077" s="23"/>
      <c r="M1077" s="23">
        <v>0</v>
      </c>
      <c r="N1077" s="19">
        <v>26.8</v>
      </c>
      <c r="O1077" s="19">
        <v>-67</v>
      </c>
      <c r="P1077" s="48">
        <v>67</v>
      </c>
      <c r="Q1077" s="17">
        <v>0</v>
      </c>
      <c r="R1077" s="24">
        <v>348.40000000000003</v>
      </c>
      <c r="S1077" s="18" t="s">
        <v>28</v>
      </c>
      <c r="T1077" s="25">
        <v>22</v>
      </c>
    </row>
    <row r="1078" spans="1:20" s="26" customFormat="1" x14ac:dyDescent="0.25">
      <c r="A1078" s="16">
        <v>232115</v>
      </c>
      <c r="B1078" s="30" t="s">
        <v>861</v>
      </c>
      <c r="C1078" s="20" t="s">
        <v>641</v>
      </c>
      <c r="D1078" s="20" t="s">
        <v>704</v>
      </c>
      <c r="E1078" s="20" t="s">
        <v>3662</v>
      </c>
      <c r="F1078" s="20" t="s">
        <v>3663</v>
      </c>
      <c r="G1078" s="21">
        <v>18.8</v>
      </c>
      <c r="H1078" s="16">
        <v>26</v>
      </c>
      <c r="I1078" s="16">
        <v>4</v>
      </c>
      <c r="J1078" s="17">
        <v>413.6</v>
      </c>
      <c r="K1078" s="22"/>
      <c r="L1078" s="23"/>
      <c r="M1078" s="23">
        <v>0</v>
      </c>
      <c r="N1078" s="19">
        <v>37.6</v>
      </c>
      <c r="O1078" s="19">
        <v>-94</v>
      </c>
      <c r="P1078" s="48">
        <v>94</v>
      </c>
      <c r="Q1078" s="17">
        <v>0</v>
      </c>
      <c r="R1078" s="24">
        <v>413.6</v>
      </c>
      <c r="S1078" s="18" t="s">
        <v>28</v>
      </c>
      <c r="T1078" s="25">
        <v>22</v>
      </c>
    </row>
    <row r="1079" spans="1:20" s="26" customFormat="1" x14ac:dyDescent="0.25">
      <c r="A1079" s="16">
        <v>233082</v>
      </c>
      <c r="B1079" s="30" t="s">
        <v>1012</v>
      </c>
      <c r="C1079" s="20" t="s">
        <v>641</v>
      </c>
      <c r="D1079" s="20" t="s">
        <v>704</v>
      </c>
      <c r="E1079" s="20" t="s">
        <v>3664</v>
      </c>
      <c r="F1079" s="20" t="s">
        <v>3665</v>
      </c>
      <c r="G1079" s="21">
        <v>13.4</v>
      </c>
      <c r="H1079" s="16">
        <v>26</v>
      </c>
      <c r="I1079" s="16"/>
      <c r="J1079" s="17">
        <v>348.40000000000003</v>
      </c>
      <c r="K1079" s="22"/>
      <c r="L1079" s="23"/>
      <c r="M1079" s="23">
        <v>0</v>
      </c>
      <c r="N1079" s="19">
        <v>26.8</v>
      </c>
      <c r="O1079" s="19">
        <v>-67</v>
      </c>
      <c r="P1079" s="48">
        <v>67</v>
      </c>
      <c r="Q1079" s="17">
        <v>0</v>
      </c>
      <c r="R1079" s="24">
        <v>348.40000000000003</v>
      </c>
      <c r="S1079" s="18" t="s">
        <v>28</v>
      </c>
      <c r="T1079" s="25">
        <v>22</v>
      </c>
    </row>
    <row r="1080" spans="1:20" s="26" customFormat="1" x14ac:dyDescent="0.25">
      <c r="A1080" s="16">
        <v>233123</v>
      </c>
      <c r="B1080" s="30" t="s">
        <v>1013</v>
      </c>
      <c r="C1080" s="20" t="s">
        <v>641</v>
      </c>
      <c r="D1080" s="20" t="s">
        <v>704</v>
      </c>
      <c r="E1080" s="20" t="s">
        <v>3666</v>
      </c>
      <c r="F1080" s="20" t="s">
        <v>3667</v>
      </c>
      <c r="G1080" s="21">
        <v>13.4</v>
      </c>
      <c r="H1080" s="16">
        <v>26</v>
      </c>
      <c r="I1080" s="16"/>
      <c r="J1080" s="17">
        <v>348.40000000000003</v>
      </c>
      <c r="K1080" s="22"/>
      <c r="L1080" s="23"/>
      <c r="M1080" s="23">
        <v>0</v>
      </c>
      <c r="N1080" s="19">
        <v>26.8</v>
      </c>
      <c r="O1080" s="19">
        <v>-67</v>
      </c>
      <c r="P1080" s="48">
        <v>67</v>
      </c>
      <c r="Q1080" s="17">
        <v>0</v>
      </c>
      <c r="R1080" s="24">
        <v>348.40000000000003</v>
      </c>
      <c r="S1080" s="18" t="s">
        <v>28</v>
      </c>
      <c r="T1080" s="25">
        <v>22</v>
      </c>
    </row>
    <row r="1081" spans="1:20" s="26" customFormat="1" x14ac:dyDescent="0.25">
      <c r="A1081" s="16">
        <v>234759</v>
      </c>
      <c r="B1081" s="30" t="s">
        <v>1381</v>
      </c>
      <c r="C1081" s="20" t="s">
        <v>641</v>
      </c>
      <c r="D1081" s="20" t="s">
        <v>704</v>
      </c>
      <c r="E1081" s="20" t="s">
        <v>3668</v>
      </c>
      <c r="F1081" s="20" t="s">
        <v>3669</v>
      </c>
      <c r="G1081" s="21">
        <v>13.4</v>
      </c>
      <c r="H1081" s="16">
        <v>26</v>
      </c>
      <c r="I1081" s="16"/>
      <c r="J1081" s="17">
        <v>348.40000000000003</v>
      </c>
      <c r="K1081" s="22"/>
      <c r="L1081" s="23"/>
      <c r="M1081" s="23">
        <v>0</v>
      </c>
      <c r="N1081" s="19">
        <v>26.8</v>
      </c>
      <c r="O1081" s="19">
        <v>-67</v>
      </c>
      <c r="P1081" s="48">
        <v>67</v>
      </c>
      <c r="Q1081" s="17">
        <v>0</v>
      </c>
      <c r="R1081" s="24">
        <v>348.40000000000003</v>
      </c>
      <c r="S1081" s="18" t="s">
        <v>28</v>
      </c>
      <c r="T1081" s="25">
        <v>22</v>
      </c>
    </row>
    <row r="1082" spans="1:20" s="26" customFormat="1" x14ac:dyDescent="0.25">
      <c r="A1082" s="16">
        <v>234818</v>
      </c>
      <c r="B1082" s="30" t="s">
        <v>1382</v>
      </c>
      <c r="C1082" s="20" t="s">
        <v>641</v>
      </c>
      <c r="D1082" s="20" t="s">
        <v>704</v>
      </c>
      <c r="E1082" s="20" t="s">
        <v>3670</v>
      </c>
      <c r="F1082" s="20" t="s">
        <v>3671</v>
      </c>
      <c r="G1082" s="21">
        <v>18.8</v>
      </c>
      <c r="H1082" s="16">
        <v>26</v>
      </c>
      <c r="I1082" s="16"/>
      <c r="J1082" s="17">
        <v>488.8</v>
      </c>
      <c r="K1082" s="22"/>
      <c r="L1082" s="23"/>
      <c r="M1082" s="23">
        <v>0</v>
      </c>
      <c r="N1082" s="19">
        <v>37.6</v>
      </c>
      <c r="O1082" s="19">
        <v>-94</v>
      </c>
      <c r="P1082" s="48">
        <v>94</v>
      </c>
      <c r="Q1082" s="17">
        <v>0</v>
      </c>
      <c r="R1082" s="24">
        <v>488.8</v>
      </c>
      <c r="S1082" s="18" t="s">
        <v>28</v>
      </c>
      <c r="T1082" s="25">
        <v>22</v>
      </c>
    </row>
    <row r="1083" spans="1:20" s="26" customFormat="1" x14ac:dyDescent="0.25">
      <c r="A1083" s="65">
        <v>219121</v>
      </c>
      <c r="B1083" s="30" t="s">
        <v>506</v>
      </c>
      <c r="C1083" s="20" t="s">
        <v>645</v>
      </c>
      <c r="D1083" s="20" t="s">
        <v>751</v>
      </c>
      <c r="E1083" s="20" t="s">
        <v>3672</v>
      </c>
      <c r="F1083" s="20" t="s">
        <v>3673</v>
      </c>
      <c r="G1083" s="21">
        <v>18.8</v>
      </c>
      <c r="H1083" s="16">
        <v>26</v>
      </c>
      <c r="I1083" s="16"/>
      <c r="J1083" s="17">
        <v>488.8</v>
      </c>
      <c r="K1083" s="22"/>
      <c r="L1083" s="23">
        <v>201.1</v>
      </c>
      <c r="M1083" s="23">
        <v>201.1</v>
      </c>
      <c r="N1083" s="19">
        <v>37.6</v>
      </c>
      <c r="O1083" s="19">
        <v>107.1</v>
      </c>
      <c r="P1083" s="48">
        <v>94</v>
      </c>
      <c r="Q1083" s="17">
        <v>107.1</v>
      </c>
      <c r="R1083" s="24">
        <v>381.70000000000005</v>
      </c>
      <c r="S1083" s="18" t="s">
        <v>11</v>
      </c>
      <c r="T1083" s="25">
        <v>22</v>
      </c>
    </row>
    <row r="1084" spans="1:20" s="26" customFormat="1" x14ac:dyDescent="0.25">
      <c r="A1084" s="16">
        <v>222056</v>
      </c>
      <c r="B1084" s="30" t="s">
        <v>1511</v>
      </c>
      <c r="C1084" s="20" t="s">
        <v>645</v>
      </c>
      <c r="D1084" s="20" t="s">
        <v>711</v>
      </c>
      <c r="E1084" s="20" t="s">
        <v>3674</v>
      </c>
      <c r="F1084" s="20" t="s">
        <v>3675</v>
      </c>
      <c r="G1084" s="21">
        <v>13.4</v>
      </c>
      <c r="H1084" s="16">
        <v>26</v>
      </c>
      <c r="I1084" s="16">
        <v>4</v>
      </c>
      <c r="J1084" s="17">
        <v>294.8</v>
      </c>
      <c r="K1084" s="22"/>
      <c r="L1084" s="23"/>
      <c r="M1084" s="23">
        <v>0</v>
      </c>
      <c r="N1084" s="19">
        <v>26.8</v>
      </c>
      <c r="O1084" s="19">
        <v>-67</v>
      </c>
      <c r="P1084" s="48">
        <v>67</v>
      </c>
      <c r="Q1084" s="17">
        <v>0</v>
      </c>
      <c r="R1084" s="24">
        <v>294.8</v>
      </c>
      <c r="S1084" s="18" t="s">
        <v>28</v>
      </c>
      <c r="T1084" s="25">
        <v>22</v>
      </c>
    </row>
    <row r="1085" spans="1:20" s="26" customFormat="1" x14ac:dyDescent="0.25">
      <c r="A1085" s="16">
        <v>222113</v>
      </c>
      <c r="B1085" s="30" t="s">
        <v>507</v>
      </c>
      <c r="C1085" s="20" t="s">
        <v>645</v>
      </c>
      <c r="D1085" s="20" t="s">
        <v>711</v>
      </c>
      <c r="E1085" s="20" t="s">
        <v>3676</v>
      </c>
      <c r="F1085" s="20" t="s">
        <v>3677</v>
      </c>
      <c r="G1085" s="21">
        <v>13.4</v>
      </c>
      <c r="H1085" s="16">
        <v>26</v>
      </c>
      <c r="I1085" s="16">
        <v>1</v>
      </c>
      <c r="J1085" s="17">
        <v>335</v>
      </c>
      <c r="K1085" s="22"/>
      <c r="L1085" s="23"/>
      <c r="M1085" s="23">
        <v>0</v>
      </c>
      <c r="N1085" s="19">
        <v>26.8</v>
      </c>
      <c r="O1085" s="19">
        <v>-67</v>
      </c>
      <c r="P1085" s="48">
        <v>67</v>
      </c>
      <c r="Q1085" s="17">
        <v>0</v>
      </c>
      <c r="R1085" s="24">
        <v>335</v>
      </c>
      <c r="S1085" s="18" t="s">
        <v>28</v>
      </c>
      <c r="T1085" s="25">
        <v>22</v>
      </c>
    </row>
    <row r="1086" spans="1:20" s="26" customFormat="1" x14ac:dyDescent="0.25">
      <c r="A1086" s="16">
        <v>222115</v>
      </c>
      <c r="B1086" s="30" t="s">
        <v>508</v>
      </c>
      <c r="C1086" s="20" t="s">
        <v>645</v>
      </c>
      <c r="D1086" s="20" t="s">
        <v>711</v>
      </c>
      <c r="E1086" s="20" t="s">
        <v>3678</v>
      </c>
      <c r="F1086" s="20" t="s">
        <v>3679</v>
      </c>
      <c r="G1086" s="21">
        <v>13.7</v>
      </c>
      <c r="H1086" s="16">
        <v>26</v>
      </c>
      <c r="I1086" s="16"/>
      <c r="J1086" s="17">
        <v>356.2</v>
      </c>
      <c r="K1086" s="22"/>
      <c r="L1086" s="23"/>
      <c r="M1086" s="23">
        <v>0</v>
      </c>
      <c r="N1086" s="19">
        <v>27.4</v>
      </c>
      <c r="O1086" s="19">
        <v>-68.5</v>
      </c>
      <c r="P1086" s="48">
        <v>68.5</v>
      </c>
      <c r="Q1086" s="17">
        <v>0</v>
      </c>
      <c r="R1086" s="24">
        <v>356.2</v>
      </c>
      <c r="S1086" s="18" t="s">
        <v>28</v>
      </c>
      <c r="T1086" s="25">
        <v>22</v>
      </c>
    </row>
    <row r="1087" spans="1:20" s="26" customFormat="1" x14ac:dyDescent="0.25">
      <c r="A1087" s="16">
        <v>225285</v>
      </c>
      <c r="B1087" s="30" t="s">
        <v>509</v>
      </c>
      <c r="C1087" s="20" t="s">
        <v>645</v>
      </c>
      <c r="D1087" s="20" t="s">
        <v>711</v>
      </c>
      <c r="E1087" s="20" t="s">
        <v>3680</v>
      </c>
      <c r="F1087" s="20" t="s">
        <v>3681</v>
      </c>
      <c r="G1087" s="21">
        <v>13.4</v>
      </c>
      <c r="H1087" s="16">
        <v>26</v>
      </c>
      <c r="I1087" s="16"/>
      <c r="J1087" s="17">
        <v>348.40000000000003</v>
      </c>
      <c r="K1087" s="22"/>
      <c r="L1087" s="23"/>
      <c r="M1087" s="23">
        <v>0</v>
      </c>
      <c r="N1087" s="19">
        <v>26.8</v>
      </c>
      <c r="O1087" s="19">
        <v>-67</v>
      </c>
      <c r="P1087" s="48">
        <v>67</v>
      </c>
      <c r="Q1087" s="17">
        <v>0</v>
      </c>
      <c r="R1087" s="24">
        <v>348.40000000000003</v>
      </c>
      <c r="S1087" s="18" t="s">
        <v>28</v>
      </c>
      <c r="T1087" s="25">
        <v>22</v>
      </c>
    </row>
    <row r="1088" spans="1:20" s="26" customFormat="1" x14ac:dyDescent="0.25">
      <c r="A1088" s="16">
        <v>232261</v>
      </c>
      <c r="B1088" s="30" t="s">
        <v>889</v>
      </c>
      <c r="C1088" s="20" t="s">
        <v>645</v>
      </c>
      <c r="D1088" s="20" t="s">
        <v>711</v>
      </c>
      <c r="E1088" s="20" t="s">
        <v>3682</v>
      </c>
      <c r="F1088" s="20" t="s">
        <v>3683</v>
      </c>
      <c r="G1088" s="21">
        <v>13.4</v>
      </c>
      <c r="H1088" s="16">
        <v>26</v>
      </c>
      <c r="I1088" s="16"/>
      <c r="J1088" s="17">
        <v>348.40000000000003</v>
      </c>
      <c r="K1088" s="22"/>
      <c r="L1088" s="23"/>
      <c r="M1088" s="23">
        <v>0</v>
      </c>
      <c r="N1088" s="19">
        <v>26.8</v>
      </c>
      <c r="O1088" s="19">
        <v>-67</v>
      </c>
      <c r="P1088" s="48">
        <v>67</v>
      </c>
      <c r="Q1088" s="17">
        <v>0</v>
      </c>
      <c r="R1088" s="24">
        <v>348.40000000000003</v>
      </c>
      <c r="S1088" s="18" t="s">
        <v>28</v>
      </c>
      <c r="T1088" s="25">
        <v>22</v>
      </c>
    </row>
    <row r="1089" spans="1:20" s="26" customFormat="1" x14ac:dyDescent="0.25">
      <c r="A1089" s="16">
        <v>232483</v>
      </c>
      <c r="B1089" s="30" t="s">
        <v>920</v>
      </c>
      <c r="C1089" s="20" t="s">
        <v>645</v>
      </c>
      <c r="D1089" s="20" t="s">
        <v>711</v>
      </c>
      <c r="E1089" s="20" t="s">
        <v>3684</v>
      </c>
      <c r="F1089" s="20" t="s">
        <v>3685</v>
      </c>
      <c r="G1089" s="21">
        <v>13.4</v>
      </c>
      <c r="H1089" s="16">
        <v>26</v>
      </c>
      <c r="I1089" s="16"/>
      <c r="J1089" s="17">
        <v>348.40000000000003</v>
      </c>
      <c r="K1089" s="22"/>
      <c r="L1089" s="23"/>
      <c r="M1089" s="23">
        <v>0</v>
      </c>
      <c r="N1089" s="19">
        <v>26.8</v>
      </c>
      <c r="O1089" s="19">
        <v>-67</v>
      </c>
      <c r="P1089" s="48">
        <v>67</v>
      </c>
      <c r="Q1089" s="17">
        <v>0</v>
      </c>
      <c r="R1089" s="24">
        <v>348.40000000000003</v>
      </c>
      <c r="S1089" s="18" t="s">
        <v>28</v>
      </c>
      <c r="T1089" s="25">
        <v>22</v>
      </c>
    </row>
    <row r="1090" spans="1:20" s="26" customFormat="1" x14ac:dyDescent="0.25">
      <c r="A1090" s="16">
        <v>233875</v>
      </c>
      <c r="B1090" s="30" t="s">
        <v>1107</v>
      </c>
      <c r="C1090" s="20" t="s">
        <v>645</v>
      </c>
      <c r="D1090" s="20" t="s">
        <v>711</v>
      </c>
      <c r="E1090" s="20" t="s">
        <v>3686</v>
      </c>
      <c r="F1090" s="20" t="s">
        <v>3687</v>
      </c>
      <c r="G1090" s="21">
        <v>13.4</v>
      </c>
      <c r="H1090" s="16">
        <v>26</v>
      </c>
      <c r="I1090" s="16"/>
      <c r="J1090" s="17">
        <v>348.40000000000003</v>
      </c>
      <c r="K1090" s="22"/>
      <c r="L1090" s="23"/>
      <c r="M1090" s="23">
        <v>0</v>
      </c>
      <c r="N1090" s="19">
        <v>26.8</v>
      </c>
      <c r="O1090" s="19">
        <v>-67</v>
      </c>
      <c r="P1090" s="48">
        <v>67</v>
      </c>
      <c r="Q1090" s="17">
        <v>0</v>
      </c>
      <c r="R1090" s="24">
        <v>348.40000000000003</v>
      </c>
      <c r="S1090" s="18" t="s">
        <v>28</v>
      </c>
      <c r="T1090" s="25">
        <v>22</v>
      </c>
    </row>
    <row r="1091" spans="1:20" s="26" customFormat="1" x14ac:dyDescent="0.25">
      <c r="A1091" s="16">
        <v>235076</v>
      </c>
      <c r="B1091" s="30" t="s">
        <v>1512</v>
      </c>
      <c r="C1091" s="20" t="s">
        <v>645</v>
      </c>
      <c r="D1091" s="20" t="s">
        <v>711</v>
      </c>
      <c r="E1091" s="20">
        <v>0</v>
      </c>
      <c r="F1091" s="20" t="s">
        <v>4181</v>
      </c>
      <c r="G1091" s="21">
        <v>13.4</v>
      </c>
      <c r="H1091" s="16">
        <v>0</v>
      </c>
      <c r="I1091" s="16"/>
      <c r="J1091" s="17">
        <v>0</v>
      </c>
      <c r="K1091" s="22"/>
      <c r="L1091" s="23"/>
      <c r="M1091" s="23">
        <v>0</v>
      </c>
      <c r="N1091" s="19">
        <v>26.8</v>
      </c>
      <c r="O1091" s="19">
        <v>-67</v>
      </c>
      <c r="P1091" s="48">
        <v>67</v>
      </c>
      <c r="Q1091" s="17">
        <v>0</v>
      </c>
      <c r="R1091" s="24">
        <v>0</v>
      </c>
      <c r="S1091" s="18" t="s">
        <v>12</v>
      </c>
      <c r="T1091" s="25">
        <v>22</v>
      </c>
    </row>
    <row r="1092" spans="1:20" s="26" customFormat="1" x14ac:dyDescent="0.25">
      <c r="A1092" s="16">
        <v>219609</v>
      </c>
      <c r="B1092" s="30" t="s">
        <v>1249</v>
      </c>
      <c r="C1092" s="20" t="s">
        <v>656</v>
      </c>
      <c r="D1092" s="20" t="s">
        <v>740</v>
      </c>
      <c r="E1092" s="20" t="s">
        <v>4032</v>
      </c>
      <c r="F1092" s="20" t="s">
        <v>4033</v>
      </c>
      <c r="G1092" s="21">
        <v>14.2</v>
      </c>
      <c r="H1092" s="16">
        <v>29</v>
      </c>
      <c r="I1092" s="16"/>
      <c r="J1092" s="17">
        <v>411.79999999999995</v>
      </c>
      <c r="K1092" s="22"/>
      <c r="L1092" s="23"/>
      <c r="M1092" s="23">
        <v>0</v>
      </c>
      <c r="N1092" s="19">
        <v>28.4</v>
      </c>
      <c r="O1092" s="19">
        <v>-71</v>
      </c>
      <c r="P1092" s="48">
        <v>71</v>
      </c>
      <c r="Q1092" s="17">
        <v>0</v>
      </c>
      <c r="R1092" s="24">
        <v>411.79999999999995</v>
      </c>
      <c r="S1092" s="18" t="s">
        <v>28</v>
      </c>
      <c r="T1092" s="25">
        <v>22</v>
      </c>
    </row>
    <row r="1093" spans="1:20" s="26" customFormat="1" x14ac:dyDescent="0.25">
      <c r="A1093" s="16">
        <v>209615</v>
      </c>
      <c r="B1093" s="30" t="s">
        <v>511</v>
      </c>
      <c r="C1093" s="20" t="s">
        <v>635</v>
      </c>
      <c r="D1093" s="20" t="s">
        <v>698</v>
      </c>
      <c r="E1093" s="20" t="s">
        <v>3688</v>
      </c>
      <c r="F1093" s="20" t="s">
        <v>3689</v>
      </c>
      <c r="G1093" s="21">
        <v>18.8</v>
      </c>
      <c r="H1093" s="16">
        <v>26</v>
      </c>
      <c r="I1093" s="16"/>
      <c r="J1093" s="17">
        <v>488.8</v>
      </c>
      <c r="K1093" s="22"/>
      <c r="L1093" s="23"/>
      <c r="M1093" s="23">
        <v>0</v>
      </c>
      <c r="N1093" s="19">
        <v>37.6</v>
      </c>
      <c r="O1093" s="19">
        <v>-94</v>
      </c>
      <c r="P1093" s="48">
        <v>94</v>
      </c>
      <c r="Q1093" s="17">
        <v>0</v>
      </c>
      <c r="R1093" s="24">
        <v>488.8</v>
      </c>
      <c r="S1093" s="18" t="s">
        <v>28</v>
      </c>
      <c r="T1093" s="25">
        <v>23</v>
      </c>
    </row>
    <row r="1094" spans="1:20" s="26" customFormat="1" x14ac:dyDescent="0.25">
      <c r="A1094" s="16">
        <v>222193</v>
      </c>
      <c r="B1094" s="30" t="s">
        <v>471</v>
      </c>
      <c r="C1094" s="20" t="s">
        <v>653</v>
      </c>
      <c r="D1094" s="20" t="s">
        <v>891</v>
      </c>
      <c r="E1094" s="20" t="s">
        <v>3690</v>
      </c>
      <c r="F1094" s="20" t="s">
        <v>3691</v>
      </c>
      <c r="G1094" s="21">
        <v>18.8</v>
      </c>
      <c r="H1094" s="16">
        <v>26</v>
      </c>
      <c r="I1094" s="16"/>
      <c r="J1094" s="17">
        <v>488.8</v>
      </c>
      <c r="K1094" s="22"/>
      <c r="L1094" s="23"/>
      <c r="M1094" s="23">
        <v>0</v>
      </c>
      <c r="N1094" s="19">
        <v>37.6</v>
      </c>
      <c r="O1094" s="19">
        <v>-94</v>
      </c>
      <c r="P1094" s="48">
        <v>94</v>
      </c>
      <c r="Q1094" s="17">
        <v>0</v>
      </c>
      <c r="R1094" s="24">
        <v>488.8</v>
      </c>
      <c r="S1094" s="18" t="s">
        <v>28</v>
      </c>
      <c r="T1094" s="25">
        <v>23</v>
      </c>
    </row>
    <row r="1095" spans="1:20" s="26" customFormat="1" x14ac:dyDescent="0.25">
      <c r="A1095" s="16">
        <v>229667</v>
      </c>
      <c r="B1095" s="30" t="s">
        <v>512</v>
      </c>
      <c r="C1095" s="20" t="s">
        <v>641</v>
      </c>
      <c r="D1095" s="20" t="s">
        <v>743</v>
      </c>
      <c r="E1095" s="20" t="s">
        <v>3692</v>
      </c>
      <c r="F1095" s="20" t="s">
        <v>3693</v>
      </c>
      <c r="G1095" s="21">
        <v>18.8</v>
      </c>
      <c r="H1095" s="16">
        <v>26</v>
      </c>
      <c r="I1095" s="16"/>
      <c r="J1095" s="17">
        <v>488.8</v>
      </c>
      <c r="K1095" s="22"/>
      <c r="L1095" s="23"/>
      <c r="M1095" s="23">
        <v>0</v>
      </c>
      <c r="N1095" s="19">
        <v>37.6</v>
      </c>
      <c r="O1095" s="19">
        <v>-94</v>
      </c>
      <c r="P1095" s="48">
        <v>94</v>
      </c>
      <c r="Q1095" s="17">
        <v>0</v>
      </c>
      <c r="R1095" s="24">
        <v>488.8</v>
      </c>
      <c r="S1095" s="18" t="s">
        <v>28</v>
      </c>
      <c r="T1095" s="25">
        <v>23</v>
      </c>
    </row>
    <row r="1096" spans="1:20" s="26" customFormat="1" x14ac:dyDescent="0.25">
      <c r="A1096" s="16">
        <v>212131</v>
      </c>
      <c r="B1096" s="30" t="s">
        <v>1233</v>
      </c>
      <c r="C1096" s="20" t="s">
        <v>1257</v>
      </c>
      <c r="D1096" s="20" t="s">
        <v>1264</v>
      </c>
      <c r="E1096" s="20" t="s">
        <v>3694</v>
      </c>
      <c r="F1096" s="20" t="s">
        <v>3695</v>
      </c>
      <c r="G1096" s="21">
        <v>18.8</v>
      </c>
      <c r="H1096" s="16">
        <v>22</v>
      </c>
      <c r="I1096" s="16">
        <v>3</v>
      </c>
      <c r="J1096" s="17">
        <v>357.2</v>
      </c>
      <c r="K1096" s="22"/>
      <c r="L1096" s="23"/>
      <c r="M1096" s="23">
        <v>0</v>
      </c>
      <c r="N1096" s="19">
        <v>37.6</v>
      </c>
      <c r="O1096" s="19">
        <v>-94</v>
      </c>
      <c r="P1096" s="48">
        <v>94</v>
      </c>
      <c r="Q1096" s="17">
        <v>0</v>
      </c>
      <c r="R1096" s="24">
        <v>357.2</v>
      </c>
      <c r="S1096" s="18" t="s">
        <v>28</v>
      </c>
      <c r="T1096" s="25">
        <v>25</v>
      </c>
    </row>
    <row r="1097" spans="1:20" s="26" customFormat="1" x14ac:dyDescent="0.25">
      <c r="A1097" s="16">
        <v>201014</v>
      </c>
      <c r="B1097" s="30" t="s">
        <v>1234</v>
      </c>
      <c r="C1097" s="20" t="s">
        <v>659</v>
      </c>
      <c r="D1097" s="20" t="s">
        <v>753</v>
      </c>
      <c r="E1097" s="20" t="s">
        <v>3696</v>
      </c>
      <c r="F1097" s="20" t="s">
        <v>3697</v>
      </c>
      <c r="G1097" s="21">
        <v>26.8</v>
      </c>
      <c r="H1097" s="16">
        <v>22</v>
      </c>
      <c r="I1097" s="16"/>
      <c r="J1097" s="17">
        <v>589.6</v>
      </c>
      <c r="K1097" s="22"/>
      <c r="L1097" s="23"/>
      <c r="M1097" s="23">
        <v>0</v>
      </c>
      <c r="N1097" s="19">
        <v>53.6</v>
      </c>
      <c r="O1097" s="19">
        <v>-134</v>
      </c>
      <c r="P1097" s="48">
        <v>134</v>
      </c>
      <c r="Q1097" s="17">
        <v>0</v>
      </c>
      <c r="R1097" s="24">
        <v>589.6</v>
      </c>
      <c r="S1097" s="18" t="s">
        <v>28</v>
      </c>
      <c r="T1097" s="25">
        <v>25</v>
      </c>
    </row>
    <row r="1098" spans="1:20" s="26" customFormat="1" x14ac:dyDescent="0.25">
      <c r="A1098" s="16">
        <v>210288</v>
      </c>
      <c r="B1098" s="30" t="s">
        <v>513</v>
      </c>
      <c r="C1098" s="20" t="s">
        <v>659</v>
      </c>
      <c r="D1098" s="20" t="s">
        <v>753</v>
      </c>
      <c r="E1098" s="20" t="s">
        <v>3698</v>
      </c>
      <c r="F1098" s="20" t="s">
        <v>3699</v>
      </c>
      <c r="G1098" s="21">
        <v>15.8</v>
      </c>
      <c r="H1098" s="16">
        <v>11</v>
      </c>
      <c r="I1098" s="16"/>
      <c r="J1098" s="17">
        <v>173.8</v>
      </c>
      <c r="K1098" s="22"/>
      <c r="L1098" s="23"/>
      <c r="M1098" s="23">
        <v>0</v>
      </c>
      <c r="N1098" s="19">
        <v>31.6</v>
      </c>
      <c r="O1098" s="19">
        <v>-79</v>
      </c>
      <c r="P1098" s="48">
        <v>79</v>
      </c>
      <c r="Q1098" s="17">
        <v>0</v>
      </c>
      <c r="R1098" s="24">
        <v>173.8</v>
      </c>
      <c r="S1098" s="18" t="s">
        <v>28</v>
      </c>
      <c r="T1098" s="25">
        <v>25</v>
      </c>
    </row>
    <row r="1099" spans="1:20" s="26" customFormat="1" x14ac:dyDescent="0.25">
      <c r="A1099" s="16">
        <v>208761</v>
      </c>
      <c r="B1099" s="30" t="s">
        <v>1513</v>
      </c>
      <c r="C1099" s="20" t="s">
        <v>660</v>
      </c>
      <c r="D1099" s="20" t="s">
        <v>754</v>
      </c>
      <c r="E1099" s="20" t="s">
        <v>3702</v>
      </c>
      <c r="F1099" s="20" t="s">
        <v>3703</v>
      </c>
      <c r="G1099" s="21">
        <v>18.8</v>
      </c>
      <c r="H1099" s="16">
        <v>11</v>
      </c>
      <c r="I1099" s="16"/>
      <c r="J1099" s="17">
        <v>206.8</v>
      </c>
      <c r="K1099" s="22"/>
      <c r="L1099" s="23"/>
      <c r="M1099" s="23">
        <v>0</v>
      </c>
      <c r="N1099" s="19">
        <v>37.6</v>
      </c>
      <c r="O1099" s="19">
        <v>-94</v>
      </c>
      <c r="P1099" s="48">
        <v>94</v>
      </c>
      <c r="Q1099" s="17">
        <v>0</v>
      </c>
      <c r="R1099" s="24">
        <v>206.8</v>
      </c>
      <c r="S1099" s="18" t="s">
        <v>28</v>
      </c>
      <c r="T1099" s="25">
        <v>25</v>
      </c>
    </row>
    <row r="1100" spans="1:20" s="26" customFormat="1" x14ac:dyDescent="0.25">
      <c r="A1100" s="16">
        <v>219806</v>
      </c>
      <c r="B1100" s="30" t="s">
        <v>1236</v>
      </c>
      <c r="C1100" s="20" t="s">
        <v>1258</v>
      </c>
      <c r="D1100" s="20" t="s">
        <v>755</v>
      </c>
      <c r="E1100" s="20" t="s">
        <v>3704</v>
      </c>
      <c r="F1100" s="20" t="s">
        <v>3705</v>
      </c>
      <c r="G1100" s="21">
        <v>28.6</v>
      </c>
      <c r="H1100" s="16">
        <v>11</v>
      </c>
      <c r="I1100" s="16">
        <v>1</v>
      </c>
      <c r="J1100" s="17">
        <v>286</v>
      </c>
      <c r="K1100" s="22"/>
      <c r="L1100" s="23">
        <v>460.7</v>
      </c>
      <c r="M1100" s="23">
        <v>460.7</v>
      </c>
      <c r="N1100" s="19">
        <v>57.2</v>
      </c>
      <c r="O1100" s="19">
        <v>317.7</v>
      </c>
      <c r="P1100" s="48">
        <v>143</v>
      </c>
      <c r="Q1100" s="17">
        <v>317.7</v>
      </c>
      <c r="R1100" s="24">
        <v>0</v>
      </c>
      <c r="S1100" s="18" t="s">
        <v>12</v>
      </c>
      <c r="T1100" s="25">
        <v>25</v>
      </c>
    </row>
    <row r="1101" spans="1:20" s="26" customFormat="1" x14ac:dyDescent="0.25">
      <c r="A1101" s="16">
        <v>228946</v>
      </c>
      <c r="B1101" s="30" t="s">
        <v>519</v>
      </c>
      <c r="C1101" s="20" t="s">
        <v>1258</v>
      </c>
      <c r="D1101" s="20" t="s">
        <v>755</v>
      </c>
      <c r="E1101" s="20">
        <v>0</v>
      </c>
      <c r="F1101" s="20" t="s">
        <v>4181</v>
      </c>
      <c r="G1101" s="21">
        <v>18.8</v>
      </c>
      <c r="H1101" s="16">
        <v>0</v>
      </c>
      <c r="I1101" s="16">
        <v>0</v>
      </c>
      <c r="J1101" s="17">
        <v>0</v>
      </c>
      <c r="K1101" s="22"/>
      <c r="L1101" s="23"/>
      <c r="M1101" s="23">
        <v>0</v>
      </c>
      <c r="N1101" s="19">
        <v>37.6</v>
      </c>
      <c r="O1101" s="19">
        <v>-94</v>
      </c>
      <c r="P1101" s="48">
        <v>94</v>
      </c>
      <c r="Q1101" s="17">
        <v>0</v>
      </c>
      <c r="R1101" s="24">
        <v>0</v>
      </c>
      <c r="S1101" s="18" t="s">
        <v>12</v>
      </c>
      <c r="T1101" s="25">
        <v>25</v>
      </c>
    </row>
    <row r="1102" spans="1:20" s="26" customFormat="1" x14ac:dyDescent="0.25">
      <c r="A1102" s="16">
        <v>230076</v>
      </c>
      <c r="B1102" s="30" t="s">
        <v>136</v>
      </c>
      <c r="C1102" s="20" t="s">
        <v>621</v>
      </c>
      <c r="D1102" s="20" t="s">
        <v>1128</v>
      </c>
      <c r="E1102" s="20" t="s">
        <v>3706</v>
      </c>
      <c r="F1102" s="20" t="s">
        <v>3707</v>
      </c>
      <c r="G1102" s="21">
        <v>18.8</v>
      </c>
      <c r="H1102" s="16">
        <v>22</v>
      </c>
      <c r="I1102" s="16"/>
      <c r="J1102" s="17">
        <v>413.6</v>
      </c>
      <c r="K1102" s="22"/>
      <c r="L1102" s="23"/>
      <c r="M1102" s="23">
        <v>0</v>
      </c>
      <c r="N1102" s="19">
        <v>37.6</v>
      </c>
      <c r="O1102" s="19">
        <v>-94</v>
      </c>
      <c r="P1102" s="48">
        <v>94</v>
      </c>
      <c r="Q1102" s="17">
        <v>0</v>
      </c>
      <c r="R1102" s="24">
        <v>413.6</v>
      </c>
      <c r="S1102" s="18" t="s">
        <v>28</v>
      </c>
      <c r="T1102" s="25">
        <v>25</v>
      </c>
    </row>
    <row r="1103" spans="1:20" s="26" customFormat="1" x14ac:dyDescent="0.25">
      <c r="A1103" s="16">
        <v>218894</v>
      </c>
      <c r="B1103" s="30" t="s">
        <v>515</v>
      </c>
      <c r="C1103" s="20" t="s">
        <v>661</v>
      </c>
      <c r="D1103" s="20" t="s">
        <v>756</v>
      </c>
      <c r="E1103" s="20" t="s">
        <v>3708</v>
      </c>
      <c r="F1103" s="20" t="s">
        <v>3709</v>
      </c>
      <c r="G1103" s="21">
        <v>10</v>
      </c>
      <c r="H1103" s="16">
        <v>22</v>
      </c>
      <c r="I1103" s="16"/>
      <c r="J1103" s="17">
        <v>220</v>
      </c>
      <c r="K1103" s="22"/>
      <c r="L1103" s="23"/>
      <c r="M1103" s="23">
        <v>0</v>
      </c>
      <c r="N1103" s="19">
        <v>20</v>
      </c>
      <c r="O1103" s="19">
        <v>-50</v>
      </c>
      <c r="P1103" s="48">
        <v>50</v>
      </c>
      <c r="Q1103" s="17">
        <v>0</v>
      </c>
      <c r="R1103" s="24">
        <v>220</v>
      </c>
      <c r="S1103" s="18" t="s">
        <v>28</v>
      </c>
      <c r="T1103" s="25">
        <v>25</v>
      </c>
    </row>
    <row r="1104" spans="1:20" s="26" customFormat="1" x14ac:dyDescent="0.25">
      <c r="A1104" s="16">
        <v>20420</v>
      </c>
      <c r="B1104" s="30" t="s">
        <v>516</v>
      </c>
      <c r="C1104" s="20" t="s">
        <v>662</v>
      </c>
      <c r="D1104" s="20" t="s">
        <v>757</v>
      </c>
      <c r="E1104" s="20" t="s">
        <v>3710</v>
      </c>
      <c r="F1104" s="20" t="s">
        <v>3711</v>
      </c>
      <c r="G1104" s="21">
        <v>18.8</v>
      </c>
      <c r="H1104" s="16">
        <v>22</v>
      </c>
      <c r="I1104" s="16"/>
      <c r="J1104" s="17">
        <v>413.6</v>
      </c>
      <c r="K1104" s="22"/>
      <c r="L1104" s="23">
        <v>42.3</v>
      </c>
      <c r="M1104" s="23">
        <v>42.3</v>
      </c>
      <c r="N1104" s="19">
        <v>37.6</v>
      </c>
      <c r="O1104" s="19">
        <v>-51.7</v>
      </c>
      <c r="P1104" s="48">
        <v>94</v>
      </c>
      <c r="Q1104" s="17">
        <v>0</v>
      </c>
      <c r="R1104" s="24">
        <v>413.6</v>
      </c>
      <c r="S1104" s="18" t="s">
        <v>28</v>
      </c>
      <c r="T1104" s="25">
        <v>25</v>
      </c>
    </row>
    <row r="1105" spans="1:20" s="26" customFormat="1" x14ac:dyDescent="0.25">
      <c r="A1105" s="16">
        <v>224425</v>
      </c>
      <c r="B1105" s="30" t="s">
        <v>1237</v>
      </c>
      <c r="C1105" s="20" t="s">
        <v>1259</v>
      </c>
      <c r="D1105" s="20" t="s">
        <v>1265</v>
      </c>
      <c r="E1105" s="20" t="s">
        <v>3712</v>
      </c>
      <c r="F1105" s="20" t="s">
        <v>3713</v>
      </c>
      <c r="G1105" s="21">
        <v>34.200000000000003</v>
      </c>
      <c r="H1105" s="16">
        <v>22</v>
      </c>
      <c r="I1105" s="16"/>
      <c r="J1105" s="17">
        <v>752.40000000000009</v>
      </c>
      <c r="K1105" s="22"/>
      <c r="L1105" s="23"/>
      <c r="M1105" s="23">
        <v>0</v>
      </c>
      <c r="N1105" s="19">
        <v>68.400000000000006</v>
      </c>
      <c r="O1105" s="19">
        <v>-171</v>
      </c>
      <c r="P1105" s="48">
        <v>171</v>
      </c>
      <c r="Q1105" s="17">
        <v>0</v>
      </c>
      <c r="R1105" s="24">
        <v>752.40000000000009</v>
      </c>
      <c r="S1105" s="18" t="s">
        <v>28</v>
      </c>
      <c r="T1105" s="25">
        <v>25</v>
      </c>
    </row>
    <row r="1106" spans="1:20" s="26" customFormat="1" x14ac:dyDescent="0.25">
      <c r="A1106" s="16">
        <v>227054</v>
      </c>
      <c r="B1106" s="30" t="s">
        <v>1238</v>
      </c>
      <c r="C1106" s="20" t="s">
        <v>1259</v>
      </c>
      <c r="D1106" s="20" t="s">
        <v>1266</v>
      </c>
      <c r="E1106" s="20" t="s">
        <v>3714</v>
      </c>
      <c r="F1106" s="20" t="s">
        <v>3715</v>
      </c>
      <c r="G1106" s="21">
        <v>15.2</v>
      </c>
      <c r="H1106" s="16">
        <v>22</v>
      </c>
      <c r="I1106" s="16"/>
      <c r="J1106" s="17">
        <v>334.4</v>
      </c>
      <c r="K1106" s="22"/>
      <c r="L1106" s="23"/>
      <c r="M1106" s="23">
        <v>0</v>
      </c>
      <c r="N1106" s="19">
        <v>30.4</v>
      </c>
      <c r="O1106" s="19">
        <v>-76</v>
      </c>
      <c r="P1106" s="48">
        <v>76</v>
      </c>
      <c r="Q1106" s="17">
        <v>0</v>
      </c>
      <c r="R1106" s="24">
        <v>334.4</v>
      </c>
      <c r="S1106" s="18" t="s">
        <v>28</v>
      </c>
      <c r="T1106" s="25">
        <v>25</v>
      </c>
    </row>
    <row r="1107" spans="1:20" s="26" customFormat="1" x14ac:dyDescent="0.25">
      <c r="A1107" s="16">
        <v>5069</v>
      </c>
      <c r="B1107" s="30" t="s">
        <v>862</v>
      </c>
      <c r="C1107" s="20" t="s">
        <v>628</v>
      </c>
      <c r="D1107" s="20" t="s">
        <v>758</v>
      </c>
      <c r="E1107" s="20" t="s">
        <v>3716</v>
      </c>
      <c r="F1107" s="20" t="s">
        <v>3717</v>
      </c>
      <c r="G1107" s="21">
        <v>18.8</v>
      </c>
      <c r="H1107" s="16">
        <v>22</v>
      </c>
      <c r="I1107" s="16"/>
      <c r="J1107" s="17">
        <v>413.6</v>
      </c>
      <c r="K1107" s="22"/>
      <c r="L1107" s="23"/>
      <c r="M1107" s="23">
        <v>0</v>
      </c>
      <c r="N1107" s="19">
        <v>37.6</v>
      </c>
      <c r="O1107" s="19">
        <v>-94</v>
      </c>
      <c r="P1107" s="48">
        <v>94</v>
      </c>
      <c r="Q1107" s="17">
        <v>0</v>
      </c>
      <c r="R1107" s="24">
        <v>413.6</v>
      </c>
      <c r="S1107" s="18" t="s">
        <v>28</v>
      </c>
      <c r="T1107" s="25">
        <v>25</v>
      </c>
    </row>
    <row r="1108" spans="1:20" s="26" customFormat="1" x14ac:dyDescent="0.25">
      <c r="A1108" s="16">
        <v>219140</v>
      </c>
      <c r="B1108" s="30" t="s">
        <v>517</v>
      </c>
      <c r="C1108" s="20" t="s">
        <v>663</v>
      </c>
      <c r="D1108" s="20" t="s">
        <v>759</v>
      </c>
      <c r="E1108" s="20" t="s">
        <v>3718</v>
      </c>
      <c r="F1108" s="20" t="s">
        <v>3719</v>
      </c>
      <c r="G1108" s="21">
        <v>18.8</v>
      </c>
      <c r="H1108" s="16">
        <v>22</v>
      </c>
      <c r="I1108" s="16"/>
      <c r="J1108" s="17">
        <v>413.6</v>
      </c>
      <c r="K1108" s="22"/>
      <c r="L1108" s="23"/>
      <c r="M1108" s="23">
        <v>0</v>
      </c>
      <c r="N1108" s="19">
        <v>37.6</v>
      </c>
      <c r="O1108" s="19">
        <v>-94</v>
      </c>
      <c r="P1108" s="48">
        <v>94</v>
      </c>
      <c r="Q1108" s="17">
        <v>0</v>
      </c>
      <c r="R1108" s="24">
        <v>413.6</v>
      </c>
      <c r="S1108" s="18" t="s">
        <v>28</v>
      </c>
      <c r="T1108" s="25">
        <v>25</v>
      </c>
    </row>
    <row r="1109" spans="1:20" s="26" customFormat="1" x14ac:dyDescent="0.25">
      <c r="A1109" s="16">
        <v>218851</v>
      </c>
      <c r="B1109" s="30" t="s">
        <v>518</v>
      </c>
      <c r="C1109" s="20" t="s">
        <v>664</v>
      </c>
      <c r="D1109" s="20" t="s">
        <v>760</v>
      </c>
      <c r="E1109" s="20" t="s">
        <v>3720</v>
      </c>
      <c r="F1109" s="20" t="s">
        <v>3721</v>
      </c>
      <c r="G1109" s="21">
        <v>25.3</v>
      </c>
      <c r="H1109" s="16">
        <v>22</v>
      </c>
      <c r="I1109" s="16"/>
      <c r="J1109" s="17">
        <v>556.6</v>
      </c>
      <c r="K1109" s="22"/>
      <c r="L1109" s="23"/>
      <c r="M1109" s="23">
        <v>0</v>
      </c>
      <c r="N1109" s="19">
        <v>50.6</v>
      </c>
      <c r="O1109" s="19">
        <v>-126.5</v>
      </c>
      <c r="P1109" s="48">
        <v>126.5</v>
      </c>
      <c r="Q1109" s="17">
        <v>0</v>
      </c>
      <c r="R1109" s="24">
        <v>556.6</v>
      </c>
      <c r="S1109" s="18" t="s">
        <v>28</v>
      </c>
      <c r="T1109" s="25">
        <v>25</v>
      </c>
    </row>
    <row r="1110" spans="1:20" s="26" customFormat="1" x14ac:dyDescent="0.25">
      <c r="A1110" s="16">
        <v>219070</v>
      </c>
      <c r="B1110" s="30" t="s">
        <v>1239</v>
      </c>
      <c r="C1110" s="20" t="s">
        <v>664</v>
      </c>
      <c r="D1110" s="20" t="s">
        <v>1267</v>
      </c>
      <c r="E1110" s="20" t="s">
        <v>3722</v>
      </c>
      <c r="F1110" s="20" t="s">
        <v>3723</v>
      </c>
      <c r="G1110" s="21">
        <v>18.8</v>
      </c>
      <c r="H1110" s="16">
        <v>22</v>
      </c>
      <c r="I1110" s="16"/>
      <c r="J1110" s="17">
        <v>413.6</v>
      </c>
      <c r="K1110" s="22"/>
      <c r="L1110" s="23"/>
      <c r="M1110" s="23">
        <v>0</v>
      </c>
      <c r="N1110" s="19">
        <v>37.6</v>
      </c>
      <c r="O1110" s="19">
        <v>-94</v>
      </c>
      <c r="P1110" s="48">
        <v>94</v>
      </c>
      <c r="Q1110" s="17">
        <v>0</v>
      </c>
      <c r="R1110" s="24">
        <v>413.6</v>
      </c>
      <c r="S1110" s="18" t="s">
        <v>28</v>
      </c>
      <c r="T1110" s="25">
        <v>25</v>
      </c>
    </row>
    <row r="1111" spans="1:20" s="26" customFormat="1" x14ac:dyDescent="0.25">
      <c r="A1111" s="16">
        <v>211933</v>
      </c>
      <c r="B1111" s="30" t="s">
        <v>799</v>
      </c>
      <c r="C1111" s="20" t="s">
        <v>665</v>
      </c>
      <c r="D1111" s="20" t="s">
        <v>761</v>
      </c>
      <c r="E1111" s="20" t="s">
        <v>3724</v>
      </c>
      <c r="F1111" s="20" t="s">
        <v>3725</v>
      </c>
      <c r="G1111" s="21">
        <v>18.8</v>
      </c>
      <c r="H1111" s="16">
        <v>22</v>
      </c>
      <c r="I1111" s="16"/>
      <c r="J1111" s="17">
        <v>413.6</v>
      </c>
      <c r="K1111" s="22"/>
      <c r="L1111" s="23"/>
      <c r="M1111" s="23">
        <v>0</v>
      </c>
      <c r="N1111" s="19">
        <v>37.6</v>
      </c>
      <c r="O1111" s="19">
        <v>-94</v>
      </c>
      <c r="P1111" s="48">
        <v>94</v>
      </c>
      <c r="Q1111" s="17">
        <v>0</v>
      </c>
      <c r="R1111" s="24">
        <v>413.6</v>
      </c>
      <c r="S1111" s="18" t="s">
        <v>28</v>
      </c>
      <c r="T1111" s="25">
        <v>25</v>
      </c>
    </row>
    <row r="1112" spans="1:20" s="26" customFormat="1" x14ac:dyDescent="0.25">
      <c r="A1112" s="16">
        <v>222836</v>
      </c>
      <c r="B1112" s="30" t="s">
        <v>1514</v>
      </c>
      <c r="C1112" s="20" t="s">
        <v>634</v>
      </c>
      <c r="D1112" s="20" t="s">
        <v>688</v>
      </c>
      <c r="E1112" s="20" t="s">
        <v>3726</v>
      </c>
      <c r="F1112" s="20" t="s">
        <v>3727</v>
      </c>
      <c r="G1112" s="21">
        <v>13.4</v>
      </c>
      <c r="H1112" s="16">
        <v>22</v>
      </c>
      <c r="I1112" s="16">
        <v>1</v>
      </c>
      <c r="J1112" s="17">
        <v>281.40000000000003</v>
      </c>
      <c r="K1112" s="22"/>
      <c r="L1112" s="23"/>
      <c r="M1112" s="23">
        <v>0</v>
      </c>
      <c r="N1112" s="19">
        <v>26.8</v>
      </c>
      <c r="O1112" s="19">
        <v>-67</v>
      </c>
      <c r="P1112" s="48">
        <v>67</v>
      </c>
      <c r="Q1112" s="17">
        <v>0</v>
      </c>
      <c r="R1112" s="24">
        <v>281.40000000000003</v>
      </c>
      <c r="S1112" s="18" t="s">
        <v>28</v>
      </c>
      <c r="T1112" s="25">
        <v>25</v>
      </c>
    </row>
    <row r="1113" spans="1:20" s="26" customFormat="1" x14ac:dyDescent="0.25">
      <c r="A1113" s="16">
        <v>231315</v>
      </c>
      <c r="B1113" s="30" t="s">
        <v>782</v>
      </c>
      <c r="C1113" s="20" t="s">
        <v>1388</v>
      </c>
      <c r="D1113" s="20" t="s">
        <v>1390</v>
      </c>
      <c r="E1113" s="20" t="s">
        <v>3728</v>
      </c>
      <c r="F1113" s="20" t="s">
        <v>3729</v>
      </c>
      <c r="G1113" s="21">
        <v>18.8</v>
      </c>
      <c r="H1113" s="16">
        <v>22</v>
      </c>
      <c r="I1113" s="16"/>
      <c r="J1113" s="17">
        <v>413.6</v>
      </c>
      <c r="K1113" s="22"/>
      <c r="L1113" s="23"/>
      <c r="M1113" s="23">
        <v>0</v>
      </c>
      <c r="N1113" s="19">
        <v>37.6</v>
      </c>
      <c r="O1113" s="19">
        <v>-94</v>
      </c>
      <c r="P1113" s="48">
        <v>94</v>
      </c>
      <c r="Q1113" s="17">
        <v>0</v>
      </c>
      <c r="R1113" s="24">
        <v>413.6</v>
      </c>
      <c r="S1113" s="18" t="s">
        <v>28</v>
      </c>
      <c r="T1113" s="25">
        <v>25</v>
      </c>
    </row>
    <row r="1114" spans="1:20" s="26" customFormat="1" x14ac:dyDescent="0.25">
      <c r="A1114" s="16">
        <v>218069</v>
      </c>
      <c r="B1114" s="30" t="s">
        <v>921</v>
      </c>
      <c r="C1114" s="20" t="s">
        <v>635</v>
      </c>
      <c r="D1114" s="20" t="s">
        <v>780</v>
      </c>
      <c r="E1114" s="20" t="s">
        <v>3730</v>
      </c>
      <c r="F1114" s="20" t="s">
        <v>3731</v>
      </c>
      <c r="G1114" s="21">
        <v>20.8</v>
      </c>
      <c r="H1114" s="16">
        <v>22</v>
      </c>
      <c r="I1114" s="16">
        <v>1</v>
      </c>
      <c r="J1114" s="17">
        <v>436.8</v>
      </c>
      <c r="K1114" s="22"/>
      <c r="L1114" s="23"/>
      <c r="M1114" s="23">
        <v>0</v>
      </c>
      <c r="N1114" s="19">
        <v>41.6</v>
      </c>
      <c r="O1114" s="19">
        <v>-104</v>
      </c>
      <c r="P1114" s="48">
        <v>104</v>
      </c>
      <c r="Q1114" s="17">
        <v>0</v>
      </c>
      <c r="R1114" s="24">
        <v>436.8</v>
      </c>
      <c r="S1114" s="18" t="s">
        <v>28</v>
      </c>
      <c r="T1114" s="25">
        <v>25</v>
      </c>
    </row>
    <row r="1115" spans="1:20" s="26" customFormat="1" x14ac:dyDescent="0.25">
      <c r="A1115" s="16">
        <v>232167</v>
      </c>
      <c r="B1115" s="30" t="s">
        <v>890</v>
      </c>
      <c r="C1115" s="20" t="s">
        <v>882</v>
      </c>
      <c r="D1115" s="20" t="s">
        <v>892</v>
      </c>
      <c r="E1115" s="20" t="s">
        <v>3732</v>
      </c>
      <c r="F1115" s="20" t="s">
        <v>3733</v>
      </c>
      <c r="G1115" s="21">
        <v>36.5</v>
      </c>
      <c r="H1115" s="16">
        <v>22</v>
      </c>
      <c r="I1115" s="16"/>
      <c r="J1115" s="17">
        <v>803</v>
      </c>
      <c r="K1115" s="22"/>
      <c r="L1115" s="23"/>
      <c r="M1115" s="23">
        <v>0</v>
      </c>
      <c r="N1115" s="19">
        <v>73</v>
      </c>
      <c r="O1115" s="19">
        <v>-182.5</v>
      </c>
      <c r="P1115" s="48">
        <v>182.5</v>
      </c>
      <c r="Q1115" s="17">
        <v>0</v>
      </c>
      <c r="R1115" s="24">
        <v>803</v>
      </c>
      <c r="S1115" s="18" t="s">
        <v>28</v>
      </c>
      <c r="T1115" s="25">
        <v>25</v>
      </c>
    </row>
    <row r="1116" spans="1:20" s="26" customFormat="1" x14ac:dyDescent="0.25">
      <c r="A1116" s="16">
        <v>219762</v>
      </c>
      <c r="B1116" s="30" t="s">
        <v>514</v>
      </c>
      <c r="C1116" s="20" t="s">
        <v>656</v>
      </c>
      <c r="D1116" s="20" t="s">
        <v>947</v>
      </c>
      <c r="E1116" s="20" t="s">
        <v>3734</v>
      </c>
      <c r="F1116" s="20" t="s">
        <v>3735</v>
      </c>
      <c r="G1116" s="21">
        <v>41.7</v>
      </c>
      <c r="H1116" s="16">
        <v>22</v>
      </c>
      <c r="I1116" s="16"/>
      <c r="J1116" s="17">
        <v>917.40000000000009</v>
      </c>
      <c r="K1116" s="22"/>
      <c r="L1116" s="23"/>
      <c r="M1116" s="23">
        <v>0</v>
      </c>
      <c r="N1116" s="19">
        <v>83.4</v>
      </c>
      <c r="O1116" s="19">
        <v>-208.5</v>
      </c>
      <c r="P1116" s="48">
        <v>208.5</v>
      </c>
      <c r="Q1116" s="17">
        <v>0</v>
      </c>
      <c r="R1116" s="24">
        <v>917.40000000000009</v>
      </c>
      <c r="S1116" s="18" t="s">
        <v>28</v>
      </c>
      <c r="T1116" s="25">
        <v>25</v>
      </c>
    </row>
    <row r="1117" spans="1:20" s="26" customFormat="1" x14ac:dyDescent="0.25">
      <c r="A1117" s="16">
        <v>222124</v>
      </c>
      <c r="B1117" s="30" t="s">
        <v>1515</v>
      </c>
      <c r="C1117" s="20" t="s">
        <v>656</v>
      </c>
      <c r="D1117" s="20" t="s">
        <v>1545</v>
      </c>
      <c r="E1117" s="20" t="s">
        <v>3736</v>
      </c>
      <c r="F1117" s="20" t="s">
        <v>3737</v>
      </c>
      <c r="G1117" s="21">
        <v>18.8</v>
      </c>
      <c r="H1117" s="16">
        <v>22</v>
      </c>
      <c r="I1117" s="16"/>
      <c r="J1117" s="17">
        <v>413.6</v>
      </c>
      <c r="K1117" s="22"/>
      <c r="L1117" s="23"/>
      <c r="M1117" s="23">
        <v>0</v>
      </c>
      <c r="N1117" s="19">
        <v>37.6</v>
      </c>
      <c r="O1117" s="19">
        <v>-94</v>
      </c>
      <c r="P1117" s="48">
        <v>94</v>
      </c>
      <c r="Q1117" s="17">
        <v>0</v>
      </c>
      <c r="R1117" s="24">
        <v>413.6</v>
      </c>
      <c r="S1117" s="18" t="s">
        <v>28</v>
      </c>
      <c r="T1117" s="25">
        <v>25</v>
      </c>
    </row>
    <row r="1118" spans="1:20" s="26" customFormat="1" x14ac:dyDescent="0.25">
      <c r="A1118" s="16">
        <v>231366</v>
      </c>
      <c r="B1118" s="30" t="s">
        <v>81</v>
      </c>
      <c r="C1118" s="20" t="s">
        <v>656</v>
      </c>
      <c r="D1118" s="20" t="s">
        <v>762</v>
      </c>
      <c r="E1118" s="20" t="s">
        <v>3738</v>
      </c>
      <c r="F1118" s="20" t="s">
        <v>3739</v>
      </c>
      <c r="G1118" s="21">
        <v>18.8</v>
      </c>
      <c r="H1118" s="16">
        <v>22</v>
      </c>
      <c r="I1118" s="16">
        <v>2</v>
      </c>
      <c r="J1118" s="17">
        <v>376</v>
      </c>
      <c r="K1118" s="22"/>
      <c r="L1118" s="23"/>
      <c r="M1118" s="23">
        <v>0</v>
      </c>
      <c r="N1118" s="19">
        <v>37.6</v>
      </c>
      <c r="O1118" s="19">
        <v>-94</v>
      </c>
      <c r="P1118" s="48">
        <v>94</v>
      </c>
      <c r="Q1118" s="17">
        <v>0</v>
      </c>
      <c r="R1118" s="24">
        <v>376</v>
      </c>
      <c r="S1118" s="18" t="s">
        <v>28</v>
      </c>
      <c r="T1118" s="25">
        <v>25</v>
      </c>
    </row>
    <row r="1119" spans="1:20" s="26" customFormat="1" x14ac:dyDescent="0.25">
      <c r="A1119" s="16">
        <v>232641</v>
      </c>
      <c r="B1119" s="30" t="s">
        <v>948</v>
      </c>
      <c r="C1119" s="20" t="s">
        <v>656</v>
      </c>
      <c r="D1119" s="20" t="s">
        <v>762</v>
      </c>
      <c r="E1119" s="20" t="s">
        <v>3740</v>
      </c>
      <c r="F1119" s="20" t="s">
        <v>3741</v>
      </c>
      <c r="G1119" s="21">
        <v>18.8</v>
      </c>
      <c r="H1119" s="16">
        <v>22</v>
      </c>
      <c r="I1119" s="16"/>
      <c r="J1119" s="17">
        <v>413.6</v>
      </c>
      <c r="K1119" s="22"/>
      <c r="L1119" s="23"/>
      <c r="M1119" s="23">
        <v>0</v>
      </c>
      <c r="N1119" s="19">
        <v>37.6</v>
      </c>
      <c r="O1119" s="19">
        <v>-94</v>
      </c>
      <c r="P1119" s="48">
        <v>94</v>
      </c>
      <c r="Q1119" s="17">
        <v>0</v>
      </c>
      <c r="R1119" s="24">
        <v>413.6</v>
      </c>
      <c r="S1119" s="18" t="s">
        <v>28</v>
      </c>
      <c r="T1119" s="25">
        <v>25</v>
      </c>
    </row>
    <row r="1120" spans="1:20" s="26" customFormat="1" x14ac:dyDescent="0.25">
      <c r="A1120" s="16">
        <v>225826</v>
      </c>
      <c r="B1120" s="30" t="s">
        <v>520</v>
      </c>
      <c r="C1120" s="20" t="s">
        <v>640</v>
      </c>
      <c r="D1120" s="20" t="s">
        <v>702</v>
      </c>
      <c r="E1120" s="20" t="s">
        <v>3742</v>
      </c>
      <c r="F1120" s="20" t="s">
        <v>3743</v>
      </c>
      <c r="G1120" s="21">
        <v>18.8</v>
      </c>
      <c r="H1120" s="16">
        <v>22</v>
      </c>
      <c r="I1120" s="16">
        <v>1</v>
      </c>
      <c r="J1120" s="17">
        <v>394.8</v>
      </c>
      <c r="K1120" s="22"/>
      <c r="L1120" s="23"/>
      <c r="M1120" s="23">
        <v>0</v>
      </c>
      <c r="N1120" s="19">
        <v>37.6</v>
      </c>
      <c r="O1120" s="19">
        <v>-94</v>
      </c>
      <c r="P1120" s="48">
        <v>94</v>
      </c>
      <c r="Q1120" s="17">
        <v>0</v>
      </c>
      <c r="R1120" s="24">
        <v>394.8</v>
      </c>
      <c r="S1120" s="18" t="s">
        <v>28</v>
      </c>
      <c r="T1120" s="25">
        <v>25</v>
      </c>
    </row>
    <row r="1121" spans="1:20" s="26" customFormat="1" x14ac:dyDescent="0.25">
      <c r="A1121" s="16">
        <v>218861</v>
      </c>
      <c r="B1121" s="30" t="s">
        <v>521</v>
      </c>
      <c r="C1121" s="20" t="s">
        <v>647</v>
      </c>
      <c r="D1121" s="20" t="s">
        <v>723</v>
      </c>
      <c r="E1121" s="20" t="s">
        <v>3744</v>
      </c>
      <c r="F1121" s="20" t="s">
        <v>3745</v>
      </c>
      <c r="G1121" s="21">
        <v>18.8</v>
      </c>
      <c r="H1121" s="16">
        <v>26</v>
      </c>
      <c r="I1121" s="16"/>
      <c r="J1121" s="17">
        <v>488.8</v>
      </c>
      <c r="K1121" s="22"/>
      <c r="L1121" s="23"/>
      <c r="M1121" s="23">
        <v>0</v>
      </c>
      <c r="N1121" s="19">
        <v>37.6</v>
      </c>
      <c r="O1121" s="19">
        <v>-94</v>
      </c>
      <c r="P1121" s="48">
        <v>94</v>
      </c>
      <c r="Q1121" s="17">
        <v>0</v>
      </c>
      <c r="R1121" s="24">
        <v>488.8</v>
      </c>
      <c r="S1121" s="18" t="s">
        <v>28</v>
      </c>
      <c r="T1121" s="25">
        <v>26</v>
      </c>
    </row>
    <row r="1122" spans="1:20" s="26" customFormat="1" x14ac:dyDescent="0.25">
      <c r="A1122" s="16">
        <v>222089</v>
      </c>
      <c r="B1122" s="30" t="s">
        <v>522</v>
      </c>
      <c r="C1122" s="20" t="s">
        <v>647</v>
      </c>
      <c r="D1122" s="20" t="s">
        <v>720</v>
      </c>
      <c r="E1122" s="20" t="s">
        <v>3746</v>
      </c>
      <c r="F1122" s="20" t="s">
        <v>3747</v>
      </c>
      <c r="G1122" s="21">
        <v>13.7</v>
      </c>
      <c r="H1122" s="16">
        <v>26</v>
      </c>
      <c r="I1122" s="16"/>
      <c r="J1122" s="17">
        <v>356.2</v>
      </c>
      <c r="K1122" s="22"/>
      <c r="L1122" s="23"/>
      <c r="M1122" s="23">
        <v>0</v>
      </c>
      <c r="N1122" s="19">
        <v>27.4</v>
      </c>
      <c r="O1122" s="19">
        <v>-68.5</v>
      </c>
      <c r="P1122" s="48">
        <v>68.5</v>
      </c>
      <c r="Q1122" s="17">
        <v>0</v>
      </c>
      <c r="R1122" s="24">
        <v>356.2</v>
      </c>
      <c r="S1122" s="18" t="s">
        <v>28</v>
      </c>
      <c r="T1122" s="25">
        <v>26</v>
      </c>
    </row>
    <row r="1123" spans="1:20" s="26" customFormat="1" x14ac:dyDescent="0.25">
      <c r="A1123" s="16">
        <v>222739</v>
      </c>
      <c r="B1123" s="30" t="s">
        <v>523</v>
      </c>
      <c r="C1123" s="20" t="s">
        <v>647</v>
      </c>
      <c r="D1123" s="20" t="s">
        <v>720</v>
      </c>
      <c r="E1123" s="20" t="s">
        <v>3748</v>
      </c>
      <c r="F1123" s="20" t="s">
        <v>3749</v>
      </c>
      <c r="G1123" s="21">
        <v>13.4</v>
      </c>
      <c r="H1123" s="16">
        <v>26</v>
      </c>
      <c r="I1123" s="16">
        <v>1</v>
      </c>
      <c r="J1123" s="17">
        <v>335</v>
      </c>
      <c r="K1123" s="22"/>
      <c r="L1123" s="23"/>
      <c r="M1123" s="23">
        <v>0</v>
      </c>
      <c r="N1123" s="19">
        <v>26.8</v>
      </c>
      <c r="O1123" s="19">
        <v>-67</v>
      </c>
      <c r="P1123" s="48">
        <v>67</v>
      </c>
      <c r="Q1123" s="17">
        <v>0</v>
      </c>
      <c r="R1123" s="24">
        <v>335</v>
      </c>
      <c r="S1123" s="18" t="s">
        <v>28</v>
      </c>
      <c r="T1123" s="25">
        <v>26</v>
      </c>
    </row>
    <row r="1124" spans="1:20" s="26" customFormat="1" x14ac:dyDescent="0.25">
      <c r="A1124" s="16">
        <v>228082</v>
      </c>
      <c r="B1124" s="30" t="s">
        <v>1240</v>
      </c>
      <c r="C1124" s="20" t="s">
        <v>647</v>
      </c>
      <c r="D1124" s="20" t="s">
        <v>720</v>
      </c>
      <c r="E1124" s="20" t="s">
        <v>3750</v>
      </c>
      <c r="F1124" s="20" t="s">
        <v>3751</v>
      </c>
      <c r="G1124" s="21">
        <v>18.8</v>
      </c>
      <c r="H1124" s="16">
        <v>26</v>
      </c>
      <c r="I1124" s="16"/>
      <c r="J1124" s="17">
        <v>488.8</v>
      </c>
      <c r="K1124" s="22"/>
      <c r="L1124" s="23"/>
      <c r="M1124" s="23">
        <v>0</v>
      </c>
      <c r="N1124" s="19">
        <v>37.6</v>
      </c>
      <c r="O1124" s="19">
        <v>-94</v>
      </c>
      <c r="P1124" s="48">
        <v>94</v>
      </c>
      <c r="Q1124" s="17">
        <v>0</v>
      </c>
      <c r="R1124" s="24">
        <v>488.8</v>
      </c>
      <c r="S1124" s="18" t="s">
        <v>28</v>
      </c>
      <c r="T1124" s="25">
        <v>26</v>
      </c>
    </row>
    <row r="1125" spans="1:20" s="26" customFormat="1" x14ac:dyDescent="0.25">
      <c r="A1125" s="16">
        <v>230686</v>
      </c>
      <c r="B1125" s="30" t="s">
        <v>524</v>
      </c>
      <c r="C1125" s="20" t="s">
        <v>647</v>
      </c>
      <c r="D1125" s="20" t="s">
        <v>721</v>
      </c>
      <c r="E1125" s="20" t="s">
        <v>3752</v>
      </c>
      <c r="F1125" s="20" t="s">
        <v>3753</v>
      </c>
      <c r="G1125" s="21">
        <v>13.4</v>
      </c>
      <c r="H1125" s="16">
        <v>26</v>
      </c>
      <c r="I1125" s="16"/>
      <c r="J1125" s="17">
        <v>348.40000000000003</v>
      </c>
      <c r="K1125" s="22"/>
      <c r="L1125" s="23"/>
      <c r="M1125" s="23">
        <v>0</v>
      </c>
      <c r="N1125" s="19">
        <v>26.8</v>
      </c>
      <c r="O1125" s="19">
        <v>-67</v>
      </c>
      <c r="P1125" s="48">
        <v>67</v>
      </c>
      <c r="Q1125" s="17">
        <v>0</v>
      </c>
      <c r="R1125" s="24">
        <v>348.40000000000003</v>
      </c>
      <c r="S1125" s="18" t="s">
        <v>28</v>
      </c>
      <c r="T1125" s="25">
        <v>26</v>
      </c>
    </row>
    <row r="1126" spans="1:20" s="26" customFormat="1" x14ac:dyDescent="0.25">
      <c r="A1126" s="16">
        <v>230688</v>
      </c>
      <c r="B1126" s="30" t="s">
        <v>525</v>
      </c>
      <c r="C1126" s="20" t="s">
        <v>647</v>
      </c>
      <c r="D1126" s="20" t="s">
        <v>721</v>
      </c>
      <c r="E1126" s="20" t="s">
        <v>3754</v>
      </c>
      <c r="F1126" s="20" t="s">
        <v>3755</v>
      </c>
      <c r="G1126" s="21">
        <v>13.4</v>
      </c>
      <c r="H1126" s="16">
        <v>26</v>
      </c>
      <c r="I1126" s="16">
        <v>7</v>
      </c>
      <c r="J1126" s="17">
        <v>254.6</v>
      </c>
      <c r="K1126" s="22"/>
      <c r="L1126" s="23"/>
      <c r="M1126" s="23">
        <v>0</v>
      </c>
      <c r="N1126" s="19">
        <v>26.8</v>
      </c>
      <c r="O1126" s="19">
        <v>-67</v>
      </c>
      <c r="P1126" s="48">
        <v>67</v>
      </c>
      <c r="Q1126" s="17">
        <v>0</v>
      </c>
      <c r="R1126" s="24">
        <v>254.6</v>
      </c>
      <c r="S1126" s="18" t="s">
        <v>28</v>
      </c>
      <c r="T1126" s="25">
        <v>26</v>
      </c>
    </row>
    <row r="1127" spans="1:20" s="26" customFormat="1" x14ac:dyDescent="0.25">
      <c r="A1127" s="16">
        <v>230699</v>
      </c>
      <c r="B1127" s="30" t="s">
        <v>526</v>
      </c>
      <c r="C1127" s="20" t="s">
        <v>647</v>
      </c>
      <c r="D1127" s="20" t="s">
        <v>721</v>
      </c>
      <c r="E1127" s="20" t="s">
        <v>3756</v>
      </c>
      <c r="F1127" s="20" t="s">
        <v>3757</v>
      </c>
      <c r="G1127" s="21">
        <v>13.4</v>
      </c>
      <c r="H1127" s="16">
        <v>26</v>
      </c>
      <c r="I1127" s="16"/>
      <c r="J1127" s="17">
        <v>348.40000000000003</v>
      </c>
      <c r="K1127" s="22"/>
      <c r="L1127" s="23"/>
      <c r="M1127" s="23">
        <v>0</v>
      </c>
      <c r="N1127" s="19">
        <v>26.8</v>
      </c>
      <c r="O1127" s="19">
        <v>-67</v>
      </c>
      <c r="P1127" s="48">
        <v>67</v>
      </c>
      <c r="Q1127" s="17">
        <v>0</v>
      </c>
      <c r="R1127" s="24">
        <v>348.40000000000003</v>
      </c>
      <c r="S1127" s="18" t="s">
        <v>28</v>
      </c>
      <c r="T1127" s="25">
        <v>26</v>
      </c>
    </row>
    <row r="1128" spans="1:20" s="26" customFormat="1" x14ac:dyDescent="0.25">
      <c r="A1128" s="16">
        <v>230702</v>
      </c>
      <c r="B1128" s="30" t="s">
        <v>1516</v>
      </c>
      <c r="C1128" s="20" t="s">
        <v>647</v>
      </c>
      <c r="D1128" s="20" t="s">
        <v>721</v>
      </c>
      <c r="E1128" s="20" t="s">
        <v>3758</v>
      </c>
      <c r="F1128" s="20" t="s">
        <v>3759</v>
      </c>
      <c r="G1128" s="21">
        <v>13.4</v>
      </c>
      <c r="H1128" s="16">
        <v>26</v>
      </c>
      <c r="I1128" s="16"/>
      <c r="J1128" s="17">
        <v>348.40000000000003</v>
      </c>
      <c r="K1128" s="22"/>
      <c r="L1128" s="23"/>
      <c r="M1128" s="23">
        <v>0</v>
      </c>
      <c r="N1128" s="19">
        <v>26.8</v>
      </c>
      <c r="O1128" s="19">
        <v>-67</v>
      </c>
      <c r="P1128" s="48">
        <v>67</v>
      </c>
      <c r="Q1128" s="17">
        <v>0</v>
      </c>
      <c r="R1128" s="24">
        <v>348.40000000000003</v>
      </c>
      <c r="S1128" s="18" t="s">
        <v>28</v>
      </c>
      <c r="T1128" s="25">
        <v>26</v>
      </c>
    </row>
    <row r="1129" spans="1:20" s="26" customFormat="1" x14ac:dyDescent="0.25">
      <c r="A1129" s="16">
        <v>230713</v>
      </c>
      <c r="B1129" s="30" t="s">
        <v>527</v>
      </c>
      <c r="C1129" s="20" t="s">
        <v>647</v>
      </c>
      <c r="D1129" s="20" t="s">
        <v>720</v>
      </c>
      <c r="E1129" s="20" t="s">
        <v>3760</v>
      </c>
      <c r="F1129" s="20" t="s">
        <v>3761</v>
      </c>
      <c r="G1129" s="21">
        <v>13.4</v>
      </c>
      <c r="H1129" s="16">
        <v>26</v>
      </c>
      <c r="I1129" s="16"/>
      <c r="J1129" s="17">
        <v>348.40000000000003</v>
      </c>
      <c r="K1129" s="22"/>
      <c r="L1129" s="23"/>
      <c r="M1129" s="23">
        <v>0</v>
      </c>
      <c r="N1129" s="19">
        <v>26.8</v>
      </c>
      <c r="O1129" s="19">
        <v>-67</v>
      </c>
      <c r="P1129" s="48">
        <v>67</v>
      </c>
      <c r="Q1129" s="17">
        <v>0</v>
      </c>
      <c r="R1129" s="24">
        <v>348.40000000000003</v>
      </c>
      <c r="S1129" s="18" t="s">
        <v>28</v>
      </c>
      <c r="T1129" s="25">
        <v>26</v>
      </c>
    </row>
    <row r="1130" spans="1:20" s="26" customFormat="1" x14ac:dyDescent="0.25">
      <c r="A1130" s="16">
        <v>230904</v>
      </c>
      <c r="B1130" s="30" t="s">
        <v>528</v>
      </c>
      <c r="C1130" s="20" t="s">
        <v>647</v>
      </c>
      <c r="D1130" s="20" t="s">
        <v>720</v>
      </c>
      <c r="E1130" s="20" t="s">
        <v>3762</v>
      </c>
      <c r="F1130" s="20" t="s">
        <v>3763</v>
      </c>
      <c r="G1130" s="21">
        <v>18.8</v>
      </c>
      <c r="H1130" s="16">
        <v>26</v>
      </c>
      <c r="I1130" s="16"/>
      <c r="J1130" s="17">
        <v>488.8</v>
      </c>
      <c r="K1130" s="22"/>
      <c r="L1130" s="23"/>
      <c r="M1130" s="23">
        <v>0</v>
      </c>
      <c r="N1130" s="19">
        <v>37.6</v>
      </c>
      <c r="O1130" s="19">
        <v>-94</v>
      </c>
      <c r="P1130" s="48">
        <v>94</v>
      </c>
      <c r="Q1130" s="17">
        <v>0</v>
      </c>
      <c r="R1130" s="24">
        <v>488.8</v>
      </c>
      <c r="S1130" s="18" t="s">
        <v>28</v>
      </c>
      <c r="T1130" s="25">
        <v>26</v>
      </c>
    </row>
    <row r="1131" spans="1:20" s="26" customFormat="1" x14ac:dyDescent="0.25">
      <c r="A1131" s="16">
        <v>230911</v>
      </c>
      <c r="B1131" s="30" t="s">
        <v>530</v>
      </c>
      <c r="C1131" s="20" t="s">
        <v>647</v>
      </c>
      <c r="D1131" s="20" t="s">
        <v>721</v>
      </c>
      <c r="E1131" s="20" t="s">
        <v>3764</v>
      </c>
      <c r="F1131" s="20" t="s">
        <v>3765</v>
      </c>
      <c r="G1131" s="21">
        <v>13.4</v>
      </c>
      <c r="H1131" s="16">
        <v>26</v>
      </c>
      <c r="I1131" s="16"/>
      <c r="J1131" s="17">
        <v>348.40000000000003</v>
      </c>
      <c r="K1131" s="22"/>
      <c r="L1131" s="23"/>
      <c r="M1131" s="23">
        <v>0</v>
      </c>
      <c r="N1131" s="19">
        <v>26.8</v>
      </c>
      <c r="O1131" s="19">
        <v>-67</v>
      </c>
      <c r="P1131" s="48">
        <v>67</v>
      </c>
      <c r="Q1131" s="17">
        <v>0</v>
      </c>
      <c r="R1131" s="24">
        <v>348.40000000000003</v>
      </c>
      <c r="S1131" s="18" t="s">
        <v>28</v>
      </c>
      <c r="T1131" s="25">
        <v>26</v>
      </c>
    </row>
    <row r="1132" spans="1:20" s="26" customFormat="1" x14ac:dyDescent="0.25">
      <c r="A1132" s="16">
        <v>230912</v>
      </c>
      <c r="B1132" s="30" t="s">
        <v>531</v>
      </c>
      <c r="C1132" s="20" t="s">
        <v>647</v>
      </c>
      <c r="D1132" s="20" t="s">
        <v>720</v>
      </c>
      <c r="E1132" s="20" t="s">
        <v>3766</v>
      </c>
      <c r="F1132" s="20" t="s">
        <v>3767</v>
      </c>
      <c r="G1132" s="21">
        <v>13.4</v>
      </c>
      <c r="H1132" s="16">
        <v>26</v>
      </c>
      <c r="I1132" s="16"/>
      <c r="J1132" s="17">
        <v>348.40000000000003</v>
      </c>
      <c r="K1132" s="22"/>
      <c r="L1132" s="23"/>
      <c r="M1132" s="23">
        <v>0</v>
      </c>
      <c r="N1132" s="19">
        <v>26.8</v>
      </c>
      <c r="O1132" s="19">
        <v>-67</v>
      </c>
      <c r="P1132" s="48">
        <v>67</v>
      </c>
      <c r="Q1132" s="17">
        <v>0</v>
      </c>
      <c r="R1132" s="24">
        <v>348.40000000000003</v>
      </c>
      <c r="S1132" s="18" t="s">
        <v>28</v>
      </c>
      <c r="T1132" s="25">
        <v>26</v>
      </c>
    </row>
    <row r="1133" spans="1:20" s="26" customFormat="1" x14ac:dyDescent="0.25">
      <c r="A1133" s="16">
        <v>230914</v>
      </c>
      <c r="B1133" s="30" t="s">
        <v>532</v>
      </c>
      <c r="C1133" s="20" t="s">
        <v>647</v>
      </c>
      <c r="D1133" s="20" t="s">
        <v>720</v>
      </c>
      <c r="E1133" s="20" t="s">
        <v>3768</v>
      </c>
      <c r="F1133" s="20" t="s">
        <v>3769</v>
      </c>
      <c r="G1133" s="21">
        <v>13.4</v>
      </c>
      <c r="H1133" s="16">
        <v>26</v>
      </c>
      <c r="I1133" s="16"/>
      <c r="J1133" s="17">
        <v>348.40000000000003</v>
      </c>
      <c r="K1133" s="22"/>
      <c r="L1133" s="23"/>
      <c r="M1133" s="23">
        <v>0</v>
      </c>
      <c r="N1133" s="19">
        <v>26.8</v>
      </c>
      <c r="O1133" s="19">
        <v>-67</v>
      </c>
      <c r="P1133" s="48">
        <v>67</v>
      </c>
      <c r="Q1133" s="17">
        <v>0</v>
      </c>
      <c r="R1133" s="24">
        <v>348.40000000000003</v>
      </c>
      <c r="S1133" s="18" t="s">
        <v>28</v>
      </c>
      <c r="T1133" s="25">
        <v>26</v>
      </c>
    </row>
    <row r="1134" spans="1:20" s="26" customFormat="1" x14ac:dyDescent="0.25">
      <c r="A1134" s="16">
        <v>232843</v>
      </c>
      <c r="B1134" s="30" t="s">
        <v>1383</v>
      </c>
      <c r="C1134" s="20" t="s">
        <v>647</v>
      </c>
      <c r="D1134" s="20" t="s">
        <v>721</v>
      </c>
      <c r="E1134" s="20" t="s">
        <v>3770</v>
      </c>
      <c r="F1134" s="20" t="s">
        <v>3771</v>
      </c>
      <c r="G1134" s="21">
        <v>13.4</v>
      </c>
      <c r="H1134" s="16">
        <v>26</v>
      </c>
      <c r="I1134" s="16">
        <v>3</v>
      </c>
      <c r="J1134" s="17">
        <v>308.2</v>
      </c>
      <c r="K1134" s="22"/>
      <c r="L1134" s="23"/>
      <c r="M1134" s="23">
        <v>0</v>
      </c>
      <c r="N1134" s="19">
        <v>26.8</v>
      </c>
      <c r="O1134" s="19">
        <v>-67</v>
      </c>
      <c r="P1134" s="48">
        <v>67</v>
      </c>
      <c r="Q1134" s="17">
        <v>0</v>
      </c>
      <c r="R1134" s="24">
        <v>308.2</v>
      </c>
      <c r="S1134" s="18" t="s">
        <v>28</v>
      </c>
      <c r="T1134" s="25">
        <v>26</v>
      </c>
    </row>
    <row r="1135" spans="1:20" s="26" customFormat="1" x14ac:dyDescent="0.25">
      <c r="A1135" s="16">
        <v>232869</v>
      </c>
      <c r="B1135" s="30" t="s">
        <v>949</v>
      </c>
      <c r="C1135" s="20" t="s">
        <v>647</v>
      </c>
      <c r="D1135" s="20" t="s">
        <v>724</v>
      </c>
      <c r="E1135" s="20" t="s">
        <v>3772</v>
      </c>
      <c r="F1135" s="20" t="s">
        <v>3773</v>
      </c>
      <c r="G1135" s="21">
        <v>13.4</v>
      </c>
      <c r="H1135" s="16">
        <v>26</v>
      </c>
      <c r="I1135" s="16"/>
      <c r="J1135" s="17">
        <v>348.40000000000003</v>
      </c>
      <c r="K1135" s="22"/>
      <c r="L1135" s="23"/>
      <c r="M1135" s="23">
        <v>0</v>
      </c>
      <c r="N1135" s="19">
        <v>26.8</v>
      </c>
      <c r="O1135" s="19">
        <v>-67</v>
      </c>
      <c r="P1135" s="48">
        <v>67</v>
      </c>
      <c r="Q1135" s="17">
        <v>0</v>
      </c>
      <c r="R1135" s="24">
        <v>348.40000000000003</v>
      </c>
      <c r="S1135" s="18" t="s">
        <v>28</v>
      </c>
      <c r="T1135" s="25">
        <v>26</v>
      </c>
    </row>
    <row r="1136" spans="1:20" s="26" customFormat="1" x14ac:dyDescent="0.25">
      <c r="A1136" s="16">
        <v>233379</v>
      </c>
      <c r="B1136" s="30" t="s">
        <v>1108</v>
      </c>
      <c r="C1136" s="20" t="s">
        <v>647</v>
      </c>
      <c r="D1136" s="20" t="s">
        <v>721</v>
      </c>
      <c r="E1136" s="20" t="s">
        <v>3774</v>
      </c>
      <c r="F1136" s="20" t="s">
        <v>3775</v>
      </c>
      <c r="G1136" s="21">
        <v>13.4</v>
      </c>
      <c r="H1136" s="16">
        <v>26</v>
      </c>
      <c r="I1136" s="16"/>
      <c r="J1136" s="17">
        <v>348.40000000000003</v>
      </c>
      <c r="K1136" s="22"/>
      <c r="L1136" s="23"/>
      <c r="M1136" s="23">
        <v>0</v>
      </c>
      <c r="N1136" s="19">
        <v>26.8</v>
      </c>
      <c r="O1136" s="19">
        <v>-67</v>
      </c>
      <c r="P1136" s="48">
        <v>67</v>
      </c>
      <c r="Q1136" s="17">
        <v>0</v>
      </c>
      <c r="R1136" s="24">
        <v>348.40000000000003</v>
      </c>
      <c r="S1136" s="18" t="s">
        <v>28</v>
      </c>
      <c r="T1136" s="25">
        <v>26</v>
      </c>
    </row>
    <row r="1137" spans="1:20" s="26" customFormat="1" x14ac:dyDescent="0.25">
      <c r="A1137" s="16">
        <v>212136</v>
      </c>
      <c r="B1137" s="30" t="s">
        <v>533</v>
      </c>
      <c r="C1137" s="20" t="s">
        <v>629</v>
      </c>
      <c r="D1137" s="20" t="s">
        <v>682</v>
      </c>
      <c r="E1137" s="20" t="s">
        <v>3776</v>
      </c>
      <c r="F1137" s="20" t="s">
        <v>3777</v>
      </c>
      <c r="G1137" s="21">
        <v>13.4</v>
      </c>
      <c r="H1137" s="16">
        <v>26</v>
      </c>
      <c r="I1137" s="16"/>
      <c r="J1137" s="17">
        <v>348.40000000000003</v>
      </c>
      <c r="K1137" s="22"/>
      <c r="L1137" s="23"/>
      <c r="M1137" s="23">
        <v>0</v>
      </c>
      <c r="N1137" s="19">
        <v>26.8</v>
      </c>
      <c r="O1137" s="19">
        <v>-67</v>
      </c>
      <c r="P1137" s="48">
        <v>67</v>
      </c>
      <c r="Q1137" s="17">
        <v>0</v>
      </c>
      <c r="R1137" s="24">
        <v>348.40000000000003</v>
      </c>
      <c r="S1137" s="18" t="s">
        <v>28</v>
      </c>
      <c r="T1137" s="25">
        <v>26</v>
      </c>
    </row>
    <row r="1138" spans="1:20" s="26" customFormat="1" x14ac:dyDescent="0.25">
      <c r="A1138" s="16">
        <v>222035</v>
      </c>
      <c r="B1138" s="30" t="s">
        <v>534</v>
      </c>
      <c r="C1138" s="20" t="s">
        <v>630</v>
      </c>
      <c r="D1138" s="20" t="s">
        <v>736</v>
      </c>
      <c r="E1138" s="20" t="s">
        <v>3778</v>
      </c>
      <c r="F1138" s="20" t="s">
        <v>3779</v>
      </c>
      <c r="G1138" s="21">
        <v>18.8</v>
      </c>
      <c r="H1138" s="16">
        <v>22</v>
      </c>
      <c r="I1138" s="16">
        <v>1</v>
      </c>
      <c r="J1138" s="17">
        <v>394.8</v>
      </c>
      <c r="K1138" s="22"/>
      <c r="L1138" s="23"/>
      <c r="M1138" s="23">
        <v>0</v>
      </c>
      <c r="N1138" s="19">
        <v>37.6</v>
      </c>
      <c r="O1138" s="19">
        <v>-94</v>
      </c>
      <c r="P1138" s="48">
        <v>94</v>
      </c>
      <c r="Q1138" s="17">
        <v>0</v>
      </c>
      <c r="R1138" s="24">
        <v>394.8</v>
      </c>
      <c r="S1138" s="18" t="s">
        <v>28</v>
      </c>
      <c r="T1138" s="25">
        <v>26</v>
      </c>
    </row>
    <row r="1139" spans="1:20" s="26" customFormat="1" x14ac:dyDescent="0.25">
      <c r="A1139" s="16">
        <v>219538</v>
      </c>
      <c r="B1139" s="30" t="s">
        <v>535</v>
      </c>
      <c r="C1139" s="20" t="s">
        <v>648</v>
      </c>
      <c r="D1139" s="20" t="s">
        <v>737</v>
      </c>
      <c r="E1139" s="20" t="s">
        <v>3780</v>
      </c>
      <c r="F1139" s="20" t="s">
        <v>3781</v>
      </c>
      <c r="G1139" s="21">
        <v>18.8</v>
      </c>
      <c r="H1139" s="16">
        <v>26</v>
      </c>
      <c r="I1139" s="16">
        <v>3</v>
      </c>
      <c r="J1139" s="17">
        <v>432.40000000000003</v>
      </c>
      <c r="K1139" s="22"/>
      <c r="L1139" s="23"/>
      <c r="M1139" s="23">
        <v>0</v>
      </c>
      <c r="N1139" s="19">
        <v>37.6</v>
      </c>
      <c r="O1139" s="19">
        <v>-94</v>
      </c>
      <c r="P1139" s="48">
        <v>94</v>
      </c>
      <c r="Q1139" s="17">
        <v>0</v>
      </c>
      <c r="R1139" s="24">
        <v>432.40000000000003</v>
      </c>
      <c r="S1139" s="18" t="s">
        <v>28</v>
      </c>
      <c r="T1139" s="25">
        <v>26</v>
      </c>
    </row>
    <row r="1140" spans="1:20" s="26" customFormat="1" x14ac:dyDescent="0.25">
      <c r="A1140" s="16">
        <v>222709</v>
      </c>
      <c r="B1140" s="30" t="s">
        <v>536</v>
      </c>
      <c r="C1140" s="20" t="s">
        <v>648</v>
      </c>
      <c r="D1140" s="20" t="s">
        <v>718</v>
      </c>
      <c r="E1140" s="20" t="s">
        <v>3782</v>
      </c>
      <c r="F1140" s="20" t="s">
        <v>3783</v>
      </c>
      <c r="G1140" s="21">
        <v>13.4</v>
      </c>
      <c r="H1140" s="16">
        <v>26</v>
      </c>
      <c r="I1140" s="16"/>
      <c r="J1140" s="17">
        <v>348.40000000000003</v>
      </c>
      <c r="K1140" s="22"/>
      <c r="L1140" s="23"/>
      <c r="M1140" s="23">
        <v>0</v>
      </c>
      <c r="N1140" s="19">
        <v>26.8</v>
      </c>
      <c r="O1140" s="19">
        <v>-67</v>
      </c>
      <c r="P1140" s="48">
        <v>67</v>
      </c>
      <c r="Q1140" s="17">
        <v>0</v>
      </c>
      <c r="R1140" s="24">
        <v>348.40000000000003</v>
      </c>
      <c r="S1140" s="18" t="s">
        <v>28</v>
      </c>
      <c r="T1140" s="25">
        <v>26</v>
      </c>
    </row>
    <row r="1141" spans="1:20" s="26" customFormat="1" x14ac:dyDescent="0.25">
      <c r="A1141" s="16">
        <v>230849</v>
      </c>
      <c r="B1141" s="30" t="s">
        <v>537</v>
      </c>
      <c r="C1141" s="20" t="s">
        <v>648</v>
      </c>
      <c r="D1141" s="20" t="s">
        <v>718</v>
      </c>
      <c r="E1141" s="20" t="s">
        <v>3784</v>
      </c>
      <c r="F1141" s="20" t="s">
        <v>3785</v>
      </c>
      <c r="G1141" s="21">
        <v>13.4</v>
      </c>
      <c r="H1141" s="16">
        <v>26</v>
      </c>
      <c r="I1141" s="16"/>
      <c r="J1141" s="17">
        <v>348.40000000000003</v>
      </c>
      <c r="K1141" s="22"/>
      <c r="L1141" s="23"/>
      <c r="M1141" s="23">
        <v>0</v>
      </c>
      <c r="N1141" s="19">
        <v>26.8</v>
      </c>
      <c r="O1141" s="19">
        <v>-67</v>
      </c>
      <c r="P1141" s="48">
        <v>67</v>
      </c>
      <c r="Q1141" s="17">
        <v>0</v>
      </c>
      <c r="R1141" s="24">
        <v>348.40000000000003</v>
      </c>
      <c r="S1141" s="18" t="s">
        <v>28</v>
      </c>
      <c r="T1141" s="25">
        <v>26</v>
      </c>
    </row>
    <row r="1142" spans="1:20" s="26" customFormat="1" x14ac:dyDescent="0.25">
      <c r="A1142" s="16">
        <v>230851</v>
      </c>
      <c r="B1142" s="30" t="s">
        <v>1517</v>
      </c>
      <c r="C1142" s="20" t="s">
        <v>648</v>
      </c>
      <c r="D1142" s="20" t="s">
        <v>718</v>
      </c>
      <c r="E1142" s="20" t="s">
        <v>3786</v>
      </c>
      <c r="F1142" s="20" t="s">
        <v>3787</v>
      </c>
      <c r="G1142" s="21">
        <v>13.4</v>
      </c>
      <c r="H1142" s="16">
        <v>26</v>
      </c>
      <c r="I1142" s="16"/>
      <c r="J1142" s="17">
        <v>348.40000000000003</v>
      </c>
      <c r="K1142" s="22"/>
      <c r="L1142" s="23"/>
      <c r="M1142" s="23">
        <v>0</v>
      </c>
      <c r="N1142" s="19">
        <v>26.8</v>
      </c>
      <c r="O1142" s="19">
        <v>-67</v>
      </c>
      <c r="P1142" s="48">
        <v>67</v>
      </c>
      <c r="Q1142" s="17">
        <v>0</v>
      </c>
      <c r="R1142" s="24">
        <v>348.40000000000003</v>
      </c>
      <c r="S1142" s="18" t="s">
        <v>28</v>
      </c>
      <c r="T1142" s="25">
        <v>26</v>
      </c>
    </row>
    <row r="1143" spans="1:20" s="26" customFormat="1" x14ac:dyDescent="0.25">
      <c r="A1143" s="16">
        <v>233519</v>
      </c>
      <c r="B1143" s="30" t="s">
        <v>1109</v>
      </c>
      <c r="C1143" s="20" t="s">
        <v>648</v>
      </c>
      <c r="D1143" s="20" t="s">
        <v>718</v>
      </c>
      <c r="E1143" s="20" t="s">
        <v>3788</v>
      </c>
      <c r="F1143" s="20" t="s">
        <v>3789</v>
      </c>
      <c r="G1143" s="21">
        <v>13.4</v>
      </c>
      <c r="H1143" s="16">
        <v>26</v>
      </c>
      <c r="I1143" s="16"/>
      <c r="J1143" s="17">
        <v>348.40000000000003</v>
      </c>
      <c r="K1143" s="22"/>
      <c r="L1143" s="23"/>
      <c r="M1143" s="23">
        <v>0</v>
      </c>
      <c r="N1143" s="19">
        <v>26.8</v>
      </c>
      <c r="O1143" s="19">
        <v>-67</v>
      </c>
      <c r="P1143" s="48">
        <v>67</v>
      </c>
      <c r="Q1143" s="17">
        <v>0</v>
      </c>
      <c r="R1143" s="24">
        <v>348.40000000000003</v>
      </c>
      <c r="S1143" s="18" t="s">
        <v>28</v>
      </c>
      <c r="T1143" s="25">
        <v>26</v>
      </c>
    </row>
    <row r="1144" spans="1:20" s="26" customFormat="1" x14ac:dyDescent="0.25">
      <c r="A1144" s="16">
        <v>233876</v>
      </c>
      <c r="B1144" s="30" t="s">
        <v>1110</v>
      </c>
      <c r="C1144" s="20" t="s">
        <v>648</v>
      </c>
      <c r="D1144" s="20" t="s">
        <v>718</v>
      </c>
      <c r="E1144" s="20" t="s">
        <v>3790</v>
      </c>
      <c r="F1144" s="20" t="s">
        <v>3791</v>
      </c>
      <c r="G1144" s="21">
        <v>13.4</v>
      </c>
      <c r="H1144" s="16">
        <v>26</v>
      </c>
      <c r="I1144" s="16"/>
      <c r="J1144" s="17">
        <v>348.40000000000003</v>
      </c>
      <c r="K1144" s="22"/>
      <c r="L1144" s="23"/>
      <c r="M1144" s="23">
        <v>0</v>
      </c>
      <c r="N1144" s="19">
        <v>26.8</v>
      </c>
      <c r="O1144" s="19">
        <v>-67</v>
      </c>
      <c r="P1144" s="48">
        <v>67</v>
      </c>
      <c r="Q1144" s="17">
        <v>0</v>
      </c>
      <c r="R1144" s="24">
        <v>348.40000000000003</v>
      </c>
      <c r="S1144" s="18" t="s">
        <v>28</v>
      </c>
      <c r="T1144" s="25">
        <v>26</v>
      </c>
    </row>
    <row r="1145" spans="1:20" s="26" customFormat="1" x14ac:dyDescent="0.25">
      <c r="A1145" s="16">
        <v>219372</v>
      </c>
      <c r="B1145" s="30" t="s">
        <v>1111</v>
      </c>
      <c r="C1145" s="20" t="s">
        <v>649</v>
      </c>
      <c r="D1145" s="20" t="s">
        <v>725</v>
      </c>
      <c r="E1145" s="20" t="s">
        <v>3792</v>
      </c>
      <c r="F1145" s="20" t="s">
        <v>3793</v>
      </c>
      <c r="G1145" s="21">
        <v>18.8</v>
      </c>
      <c r="H1145" s="16">
        <v>26</v>
      </c>
      <c r="I1145" s="16">
        <v>1</v>
      </c>
      <c r="J1145" s="17">
        <v>470</v>
      </c>
      <c r="K1145" s="22"/>
      <c r="L1145" s="23"/>
      <c r="M1145" s="23">
        <v>0</v>
      </c>
      <c r="N1145" s="19">
        <v>37.6</v>
      </c>
      <c r="O1145" s="19">
        <v>-94</v>
      </c>
      <c r="P1145" s="48">
        <v>94</v>
      </c>
      <c r="Q1145" s="17">
        <v>0</v>
      </c>
      <c r="R1145" s="24">
        <v>470</v>
      </c>
      <c r="S1145" s="18" t="s">
        <v>28</v>
      </c>
      <c r="T1145" s="25">
        <v>26</v>
      </c>
    </row>
    <row r="1146" spans="1:20" s="26" customFormat="1" x14ac:dyDescent="0.25">
      <c r="A1146" s="16">
        <v>221301</v>
      </c>
      <c r="B1146" s="30" t="s">
        <v>863</v>
      </c>
      <c r="C1146" s="20" t="s">
        <v>649</v>
      </c>
      <c r="D1146" s="20" t="s">
        <v>725</v>
      </c>
      <c r="E1146" s="20" t="s">
        <v>3794</v>
      </c>
      <c r="F1146" s="20" t="s">
        <v>3795</v>
      </c>
      <c r="G1146" s="21">
        <v>13.4</v>
      </c>
      <c r="H1146" s="16">
        <v>26</v>
      </c>
      <c r="I1146" s="16"/>
      <c r="J1146" s="17">
        <v>348.40000000000003</v>
      </c>
      <c r="K1146" s="22"/>
      <c r="L1146" s="23"/>
      <c r="M1146" s="23">
        <v>0</v>
      </c>
      <c r="N1146" s="19">
        <v>26.8</v>
      </c>
      <c r="O1146" s="19">
        <v>-67</v>
      </c>
      <c r="P1146" s="48">
        <v>67</v>
      </c>
      <c r="Q1146" s="17">
        <v>0</v>
      </c>
      <c r="R1146" s="24">
        <v>348.40000000000003</v>
      </c>
      <c r="S1146" s="18" t="s">
        <v>28</v>
      </c>
      <c r="T1146" s="25">
        <v>26</v>
      </c>
    </row>
    <row r="1147" spans="1:20" s="26" customFormat="1" x14ac:dyDescent="0.25">
      <c r="A1147" s="16">
        <v>222237</v>
      </c>
      <c r="B1147" s="30" t="s">
        <v>548</v>
      </c>
      <c r="C1147" s="20" t="s">
        <v>649</v>
      </c>
      <c r="D1147" s="20" t="s">
        <v>725</v>
      </c>
      <c r="E1147" s="20" t="s">
        <v>3796</v>
      </c>
      <c r="F1147" s="20" t="s">
        <v>3797</v>
      </c>
      <c r="G1147" s="21">
        <v>13.4</v>
      </c>
      <c r="H1147" s="16">
        <v>26</v>
      </c>
      <c r="I1147" s="16"/>
      <c r="J1147" s="17">
        <v>348.40000000000003</v>
      </c>
      <c r="K1147" s="22"/>
      <c r="L1147" s="23"/>
      <c r="M1147" s="23">
        <v>0</v>
      </c>
      <c r="N1147" s="19">
        <v>26.8</v>
      </c>
      <c r="O1147" s="19">
        <v>-67</v>
      </c>
      <c r="P1147" s="48">
        <v>67</v>
      </c>
      <c r="Q1147" s="17">
        <v>0</v>
      </c>
      <c r="R1147" s="24">
        <v>348.40000000000003</v>
      </c>
      <c r="S1147" s="18" t="s">
        <v>28</v>
      </c>
      <c r="T1147" s="25">
        <v>26</v>
      </c>
    </row>
    <row r="1148" spans="1:20" s="26" customFormat="1" x14ac:dyDescent="0.25">
      <c r="A1148" s="16">
        <v>227085</v>
      </c>
      <c r="B1148" s="30" t="s">
        <v>428</v>
      </c>
      <c r="C1148" s="20" t="s">
        <v>649</v>
      </c>
      <c r="D1148" s="20" t="s">
        <v>725</v>
      </c>
      <c r="E1148" s="20" t="s">
        <v>3798</v>
      </c>
      <c r="F1148" s="20" t="s">
        <v>3799</v>
      </c>
      <c r="G1148" s="21">
        <v>15.4</v>
      </c>
      <c r="H1148" s="16">
        <v>26</v>
      </c>
      <c r="I1148" s="16"/>
      <c r="J1148" s="17">
        <v>400.40000000000003</v>
      </c>
      <c r="K1148" s="22"/>
      <c r="L1148" s="23"/>
      <c r="M1148" s="23">
        <v>0</v>
      </c>
      <c r="N1148" s="19">
        <v>30.8</v>
      </c>
      <c r="O1148" s="19">
        <v>-77</v>
      </c>
      <c r="P1148" s="48">
        <v>77</v>
      </c>
      <c r="Q1148" s="17">
        <v>0</v>
      </c>
      <c r="R1148" s="24">
        <v>400.40000000000003</v>
      </c>
      <c r="S1148" s="18" t="s">
        <v>28</v>
      </c>
      <c r="T1148" s="25">
        <v>26</v>
      </c>
    </row>
    <row r="1149" spans="1:20" s="26" customFormat="1" x14ac:dyDescent="0.25">
      <c r="A1149" s="16">
        <v>228155</v>
      </c>
      <c r="B1149" s="30" t="s">
        <v>1241</v>
      </c>
      <c r="C1149" s="20" t="s">
        <v>649</v>
      </c>
      <c r="D1149" s="20" t="s">
        <v>725</v>
      </c>
      <c r="E1149" s="20" t="s">
        <v>3800</v>
      </c>
      <c r="F1149" s="20" t="s">
        <v>3801</v>
      </c>
      <c r="G1149" s="21">
        <v>14.2</v>
      </c>
      <c r="H1149" s="16">
        <v>26</v>
      </c>
      <c r="I1149" s="16"/>
      <c r="J1149" s="17">
        <v>369.2</v>
      </c>
      <c r="K1149" s="22"/>
      <c r="L1149" s="23"/>
      <c r="M1149" s="23">
        <v>0</v>
      </c>
      <c r="N1149" s="19">
        <v>28.4</v>
      </c>
      <c r="O1149" s="19">
        <v>-71</v>
      </c>
      <c r="P1149" s="48">
        <v>71</v>
      </c>
      <c r="Q1149" s="17">
        <v>0</v>
      </c>
      <c r="R1149" s="24">
        <v>369.2</v>
      </c>
      <c r="S1149" s="18" t="s">
        <v>28</v>
      </c>
      <c r="T1149" s="25">
        <v>26</v>
      </c>
    </row>
    <row r="1150" spans="1:20" s="26" customFormat="1" x14ac:dyDescent="0.25">
      <c r="A1150" s="16">
        <v>230540</v>
      </c>
      <c r="B1150" s="30" t="s">
        <v>1518</v>
      </c>
      <c r="C1150" s="20" t="s">
        <v>649</v>
      </c>
      <c r="D1150" s="20" t="s">
        <v>725</v>
      </c>
      <c r="E1150" s="20" t="s">
        <v>3802</v>
      </c>
      <c r="F1150" s="20" t="s">
        <v>3803</v>
      </c>
      <c r="G1150" s="21">
        <v>13.4</v>
      </c>
      <c r="H1150" s="16">
        <v>26</v>
      </c>
      <c r="I1150" s="16"/>
      <c r="J1150" s="17">
        <v>348.40000000000003</v>
      </c>
      <c r="K1150" s="22"/>
      <c r="L1150" s="23"/>
      <c r="M1150" s="23">
        <v>0</v>
      </c>
      <c r="N1150" s="19">
        <v>26.8</v>
      </c>
      <c r="O1150" s="19">
        <v>-67</v>
      </c>
      <c r="P1150" s="48">
        <v>67</v>
      </c>
      <c r="Q1150" s="17">
        <v>0</v>
      </c>
      <c r="R1150" s="24">
        <v>348.40000000000003</v>
      </c>
      <c r="S1150" s="18" t="s">
        <v>28</v>
      </c>
      <c r="T1150" s="25">
        <v>26</v>
      </c>
    </row>
    <row r="1151" spans="1:20" s="26" customFormat="1" x14ac:dyDescent="0.25">
      <c r="A1151" s="16">
        <v>231136</v>
      </c>
      <c r="B1151" s="30" t="s">
        <v>772</v>
      </c>
      <c r="C1151" s="20" t="s">
        <v>649</v>
      </c>
      <c r="D1151" s="20" t="s">
        <v>725</v>
      </c>
      <c r="E1151" s="20" t="s">
        <v>3804</v>
      </c>
      <c r="F1151" s="20" t="s">
        <v>3805</v>
      </c>
      <c r="G1151" s="21">
        <v>13.4</v>
      </c>
      <c r="H1151" s="16">
        <v>26</v>
      </c>
      <c r="I1151" s="16">
        <v>1</v>
      </c>
      <c r="J1151" s="17">
        <v>335</v>
      </c>
      <c r="K1151" s="22"/>
      <c r="L1151" s="23"/>
      <c r="M1151" s="23">
        <v>0</v>
      </c>
      <c r="N1151" s="19">
        <v>26.8</v>
      </c>
      <c r="O1151" s="19">
        <v>-67</v>
      </c>
      <c r="P1151" s="48">
        <v>67</v>
      </c>
      <c r="Q1151" s="17">
        <v>0</v>
      </c>
      <c r="R1151" s="24">
        <v>335</v>
      </c>
      <c r="S1151" s="18" t="s">
        <v>28</v>
      </c>
      <c r="T1151" s="25">
        <v>26</v>
      </c>
    </row>
    <row r="1152" spans="1:20" s="26" customFormat="1" x14ac:dyDescent="0.25">
      <c r="A1152" s="16">
        <v>234375</v>
      </c>
      <c r="B1152" s="30" t="s">
        <v>1299</v>
      </c>
      <c r="C1152" s="20" t="s">
        <v>649</v>
      </c>
      <c r="D1152" s="20" t="s">
        <v>725</v>
      </c>
      <c r="E1152" s="20" t="s">
        <v>3806</v>
      </c>
      <c r="F1152" s="20" t="s">
        <v>3807</v>
      </c>
      <c r="G1152" s="21">
        <v>13.4</v>
      </c>
      <c r="H1152" s="16">
        <v>26</v>
      </c>
      <c r="I1152" s="16">
        <v>1</v>
      </c>
      <c r="J1152" s="17">
        <v>335</v>
      </c>
      <c r="K1152" s="22"/>
      <c r="L1152" s="23"/>
      <c r="M1152" s="23">
        <v>0</v>
      </c>
      <c r="N1152" s="19">
        <v>26.8</v>
      </c>
      <c r="O1152" s="19">
        <v>-67</v>
      </c>
      <c r="P1152" s="48">
        <v>67</v>
      </c>
      <c r="Q1152" s="17">
        <v>0</v>
      </c>
      <c r="R1152" s="24">
        <v>335</v>
      </c>
      <c r="S1152" s="18" t="s">
        <v>28</v>
      </c>
      <c r="T1152" s="25">
        <v>26</v>
      </c>
    </row>
    <row r="1153" spans="1:20" s="26" customFormat="1" x14ac:dyDescent="0.25">
      <c r="A1153" s="16">
        <v>223763</v>
      </c>
      <c r="B1153" s="30" t="s">
        <v>430</v>
      </c>
      <c r="C1153" s="20" t="s">
        <v>650</v>
      </c>
      <c r="D1153" s="20" t="s">
        <v>726</v>
      </c>
      <c r="E1153" s="20" t="s">
        <v>3808</v>
      </c>
      <c r="F1153" s="20" t="s">
        <v>3809</v>
      </c>
      <c r="G1153" s="21">
        <v>15.4</v>
      </c>
      <c r="H1153" s="16">
        <v>26</v>
      </c>
      <c r="I1153" s="16"/>
      <c r="J1153" s="17">
        <v>400.40000000000003</v>
      </c>
      <c r="K1153" s="22"/>
      <c r="L1153" s="23"/>
      <c r="M1153" s="23">
        <v>0</v>
      </c>
      <c r="N1153" s="19">
        <v>30.8</v>
      </c>
      <c r="O1153" s="19">
        <v>-77</v>
      </c>
      <c r="P1153" s="48">
        <v>77</v>
      </c>
      <c r="Q1153" s="17">
        <v>0</v>
      </c>
      <c r="R1153" s="24">
        <v>400.40000000000003</v>
      </c>
      <c r="S1153" s="18" t="s">
        <v>28</v>
      </c>
      <c r="T1153" s="25">
        <v>26</v>
      </c>
    </row>
    <row r="1154" spans="1:20" s="26" customFormat="1" x14ac:dyDescent="0.25">
      <c r="A1154" s="16">
        <v>230691</v>
      </c>
      <c r="B1154" s="30" t="s">
        <v>539</v>
      </c>
      <c r="C1154" s="20" t="s">
        <v>650</v>
      </c>
      <c r="D1154" s="20" t="s">
        <v>726</v>
      </c>
      <c r="E1154" s="20" t="s">
        <v>3810</v>
      </c>
      <c r="F1154" s="20" t="s">
        <v>3811</v>
      </c>
      <c r="G1154" s="21">
        <v>13.4</v>
      </c>
      <c r="H1154" s="16">
        <v>26</v>
      </c>
      <c r="I1154" s="16"/>
      <c r="J1154" s="17">
        <v>348.40000000000003</v>
      </c>
      <c r="K1154" s="22"/>
      <c r="L1154" s="23"/>
      <c r="M1154" s="23">
        <v>0</v>
      </c>
      <c r="N1154" s="19">
        <v>26.8</v>
      </c>
      <c r="O1154" s="19">
        <v>-67</v>
      </c>
      <c r="P1154" s="48">
        <v>67</v>
      </c>
      <c r="Q1154" s="17">
        <v>0</v>
      </c>
      <c r="R1154" s="24">
        <v>348.40000000000003</v>
      </c>
      <c r="S1154" s="18" t="s">
        <v>28</v>
      </c>
      <c r="T1154" s="25">
        <v>26</v>
      </c>
    </row>
    <row r="1155" spans="1:20" s="26" customFormat="1" x14ac:dyDescent="0.25">
      <c r="A1155" s="16">
        <v>230709</v>
      </c>
      <c r="B1155" s="30" t="s">
        <v>1519</v>
      </c>
      <c r="C1155" s="20" t="s">
        <v>650</v>
      </c>
      <c r="D1155" s="20" t="s">
        <v>726</v>
      </c>
      <c r="E1155" s="20" t="s">
        <v>3812</v>
      </c>
      <c r="F1155" s="20" t="s">
        <v>3813</v>
      </c>
      <c r="G1155" s="21">
        <v>13.4</v>
      </c>
      <c r="H1155" s="16">
        <v>26</v>
      </c>
      <c r="I1155" s="16"/>
      <c r="J1155" s="17">
        <v>348.40000000000003</v>
      </c>
      <c r="K1155" s="22"/>
      <c r="L1155" s="23"/>
      <c r="M1155" s="23">
        <v>0</v>
      </c>
      <c r="N1155" s="19">
        <v>26.8</v>
      </c>
      <c r="O1155" s="19">
        <v>-67</v>
      </c>
      <c r="P1155" s="48">
        <v>67</v>
      </c>
      <c r="Q1155" s="17">
        <v>0</v>
      </c>
      <c r="R1155" s="24">
        <v>348.40000000000003</v>
      </c>
      <c r="S1155" s="18" t="s">
        <v>28</v>
      </c>
      <c r="T1155" s="25">
        <v>26</v>
      </c>
    </row>
    <row r="1156" spans="1:20" s="26" customFormat="1" x14ac:dyDescent="0.25">
      <c r="A1156" s="16">
        <v>230869</v>
      </c>
      <c r="B1156" s="30" t="s">
        <v>541</v>
      </c>
      <c r="C1156" s="20" t="s">
        <v>650</v>
      </c>
      <c r="D1156" s="20" t="s">
        <v>726</v>
      </c>
      <c r="E1156" s="20" t="s">
        <v>3814</v>
      </c>
      <c r="F1156" s="20" t="s">
        <v>3815</v>
      </c>
      <c r="G1156" s="21">
        <v>13.4</v>
      </c>
      <c r="H1156" s="16">
        <v>26</v>
      </c>
      <c r="I1156" s="16"/>
      <c r="J1156" s="17">
        <v>348.40000000000003</v>
      </c>
      <c r="K1156" s="22"/>
      <c r="L1156" s="23"/>
      <c r="M1156" s="23">
        <v>0</v>
      </c>
      <c r="N1156" s="19">
        <v>26.8</v>
      </c>
      <c r="O1156" s="19">
        <v>-67</v>
      </c>
      <c r="P1156" s="48">
        <v>67</v>
      </c>
      <c r="Q1156" s="17">
        <v>0</v>
      </c>
      <c r="R1156" s="24">
        <v>348.40000000000003</v>
      </c>
      <c r="S1156" s="18" t="s">
        <v>28</v>
      </c>
      <c r="T1156" s="25">
        <v>26</v>
      </c>
    </row>
    <row r="1157" spans="1:20" s="26" customFormat="1" x14ac:dyDescent="0.25">
      <c r="A1157" s="16">
        <v>230913</v>
      </c>
      <c r="B1157" s="30" t="s">
        <v>542</v>
      </c>
      <c r="C1157" s="20" t="s">
        <v>650</v>
      </c>
      <c r="D1157" s="20" t="s">
        <v>726</v>
      </c>
      <c r="E1157" s="20" t="s">
        <v>3816</v>
      </c>
      <c r="F1157" s="20" t="s">
        <v>3817</v>
      </c>
      <c r="G1157" s="21">
        <v>13.4</v>
      </c>
      <c r="H1157" s="16">
        <v>26</v>
      </c>
      <c r="I1157" s="16"/>
      <c r="J1157" s="17">
        <v>348.40000000000003</v>
      </c>
      <c r="K1157" s="22"/>
      <c r="L1157" s="23"/>
      <c r="M1157" s="23">
        <v>0</v>
      </c>
      <c r="N1157" s="19">
        <v>26.8</v>
      </c>
      <c r="O1157" s="19">
        <v>-67</v>
      </c>
      <c r="P1157" s="48">
        <v>67</v>
      </c>
      <c r="Q1157" s="17">
        <v>0</v>
      </c>
      <c r="R1157" s="24">
        <v>348.40000000000003</v>
      </c>
      <c r="S1157" s="18" t="s">
        <v>28</v>
      </c>
      <c r="T1157" s="25">
        <v>26</v>
      </c>
    </row>
    <row r="1158" spans="1:20" s="26" customFormat="1" x14ac:dyDescent="0.25">
      <c r="A1158" s="16">
        <v>231010</v>
      </c>
      <c r="B1158" s="30" t="s">
        <v>543</v>
      </c>
      <c r="C1158" s="20" t="s">
        <v>650</v>
      </c>
      <c r="D1158" s="20" t="s">
        <v>726</v>
      </c>
      <c r="E1158" s="20" t="s">
        <v>3818</v>
      </c>
      <c r="F1158" s="20" t="s">
        <v>3819</v>
      </c>
      <c r="G1158" s="21">
        <v>13.4</v>
      </c>
      <c r="H1158" s="16">
        <v>26</v>
      </c>
      <c r="I1158" s="16"/>
      <c r="J1158" s="17">
        <v>348.40000000000003</v>
      </c>
      <c r="K1158" s="22"/>
      <c r="L1158" s="23"/>
      <c r="M1158" s="23">
        <v>0</v>
      </c>
      <c r="N1158" s="19">
        <v>26.8</v>
      </c>
      <c r="O1158" s="19">
        <v>-67</v>
      </c>
      <c r="P1158" s="48">
        <v>67</v>
      </c>
      <c r="Q1158" s="17">
        <v>0</v>
      </c>
      <c r="R1158" s="24">
        <v>348.40000000000003</v>
      </c>
      <c r="S1158" s="18" t="s">
        <v>28</v>
      </c>
      <c r="T1158" s="25">
        <v>26</v>
      </c>
    </row>
    <row r="1159" spans="1:20" s="26" customFormat="1" x14ac:dyDescent="0.25">
      <c r="A1159" s="16">
        <v>232467</v>
      </c>
      <c r="B1159" s="30" t="s">
        <v>922</v>
      </c>
      <c r="C1159" s="20" t="s">
        <v>650</v>
      </c>
      <c r="D1159" s="20" t="s">
        <v>738</v>
      </c>
      <c r="E1159" s="20" t="s">
        <v>3820</v>
      </c>
      <c r="F1159" s="20" t="s">
        <v>3821</v>
      </c>
      <c r="G1159" s="21">
        <v>13.4</v>
      </c>
      <c r="H1159" s="16">
        <v>26</v>
      </c>
      <c r="I1159" s="16"/>
      <c r="J1159" s="17">
        <v>348.40000000000003</v>
      </c>
      <c r="K1159" s="22"/>
      <c r="L1159" s="23">
        <v>133.6</v>
      </c>
      <c r="M1159" s="23">
        <v>133.6</v>
      </c>
      <c r="N1159" s="19">
        <v>26.8</v>
      </c>
      <c r="O1159" s="19">
        <v>66.599999999999994</v>
      </c>
      <c r="P1159" s="48">
        <v>67</v>
      </c>
      <c r="Q1159" s="17">
        <v>66.599999999999994</v>
      </c>
      <c r="R1159" s="24">
        <v>281.80000000000007</v>
      </c>
      <c r="S1159" s="18" t="s">
        <v>11</v>
      </c>
      <c r="T1159" s="25">
        <v>26</v>
      </c>
    </row>
    <row r="1160" spans="1:20" s="26" customFormat="1" x14ac:dyDescent="0.25">
      <c r="A1160" s="16">
        <v>232704</v>
      </c>
      <c r="B1160" s="30" t="s">
        <v>1520</v>
      </c>
      <c r="C1160" s="20" t="s">
        <v>650</v>
      </c>
      <c r="D1160" s="20" t="s">
        <v>726</v>
      </c>
      <c r="E1160" s="20" t="s">
        <v>3822</v>
      </c>
      <c r="F1160" s="20" t="s">
        <v>3823</v>
      </c>
      <c r="G1160" s="21">
        <v>13.4</v>
      </c>
      <c r="H1160" s="16">
        <v>26</v>
      </c>
      <c r="I1160" s="16"/>
      <c r="J1160" s="17">
        <v>348.40000000000003</v>
      </c>
      <c r="K1160" s="22"/>
      <c r="L1160" s="23"/>
      <c r="M1160" s="23">
        <v>0</v>
      </c>
      <c r="N1160" s="19">
        <v>26.8</v>
      </c>
      <c r="O1160" s="19">
        <v>-67</v>
      </c>
      <c r="P1160" s="48">
        <v>67</v>
      </c>
      <c r="Q1160" s="17">
        <v>0</v>
      </c>
      <c r="R1160" s="24">
        <v>348.40000000000003</v>
      </c>
      <c r="S1160" s="18" t="s">
        <v>28</v>
      </c>
      <c r="T1160" s="25">
        <v>26</v>
      </c>
    </row>
    <row r="1161" spans="1:20" s="26" customFormat="1" x14ac:dyDescent="0.25">
      <c r="A1161" s="16">
        <v>233543</v>
      </c>
      <c r="B1161" s="30" t="s">
        <v>1112</v>
      </c>
      <c r="C1161" s="20" t="s">
        <v>650</v>
      </c>
      <c r="D1161" s="20" t="s">
        <v>726</v>
      </c>
      <c r="E1161" s="20" t="s">
        <v>3824</v>
      </c>
      <c r="F1161" s="20" t="s">
        <v>3825</v>
      </c>
      <c r="G1161" s="21">
        <v>13.4</v>
      </c>
      <c r="H1161" s="16">
        <v>26</v>
      </c>
      <c r="I1161" s="16"/>
      <c r="J1161" s="17">
        <v>348.40000000000003</v>
      </c>
      <c r="K1161" s="22"/>
      <c r="L1161" s="23"/>
      <c r="M1161" s="23">
        <v>0</v>
      </c>
      <c r="N1161" s="19">
        <v>26.8</v>
      </c>
      <c r="O1161" s="19">
        <v>-67</v>
      </c>
      <c r="P1161" s="48">
        <v>67</v>
      </c>
      <c r="Q1161" s="17">
        <v>0</v>
      </c>
      <c r="R1161" s="24">
        <v>348.40000000000003</v>
      </c>
      <c r="S1161" s="18" t="s">
        <v>28</v>
      </c>
      <c r="T1161" s="25">
        <v>26</v>
      </c>
    </row>
    <row r="1162" spans="1:20" s="26" customFormat="1" x14ac:dyDescent="0.25">
      <c r="A1162" s="16">
        <v>234076</v>
      </c>
      <c r="B1162" s="30" t="s">
        <v>1242</v>
      </c>
      <c r="C1162" s="20" t="s">
        <v>650</v>
      </c>
      <c r="D1162" s="20" t="s">
        <v>726</v>
      </c>
      <c r="E1162" s="20" t="s">
        <v>3826</v>
      </c>
      <c r="F1162" s="20" t="s">
        <v>3827</v>
      </c>
      <c r="G1162" s="21">
        <v>13.4</v>
      </c>
      <c r="H1162" s="16">
        <v>26</v>
      </c>
      <c r="I1162" s="16"/>
      <c r="J1162" s="17">
        <v>348.40000000000003</v>
      </c>
      <c r="K1162" s="22"/>
      <c r="L1162" s="23"/>
      <c r="M1162" s="23">
        <v>0</v>
      </c>
      <c r="N1162" s="19">
        <v>26.8</v>
      </c>
      <c r="O1162" s="19">
        <v>-67</v>
      </c>
      <c r="P1162" s="48">
        <v>67</v>
      </c>
      <c r="Q1162" s="17">
        <v>0</v>
      </c>
      <c r="R1162" s="24">
        <v>348.40000000000003</v>
      </c>
      <c r="S1162" s="18" t="s">
        <v>28</v>
      </c>
      <c r="T1162" s="25">
        <v>26</v>
      </c>
    </row>
    <row r="1163" spans="1:20" s="26" customFormat="1" x14ac:dyDescent="0.25">
      <c r="A1163" s="16">
        <v>6629</v>
      </c>
      <c r="B1163" s="30" t="s">
        <v>544</v>
      </c>
      <c r="C1163" s="20" t="s">
        <v>651</v>
      </c>
      <c r="D1163" s="20" t="s">
        <v>727</v>
      </c>
      <c r="E1163" s="20" t="s">
        <v>3828</v>
      </c>
      <c r="F1163" s="20" t="s">
        <v>3829</v>
      </c>
      <c r="G1163" s="21">
        <v>18.8</v>
      </c>
      <c r="H1163" s="16">
        <v>26</v>
      </c>
      <c r="I1163" s="16"/>
      <c r="J1163" s="17">
        <v>488.8</v>
      </c>
      <c r="K1163" s="22"/>
      <c r="L1163" s="23"/>
      <c r="M1163" s="23">
        <v>0</v>
      </c>
      <c r="N1163" s="19">
        <v>37.6</v>
      </c>
      <c r="O1163" s="19">
        <v>-94</v>
      </c>
      <c r="P1163" s="48">
        <v>94</v>
      </c>
      <c r="Q1163" s="17">
        <v>0</v>
      </c>
      <c r="R1163" s="24">
        <v>488.8</v>
      </c>
      <c r="S1163" s="18" t="s">
        <v>28</v>
      </c>
      <c r="T1163" s="25">
        <v>26</v>
      </c>
    </row>
    <row r="1164" spans="1:20" s="26" customFormat="1" x14ac:dyDescent="0.25">
      <c r="A1164" s="16">
        <v>216621</v>
      </c>
      <c r="B1164" s="30" t="s">
        <v>1113</v>
      </c>
      <c r="C1164" s="20" t="s">
        <v>651</v>
      </c>
      <c r="D1164" s="20" t="s">
        <v>717</v>
      </c>
      <c r="E1164" s="20" t="s">
        <v>3830</v>
      </c>
      <c r="F1164" s="20" t="s">
        <v>3831</v>
      </c>
      <c r="G1164" s="21">
        <v>13.4</v>
      </c>
      <c r="H1164" s="16">
        <v>16</v>
      </c>
      <c r="I1164" s="16"/>
      <c r="J1164" s="17">
        <v>214.4</v>
      </c>
      <c r="K1164" s="22"/>
      <c r="L1164" s="23"/>
      <c r="M1164" s="23">
        <v>0</v>
      </c>
      <c r="N1164" s="19">
        <v>26.8</v>
      </c>
      <c r="O1164" s="19">
        <v>-67</v>
      </c>
      <c r="P1164" s="48">
        <v>67</v>
      </c>
      <c r="Q1164" s="17">
        <v>0</v>
      </c>
      <c r="R1164" s="24">
        <v>214.4</v>
      </c>
      <c r="S1164" s="18" t="s">
        <v>28</v>
      </c>
      <c r="T1164" s="25">
        <v>26</v>
      </c>
    </row>
    <row r="1165" spans="1:20" s="26" customFormat="1" x14ac:dyDescent="0.25">
      <c r="A1165" s="16">
        <v>217014</v>
      </c>
      <c r="B1165" s="30" t="s">
        <v>545</v>
      </c>
      <c r="C1165" s="20" t="s">
        <v>651</v>
      </c>
      <c r="D1165" s="20" t="s">
        <v>719</v>
      </c>
      <c r="E1165" s="20" t="s">
        <v>3832</v>
      </c>
      <c r="F1165" s="20" t="s">
        <v>3833</v>
      </c>
      <c r="G1165" s="21">
        <v>13.4</v>
      </c>
      <c r="H1165" s="16">
        <v>16</v>
      </c>
      <c r="I1165" s="16"/>
      <c r="J1165" s="17">
        <v>214.4</v>
      </c>
      <c r="K1165" s="22"/>
      <c r="L1165" s="23"/>
      <c r="M1165" s="23">
        <v>0</v>
      </c>
      <c r="N1165" s="19">
        <v>26.8</v>
      </c>
      <c r="O1165" s="19">
        <v>-67</v>
      </c>
      <c r="P1165" s="48">
        <v>67</v>
      </c>
      <c r="Q1165" s="17">
        <v>0</v>
      </c>
      <c r="R1165" s="24">
        <v>214.4</v>
      </c>
      <c r="S1165" s="18" t="s">
        <v>28</v>
      </c>
      <c r="T1165" s="25">
        <v>26</v>
      </c>
    </row>
    <row r="1166" spans="1:20" s="26" customFormat="1" x14ac:dyDescent="0.25">
      <c r="A1166" s="16">
        <v>219536</v>
      </c>
      <c r="B1166" s="30" t="s">
        <v>546</v>
      </c>
      <c r="C1166" s="20" t="s">
        <v>651</v>
      </c>
      <c r="D1166" s="20" t="s">
        <v>719</v>
      </c>
      <c r="E1166" s="20" t="s">
        <v>3834</v>
      </c>
      <c r="F1166" s="20" t="s">
        <v>3835</v>
      </c>
      <c r="G1166" s="21">
        <v>13.4</v>
      </c>
      <c r="H1166" s="16">
        <v>16</v>
      </c>
      <c r="I1166" s="16"/>
      <c r="J1166" s="17">
        <v>214.4</v>
      </c>
      <c r="K1166" s="22"/>
      <c r="L1166" s="23"/>
      <c r="M1166" s="23">
        <v>0</v>
      </c>
      <c r="N1166" s="19">
        <v>26.8</v>
      </c>
      <c r="O1166" s="19">
        <v>-67</v>
      </c>
      <c r="P1166" s="48">
        <v>67</v>
      </c>
      <c r="Q1166" s="17">
        <v>0</v>
      </c>
      <c r="R1166" s="24">
        <v>214.4</v>
      </c>
      <c r="S1166" s="18" t="s">
        <v>28</v>
      </c>
      <c r="T1166" s="25">
        <v>26</v>
      </c>
    </row>
    <row r="1167" spans="1:20" s="26" customFormat="1" x14ac:dyDescent="0.25">
      <c r="A1167" s="16">
        <v>221423</v>
      </c>
      <c r="B1167" s="30" t="s">
        <v>547</v>
      </c>
      <c r="C1167" s="20" t="s">
        <v>651</v>
      </c>
      <c r="D1167" s="20" t="s">
        <v>717</v>
      </c>
      <c r="E1167" s="20" t="s">
        <v>3836</v>
      </c>
      <c r="F1167" s="20" t="s">
        <v>3837</v>
      </c>
      <c r="G1167" s="21">
        <v>13.4</v>
      </c>
      <c r="H1167" s="16">
        <v>16</v>
      </c>
      <c r="I1167" s="16"/>
      <c r="J1167" s="17">
        <v>214.4</v>
      </c>
      <c r="K1167" s="22"/>
      <c r="L1167" s="23"/>
      <c r="M1167" s="23">
        <v>0</v>
      </c>
      <c r="N1167" s="19">
        <v>26.8</v>
      </c>
      <c r="O1167" s="19">
        <v>-67</v>
      </c>
      <c r="P1167" s="48">
        <v>67</v>
      </c>
      <c r="Q1167" s="17">
        <v>0</v>
      </c>
      <c r="R1167" s="24">
        <v>214.4</v>
      </c>
      <c r="S1167" s="18" t="s">
        <v>28</v>
      </c>
      <c r="T1167" s="25">
        <v>26</v>
      </c>
    </row>
    <row r="1168" spans="1:20" s="26" customFormat="1" x14ac:dyDescent="0.25">
      <c r="A1168" s="16">
        <v>222907</v>
      </c>
      <c r="B1168" s="30" t="s">
        <v>1114</v>
      </c>
      <c r="C1168" s="20" t="s">
        <v>651</v>
      </c>
      <c r="D1168" s="20" t="s">
        <v>719</v>
      </c>
      <c r="E1168" s="20" t="s">
        <v>3838</v>
      </c>
      <c r="F1168" s="20" t="s">
        <v>3839</v>
      </c>
      <c r="G1168" s="21">
        <v>18.8</v>
      </c>
      <c r="H1168" s="16">
        <v>16</v>
      </c>
      <c r="I1168" s="16"/>
      <c r="J1168" s="17">
        <v>300.8</v>
      </c>
      <c r="K1168" s="22"/>
      <c r="L1168" s="23"/>
      <c r="M1168" s="23">
        <v>0</v>
      </c>
      <c r="N1168" s="19">
        <v>37.6</v>
      </c>
      <c r="O1168" s="19">
        <v>-94</v>
      </c>
      <c r="P1168" s="48">
        <v>94</v>
      </c>
      <c r="Q1168" s="17">
        <v>0</v>
      </c>
      <c r="R1168" s="24">
        <v>300.8</v>
      </c>
      <c r="S1168" s="18" t="s">
        <v>28</v>
      </c>
      <c r="T1168" s="25">
        <v>26</v>
      </c>
    </row>
    <row r="1169" spans="1:20" s="26" customFormat="1" x14ac:dyDescent="0.25">
      <c r="A1169" s="65">
        <v>223112</v>
      </c>
      <c r="B1169" s="30" t="s">
        <v>1243</v>
      </c>
      <c r="C1169" s="20" t="s">
        <v>651</v>
      </c>
      <c r="D1169" s="20" t="s">
        <v>717</v>
      </c>
      <c r="E1169" s="20" t="s">
        <v>3840</v>
      </c>
      <c r="F1169" s="20" t="s">
        <v>3841</v>
      </c>
      <c r="G1169" s="21">
        <v>14.2</v>
      </c>
      <c r="H1169" s="16">
        <v>16</v>
      </c>
      <c r="I1169" s="16"/>
      <c r="J1169" s="17">
        <v>227.2</v>
      </c>
      <c r="K1169" s="22"/>
      <c r="L1169" s="23"/>
      <c r="M1169" s="23">
        <v>0</v>
      </c>
      <c r="N1169" s="19">
        <v>28.4</v>
      </c>
      <c r="O1169" s="19">
        <v>-71</v>
      </c>
      <c r="P1169" s="48">
        <v>71</v>
      </c>
      <c r="Q1169" s="17">
        <v>0</v>
      </c>
      <c r="R1169" s="24">
        <v>227.2</v>
      </c>
      <c r="S1169" s="18" t="s">
        <v>28</v>
      </c>
      <c r="T1169" s="25">
        <v>26</v>
      </c>
    </row>
    <row r="1170" spans="1:20" s="26" customFormat="1" x14ac:dyDescent="0.25">
      <c r="A1170" s="16">
        <v>224150</v>
      </c>
      <c r="B1170" s="30" t="s">
        <v>1521</v>
      </c>
      <c r="C1170" s="20" t="s">
        <v>651</v>
      </c>
      <c r="D1170" s="20" t="s">
        <v>719</v>
      </c>
      <c r="E1170" s="20" t="s">
        <v>3842</v>
      </c>
      <c r="F1170" s="20" t="s">
        <v>3843</v>
      </c>
      <c r="G1170" s="21">
        <v>13.4</v>
      </c>
      <c r="H1170" s="16">
        <v>16</v>
      </c>
      <c r="I1170" s="16"/>
      <c r="J1170" s="17">
        <v>214.4</v>
      </c>
      <c r="K1170" s="22"/>
      <c r="L1170" s="23"/>
      <c r="M1170" s="23">
        <v>0</v>
      </c>
      <c r="N1170" s="19">
        <v>26.8</v>
      </c>
      <c r="O1170" s="19">
        <v>-67</v>
      </c>
      <c r="P1170" s="48">
        <v>67</v>
      </c>
      <c r="Q1170" s="17">
        <v>0</v>
      </c>
      <c r="R1170" s="24">
        <v>214.4</v>
      </c>
      <c r="S1170" s="18" t="s">
        <v>28</v>
      </c>
      <c r="T1170" s="25">
        <v>26</v>
      </c>
    </row>
    <row r="1171" spans="1:20" s="26" customFormat="1" x14ac:dyDescent="0.25">
      <c r="A1171" s="65">
        <v>224485</v>
      </c>
      <c r="B1171" s="30" t="s">
        <v>550</v>
      </c>
      <c r="C1171" s="20" t="s">
        <v>651</v>
      </c>
      <c r="D1171" s="20" t="s">
        <v>719</v>
      </c>
      <c r="E1171" s="20" t="s">
        <v>3844</v>
      </c>
      <c r="F1171" s="20" t="s">
        <v>3845</v>
      </c>
      <c r="G1171" s="21">
        <v>18.8</v>
      </c>
      <c r="H1171" s="16">
        <v>16</v>
      </c>
      <c r="I1171" s="16">
        <v>2</v>
      </c>
      <c r="J1171" s="17">
        <v>263.2</v>
      </c>
      <c r="K1171" s="22"/>
      <c r="L1171" s="23"/>
      <c r="M1171" s="23">
        <v>0</v>
      </c>
      <c r="N1171" s="19">
        <v>37.6</v>
      </c>
      <c r="O1171" s="19">
        <v>-94</v>
      </c>
      <c r="P1171" s="48">
        <v>94</v>
      </c>
      <c r="Q1171" s="17">
        <v>0</v>
      </c>
      <c r="R1171" s="24">
        <v>263.2</v>
      </c>
      <c r="S1171" s="18" t="s">
        <v>28</v>
      </c>
      <c r="T1171" s="25">
        <v>26</v>
      </c>
    </row>
    <row r="1172" spans="1:20" s="26" customFormat="1" x14ac:dyDescent="0.25">
      <c r="A1172" s="16">
        <v>224710</v>
      </c>
      <c r="B1172" s="30" t="s">
        <v>551</v>
      </c>
      <c r="C1172" s="20" t="s">
        <v>651</v>
      </c>
      <c r="D1172" s="20" t="s">
        <v>717</v>
      </c>
      <c r="E1172" s="20" t="s">
        <v>3846</v>
      </c>
      <c r="F1172" s="20" t="s">
        <v>3847</v>
      </c>
      <c r="G1172" s="21">
        <v>13.4</v>
      </c>
      <c r="H1172" s="16">
        <v>16</v>
      </c>
      <c r="I1172" s="16"/>
      <c r="J1172" s="17">
        <v>214.4</v>
      </c>
      <c r="K1172" s="22"/>
      <c r="L1172" s="23"/>
      <c r="M1172" s="23">
        <v>0</v>
      </c>
      <c r="N1172" s="19">
        <v>26.8</v>
      </c>
      <c r="O1172" s="19">
        <v>-67</v>
      </c>
      <c r="P1172" s="48">
        <v>67</v>
      </c>
      <c r="Q1172" s="17">
        <v>0</v>
      </c>
      <c r="R1172" s="24">
        <v>214.4</v>
      </c>
      <c r="S1172" s="18" t="s">
        <v>28</v>
      </c>
      <c r="T1172" s="25">
        <v>26</v>
      </c>
    </row>
    <row r="1173" spans="1:20" s="26" customFormat="1" x14ac:dyDescent="0.25">
      <c r="A1173" s="16">
        <v>224954</v>
      </c>
      <c r="B1173" s="30" t="s">
        <v>552</v>
      </c>
      <c r="C1173" s="20" t="s">
        <v>651</v>
      </c>
      <c r="D1173" s="20" t="s">
        <v>717</v>
      </c>
      <c r="E1173" s="20" t="s">
        <v>3848</v>
      </c>
      <c r="F1173" s="20" t="s">
        <v>3849</v>
      </c>
      <c r="G1173" s="21">
        <v>13.4</v>
      </c>
      <c r="H1173" s="16">
        <v>16</v>
      </c>
      <c r="I1173" s="16"/>
      <c r="J1173" s="17">
        <v>214.4</v>
      </c>
      <c r="K1173" s="22"/>
      <c r="L1173" s="23"/>
      <c r="M1173" s="23">
        <v>0</v>
      </c>
      <c r="N1173" s="19">
        <v>26.8</v>
      </c>
      <c r="O1173" s="19">
        <v>-67</v>
      </c>
      <c r="P1173" s="48">
        <v>67</v>
      </c>
      <c r="Q1173" s="17">
        <v>0</v>
      </c>
      <c r="R1173" s="24">
        <v>214.4</v>
      </c>
      <c r="S1173" s="18" t="s">
        <v>28</v>
      </c>
      <c r="T1173" s="25">
        <v>26</v>
      </c>
    </row>
    <row r="1174" spans="1:20" s="26" customFormat="1" x14ac:dyDescent="0.25">
      <c r="A1174" s="16">
        <v>228687</v>
      </c>
      <c r="B1174" s="30" t="s">
        <v>1244</v>
      </c>
      <c r="C1174" s="20" t="s">
        <v>651</v>
      </c>
      <c r="D1174" s="20" t="s">
        <v>719</v>
      </c>
      <c r="E1174" s="20" t="s">
        <v>3850</v>
      </c>
      <c r="F1174" s="20" t="s">
        <v>3851</v>
      </c>
      <c r="G1174" s="21">
        <v>13.4</v>
      </c>
      <c r="H1174" s="16">
        <v>16</v>
      </c>
      <c r="I1174" s="16"/>
      <c r="J1174" s="17">
        <v>214.4</v>
      </c>
      <c r="K1174" s="22"/>
      <c r="L1174" s="23"/>
      <c r="M1174" s="23">
        <v>0</v>
      </c>
      <c r="N1174" s="19">
        <v>26.8</v>
      </c>
      <c r="O1174" s="19">
        <v>-67</v>
      </c>
      <c r="P1174" s="48">
        <v>67</v>
      </c>
      <c r="Q1174" s="17">
        <v>0</v>
      </c>
      <c r="R1174" s="24">
        <v>214.4</v>
      </c>
      <c r="S1174" s="18" t="s">
        <v>28</v>
      </c>
      <c r="T1174" s="25">
        <v>26</v>
      </c>
    </row>
    <row r="1175" spans="1:20" s="26" customFormat="1" x14ac:dyDescent="0.25">
      <c r="A1175" s="16">
        <v>228921</v>
      </c>
      <c r="B1175" s="30" t="s">
        <v>553</v>
      </c>
      <c r="C1175" s="20" t="s">
        <v>651</v>
      </c>
      <c r="D1175" s="20" t="s">
        <v>719</v>
      </c>
      <c r="E1175" s="20" t="s">
        <v>3852</v>
      </c>
      <c r="F1175" s="20" t="s">
        <v>3853</v>
      </c>
      <c r="G1175" s="21">
        <v>18.8</v>
      </c>
      <c r="H1175" s="16">
        <v>16</v>
      </c>
      <c r="I1175" s="16">
        <v>1</v>
      </c>
      <c r="J1175" s="17">
        <v>282</v>
      </c>
      <c r="K1175" s="22"/>
      <c r="L1175" s="23"/>
      <c r="M1175" s="23">
        <v>0</v>
      </c>
      <c r="N1175" s="19">
        <v>37.6</v>
      </c>
      <c r="O1175" s="19">
        <v>-94</v>
      </c>
      <c r="P1175" s="48">
        <v>94</v>
      </c>
      <c r="Q1175" s="17">
        <v>0</v>
      </c>
      <c r="R1175" s="24">
        <v>282</v>
      </c>
      <c r="S1175" s="18" t="s">
        <v>28</v>
      </c>
      <c r="T1175" s="25">
        <v>26</v>
      </c>
    </row>
    <row r="1176" spans="1:20" s="26" customFormat="1" x14ac:dyDescent="0.25">
      <c r="A1176" s="16">
        <v>229281</v>
      </c>
      <c r="B1176" s="30" t="s">
        <v>554</v>
      </c>
      <c r="C1176" s="20" t="s">
        <v>651</v>
      </c>
      <c r="D1176" s="20" t="s">
        <v>719</v>
      </c>
      <c r="E1176" s="20" t="s">
        <v>3854</v>
      </c>
      <c r="F1176" s="20" t="s">
        <v>3855</v>
      </c>
      <c r="G1176" s="21">
        <v>13.4</v>
      </c>
      <c r="H1176" s="16">
        <v>16</v>
      </c>
      <c r="I1176" s="16"/>
      <c r="J1176" s="17">
        <v>214.4</v>
      </c>
      <c r="K1176" s="22"/>
      <c r="L1176" s="23">
        <v>41.65</v>
      </c>
      <c r="M1176" s="23">
        <v>41.65</v>
      </c>
      <c r="N1176" s="19">
        <v>26.8</v>
      </c>
      <c r="O1176" s="19">
        <v>-25.35</v>
      </c>
      <c r="P1176" s="48">
        <v>67</v>
      </c>
      <c r="Q1176" s="17">
        <v>0</v>
      </c>
      <c r="R1176" s="24">
        <v>214.4</v>
      </c>
      <c r="S1176" s="18" t="s">
        <v>28</v>
      </c>
      <c r="T1176" s="25">
        <v>26</v>
      </c>
    </row>
    <row r="1177" spans="1:20" s="26" customFormat="1" x14ac:dyDescent="0.25">
      <c r="A1177" s="16">
        <v>229289</v>
      </c>
      <c r="B1177" s="30" t="s">
        <v>555</v>
      </c>
      <c r="C1177" s="20" t="s">
        <v>651</v>
      </c>
      <c r="D1177" s="20" t="s">
        <v>717</v>
      </c>
      <c r="E1177" s="20" t="s">
        <v>3856</v>
      </c>
      <c r="F1177" s="20" t="s">
        <v>3857</v>
      </c>
      <c r="G1177" s="21">
        <v>18.8</v>
      </c>
      <c r="H1177" s="16">
        <v>16</v>
      </c>
      <c r="I1177" s="16"/>
      <c r="J1177" s="17">
        <v>300.8</v>
      </c>
      <c r="K1177" s="22"/>
      <c r="L1177" s="23"/>
      <c r="M1177" s="23">
        <v>0</v>
      </c>
      <c r="N1177" s="19">
        <v>37.6</v>
      </c>
      <c r="O1177" s="19">
        <v>-94</v>
      </c>
      <c r="P1177" s="48">
        <v>94</v>
      </c>
      <c r="Q1177" s="17">
        <v>0</v>
      </c>
      <c r="R1177" s="24">
        <v>300.8</v>
      </c>
      <c r="S1177" s="18" t="s">
        <v>28</v>
      </c>
      <c r="T1177" s="25">
        <v>26</v>
      </c>
    </row>
    <row r="1178" spans="1:20" s="26" customFormat="1" x14ac:dyDescent="0.25">
      <c r="A1178" s="16">
        <v>229553</v>
      </c>
      <c r="B1178" s="30" t="s">
        <v>233</v>
      </c>
      <c r="C1178" s="20" t="s">
        <v>651</v>
      </c>
      <c r="D1178" s="20" t="s">
        <v>719</v>
      </c>
      <c r="E1178" s="20" t="s">
        <v>3858</v>
      </c>
      <c r="F1178" s="20" t="s">
        <v>3859</v>
      </c>
      <c r="G1178" s="21">
        <v>13.4</v>
      </c>
      <c r="H1178" s="16">
        <v>16</v>
      </c>
      <c r="I1178" s="16"/>
      <c r="J1178" s="17">
        <v>214.4</v>
      </c>
      <c r="K1178" s="22"/>
      <c r="L1178" s="23"/>
      <c r="M1178" s="23">
        <v>0</v>
      </c>
      <c r="N1178" s="19">
        <v>26.8</v>
      </c>
      <c r="O1178" s="19">
        <v>-67</v>
      </c>
      <c r="P1178" s="48">
        <v>67</v>
      </c>
      <c r="Q1178" s="17">
        <v>0</v>
      </c>
      <c r="R1178" s="24">
        <v>214.4</v>
      </c>
      <c r="S1178" s="18" t="s">
        <v>28</v>
      </c>
      <c r="T1178" s="25">
        <v>26</v>
      </c>
    </row>
    <row r="1179" spans="1:20" s="26" customFormat="1" x14ac:dyDescent="0.25">
      <c r="A1179" s="16">
        <v>229577</v>
      </c>
      <c r="B1179" s="30" t="s">
        <v>454</v>
      </c>
      <c r="C1179" s="20" t="s">
        <v>651</v>
      </c>
      <c r="D1179" s="20" t="s">
        <v>719</v>
      </c>
      <c r="E1179" s="20" t="s">
        <v>3860</v>
      </c>
      <c r="F1179" s="20" t="s">
        <v>3861</v>
      </c>
      <c r="G1179" s="21">
        <v>13.4</v>
      </c>
      <c r="H1179" s="16">
        <v>16</v>
      </c>
      <c r="I1179" s="16"/>
      <c r="J1179" s="17">
        <v>214.4</v>
      </c>
      <c r="K1179" s="22"/>
      <c r="L1179" s="23"/>
      <c r="M1179" s="23">
        <v>0</v>
      </c>
      <c r="N1179" s="19">
        <v>26.8</v>
      </c>
      <c r="O1179" s="19">
        <v>-67</v>
      </c>
      <c r="P1179" s="48">
        <v>67</v>
      </c>
      <c r="Q1179" s="17">
        <v>0</v>
      </c>
      <c r="R1179" s="24">
        <v>214.4</v>
      </c>
      <c r="S1179" s="18" t="s">
        <v>28</v>
      </c>
      <c r="T1179" s="25">
        <v>26</v>
      </c>
    </row>
    <row r="1180" spans="1:20" s="26" customFormat="1" x14ac:dyDescent="0.25">
      <c r="A1180" s="16">
        <v>230385</v>
      </c>
      <c r="B1180" s="30" t="s">
        <v>556</v>
      </c>
      <c r="C1180" s="20" t="s">
        <v>651</v>
      </c>
      <c r="D1180" s="20" t="s">
        <v>719</v>
      </c>
      <c r="E1180" s="20" t="s">
        <v>3862</v>
      </c>
      <c r="F1180" s="20" t="s">
        <v>3863</v>
      </c>
      <c r="G1180" s="21">
        <v>18.8</v>
      </c>
      <c r="H1180" s="16">
        <v>16</v>
      </c>
      <c r="I1180" s="16"/>
      <c r="J1180" s="17">
        <v>300.8</v>
      </c>
      <c r="K1180" s="22"/>
      <c r="L1180" s="23"/>
      <c r="M1180" s="23">
        <v>0</v>
      </c>
      <c r="N1180" s="19">
        <v>37.6</v>
      </c>
      <c r="O1180" s="19">
        <v>-94</v>
      </c>
      <c r="P1180" s="48">
        <v>94</v>
      </c>
      <c r="Q1180" s="17">
        <v>0</v>
      </c>
      <c r="R1180" s="24">
        <v>300.8</v>
      </c>
      <c r="S1180" s="18" t="s">
        <v>28</v>
      </c>
      <c r="T1180" s="25">
        <v>26</v>
      </c>
    </row>
    <row r="1181" spans="1:20" s="26" customFormat="1" x14ac:dyDescent="0.25">
      <c r="A1181" s="16">
        <v>230386</v>
      </c>
      <c r="B1181" s="30" t="s">
        <v>557</v>
      </c>
      <c r="C1181" s="20" t="s">
        <v>651</v>
      </c>
      <c r="D1181" s="20" t="s">
        <v>719</v>
      </c>
      <c r="E1181" s="20" t="s">
        <v>3864</v>
      </c>
      <c r="F1181" s="20" t="s">
        <v>3865</v>
      </c>
      <c r="G1181" s="21">
        <v>18.8</v>
      </c>
      <c r="H1181" s="16">
        <v>16</v>
      </c>
      <c r="I1181" s="16"/>
      <c r="J1181" s="17">
        <v>300.8</v>
      </c>
      <c r="K1181" s="22"/>
      <c r="L1181" s="23"/>
      <c r="M1181" s="23">
        <v>0</v>
      </c>
      <c r="N1181" s="19">
        <v>37.6</v>
      </c>
      <c r="O1181" s="19">
        <v>-94</v>
      </c>
      <c r="P1181" s="48">
        <v>94</v>
      </c>
      <c r="Q1181" s="17">
        <v>0</v>
      </c>
      <c r="R1181" s="24">
        <v>300.8</v>
      </c>
      <c r="S1181" s="18" t="s">
        <v>28</v>
      </c>
      <c r="T1181" s="25">
        <v>26</v>
      </c>
    </row>
    <row r="1182" spans="1:20" s="26" customFormat="1" x14ac:dyDescent="0.25">
      <c r="A1182" s="16">
        <v>230501</v>
      </c>
      <c r="B1182" s="30" t="s">
        <v>193</v>
      </c>
      <c r="C1182" s="20" t="s">
        <v>651</v>
      </c>
      <c r="D1182" s="20" t="s">
        <v>747</v>
      </c>
      <c r="E1182" s="20" t="s">
        <v>3866</v>
      </c>
      <c r="F1182" s="20" t="s">
        <v>3867</v>
      </c>
      <c r="G1182" s="21">
        <v>13.4</v>
      </c>
      <c r="H1182" s="16">
        <v>26</v>
      </c>
      <c r="I1182" s="16"/>
      <c r="J1182" s="17">
        <v>348.40000000000003</v>
      </c>
      <c r="K1182" s="22"/>
      <c r="L1182" s="23"/>
      <c r="M1182" s="23">
        <v>0</v>
      </c>
      <c r="N1182" s="19">
        <v>26.8</v>
      </c>
      <c r="O1182" s="19">
        <v>-67</v>
      </c>
      <c r="P1182" s="48">
        <v>67</v>
      </c>
      <c r="Q1182" s="17">
        <v>0</v>
      </c>
      <c r="R1182" s="24">
        <v>348.40000000000003</v>
      </c>
      <c r="S1182" s="18" t="s">
        <v>28</v>
      </c>
      <c r="T1182" s="25">
        <v>26</v>
      </c>
    </row>
    <row r="1183" spans="1:20" s="26" customFormat="1" x14ac:dyDescent="0.25">
      <c r="A1183" s="16">
        <v>230714</v>
      </c>
      <c r="B1183" s="30" t="s">
        <v>1522</v>
      </c>
      <c r="C1183" s="20" t="s">
        <v>651</v>
      </c>
      <c r="D1183" s="20" t="s">
        <v>719</v>
      </c>
      <c r="E1183" s="20" t="s">
        <v>3868</v>
      </c>
      <c r="F1183" s="20" t="s">
        <v>3869</v>
      </c>
      <c r="G1183" s="21">
        <v>13.4</v>
      </c>
      <c r="H1183" s="16">
        <v>16</v>
      </c>
      <c r="I1183" s="16"/>
      <c r="J1183" s="17">
        <v>214.4</v>
      </c>
      <c r="K1183" s="22"/>
      <c r="L1183" s="23"/>
      <c r="M1183" s="23">
        <v>0</v>
      </c>
      <c r="N1183" s="19">
        <v>26.8</v>
      </c>
      <c r="O1183" s="19">
        <v>-67</v>
      </c>
      <c r="P1183" s="48">
        <v>67</v>
      </c>
      <c r="Q1183" s="17">
        <v>0</v>
      </c>
      <c r="R1183" s="24">
        <v>214.4</v>
      </c>
      <c r="S1183" s="18" t="s">
        <v>28</v>
      </c>
      <c r="T1183" s="25">
        <v>26</v>
      </c>
    </row>
    <row r="1184" spans="1:20" s="26" customFormat="1" x14ac:dyDescent="0.25">
      <c r="A1184" s="16">
        <v>230715</v>
      </c>
      <c r="B1184" s="30" t="s">
        <v>558</v>
      </c>
      <c r="C1184" s="20" t="s">
        <v>651</v>
      </c>
      <c r="D1184" s="20" t="s">
        <v>719</v>
      </c>
      <c r="E1184" s="20" t="s">
        <v>3870</v>
      </c>
      <c r="F1184" s="20" t="s">
        <v>3871</v>
      </c>
      <c r="G1184" s="21">
        <v>13.4</v>
      </c>
      <c r="H1184" s="16">
        <v>16</v>
      </c>
      <c r="I1184" s="16"/>
      <c r="J1184" s="17">
        <v>214.4</v>
      </c>
      <c r="K1184" s="22"/>
      <c r="L1184" s="23"/>
      <c r="M1184" s="23">
        <v>0</v>
      </c>
      <c r="N1184" s="19">
        <v>26.8</v>
      </c>
      <c r="O1184" s="19">
        <v>-67</v>
      </c>
      <c r="P1184" s="48">
        <v>67</v>
      </c>
      <c r="Q1184" s="17">
        <v>0</v>
      </c>
      <c r="R1184" s="24">
        <v>214.4</v>
      </c>
      <c r="S1184" s="18" t="s">
        <v>28</v>
      </c>
      <c r="T1184" s="25">
        <v>26</v>
      </c>
    </row>
    <row r="1185" spans="1:20" s="26" customFormat="1" x14ac:dyDescent="0.25">
      <c r="A1185" s="16">
        <v>230717</v>
      </c>
      <c r="B1185" s="30" t="s">
        <v>950</v>
      </c>
      <c r="C1185" s="20" t="s">
        <v>651</v>
      </c>
      <c r="D1185" s="20" t="s">
        <v>719</v>
      </c>
      <c r="E1185" s="20" t="s">
        <v>3872</v>
      </c>
      <c r="F1185" s="20" t="s">
        <v>3873</v>
      </c>
      <c r="G1185" s="21">
        <v>13.4</v>
      </c>
      <c r="H1185" s="16">
        <v>16</v>
      </c>
      <c r="I1185" s="16"/>
      <c r="J1185" s="17">
        <v>214.4</v>
      </c>
      <c r="K1185" s="22"/>
      <c r="L1185" s="23"/>
      <c r="M1185" s="23">
        <v>0</v>
      </c>
      <c r="N1185" s="19">
        <v>26.8</v>
      </c>
      <c r="O1185" s="19">
        <v>-67</v>
      </c>
      <c r="P1185" s="48">
        <v>67</v>
      </c>
      <c r="Q1185" s="17">
        <v>0</v>
      </c>
      <c r="R1185" s="24">
        <v>214.4</v>
      </c>
      <c r="S1185" s="18" t="s">
        <v>28</v>
      </c>
      <c r="T1185" s="25">
        <v>26</v>
      </c>
    </row>
    <row r="1186" spans="1:20" s="26" customFormat="1" x14ac:dyDescent="0.25">
      <c r="A1186" s="16">
        <v>230719</v>
      </c>
      <c r="B1186" s="30" t="s">
        <v>560</v>
      </c>
      <c r="C1186" s="20" t="s">
        <v>651</v>
      </c>
      <c r="D1186" s="20" t="s">
        <v>719</v>
      </c>
      <c r="E1186" s="20" t="s">
        <v>3874</v>
      </c>
      <c r="F1186" s="20" t="s">
        <v>3875</v>
      </c>
      <c r="G1186" s="21">
        <v>13.4</v>
      </c>
      <c r="H1186" s="16">
        <v>16</v>
      </c>
      <c r="I1186" s="16"/>
      <c r="J1186" s="17">
        <v>214.4</v>
      </c>
      <c r="K1186" s="22"/>
      <c r="L1186" s="23"/>
      <c r="M1186" s="23">
        <v>0</v>
      </c>
      <c r="N1186" s="19">
        <v>26.8</v>
      </c>
      <c r="O1186" s="19">
        <v>-67</v>
      </c>
      <c r="P1186" s="48">
        <v>67</v>
      </c>
      <c r="Q1186" s="17">
        <v>0</v>
      </c>
      <c r="R1186" s="24">
        <v>214.4</v>
      </c>
      <c r="S1186" s="18" t="s">
        <v>28</v>
      </c>
      <c r="T1186" s="25">
        <v>26</v>
      </c>
    </row>
    <row r="1187" spans="1:20" s="26" customFormat="1" x14ac:dyDescent="0.25">
      <c r="A1187" s="16">
        <v>230720</v>
      </c>
      <c r="B1187" s="30" t="s">
        <v>561</v>
      </c>
      <c r="C1187" s="20" t="s">
        <v>651</v>
      </c>
      <c r="D1187" s="20" t="s">
        <v>719</v>
      </c>
      <c r="E1187" s="20" t="s">
        <v>3876</v>
      </c>
      <c r="F1187" s="20" t="s">
        <v>3877</v>
      </c>
      <c r="G1187" s="21">
        <v>13.4</v>
      </c>
      <c r="H1187" s="16">
        <v>16</v>
      </c>
      <c r="I1187" s="16"/>
      <c r="J1187" s="17">
        <v>214.4</v>
      </c>
      <c r="K1187" s="22"/>
      <c r="L1187" s="23"/>
      <c r="M1187" s="23">
        <v>0</v>
      </c>
      <c r="N1187" s="19">
        <v>26.8</v>
      </c>
      <c r="O1187" s="19">
        <v>-67</v>
      </c>
      <c r="P1187" s="48">
        <v>67</v>
      </c>
      <c r="Q1187" s="17">
        <v>0</v>
      </c>
      <c r="R1187" s="24">
        <v>214.4</v>
      </c>
      <c r="S1187" s="18" t="s">
        <v>28</v>
      </c>
      <c r="T1187" s="25">
        <v>26</v>
      </c>
    </row>
    <row r="1188" spans="1:20" s="26" customFormat="1" x14ac:dyDescent="0.25">
      <c r="A1188" s="16">
        <v>230724</v>
      </c>
      <c r="B1188" s="30" t="s">
        <v>563</v>
      </c>
      <c r="C1188" s="20" t="s">
        <v>651</v>
      </c>
      <c r="D1188" s="20" t="s">
        <v>719</v>
      </c>
      <c r="E1188" s="20" t="s">
        <v>3878</v>
      </c>
      <c r="F1188" s="20" t="s">
        <v>3879</v>
      </c>
      <c r="G1188" s="21">
        <v>13.4</v>
      </c>
      <c r="H1188" s="16">
        <v>16</v>
      </c>
      <c r="I1188" s="16"/>
      <c r="J1188" s="17">
        <v>214.4</v>
      </c>
      <c r="K1188" s="22"/>
      <c r="L1188" s="23"/>
      <c r="M1188" s="23">
        <v>0</v>
      </c>
      <c r="N1188" s="19">
        <v>26.8</v>
      </c>
      <c r="O1188" s="19">
        <v>-67</v>
      </c>
      <c r="P1188" s="48">
        <v>67</v>
      </c>
      <c r="Q1188" s="17">
        <v>0</v>
      </c>
      <c r="R1188" s="24">
        <v>214.4</v>
      </c>
      <c r="S1188" s="18" t="s">
        <v>28</v>
      </c>
      <c r="T1188" s="25">
        <v>26</v>
      </c>
    </row>
    <row r="1189" spans="1:20" s="26" customFormat="1" x14ac:dyDescent="0.25">
      <c r="A1189" s="16">
        <v>230728</v>
      </c>
      <c r="B1189" s="30" t="s">
        <v>564</v>
      </c>
      <c r="C1189" s="20" t="s">
        <v>651</v>
      </c>
      <c r="D1189" s="20" t="s">
        <v>719</v>
      </c>
      <c r="E1189" s="20" t="s">
        <v>3880</v>
      </c>
      <c r="F1189" s="20" t="s">
        <v>3881</v>
      </c>
      <c r="G1189" s="21">
        <v>13.4</v>
      </c>
      <c r="H1189" s="16">
        <v>16</v>
      </c>
      <c r="I1189" s="16"/>
      <c r="J1189" s="17">
        <v>214.4</v>
      </c>
      <c r="K1189" s="22"/>
      <c r="L1189" s="23"/>
      <c r="M1189" s="23">
        <v>0</v>
      </c>
      <c r="N1189" s="19">
        <v>26.8</v>
      </c>
      <c r="O1189" s="19">
        <v>-67</v>
      </c>
      <c r="P1189" s="48">
        <v>67</v>
      </c>
      <c r="Q1189" s="17">
        <v>0</v>
      </c>
      <c r="R1189" s="24">
        <v>214.4</v>
      </c>
      <c r="S1189" s="18" t="s">
        <v>28</v>
      </c>
      <c r="T1189" s="25">
        <v>26</v>
      </c>
    </row>
    <row r="1190" spans="1:20" s="26" customFormat="1" x14ac:dyDescent="0.25">
      <c r="A1190" s="16">
        <v>230729</v>
      </c>
      <c r="B1190" s="30" t="s">
        <v>565</v>
      </c>
      <c r="C1190" s="20" t="s">
        <v>651</v>
      </c>
      <c r="D1190" s="20" t="s">
        <v>719</v>
      </c>
      <c r="E1190" s="20" t="s">
        <v>3882</v>
      </c>
      <c r="F1190" s="20" t="s">
        <v>3883</v>
      </c>
      <c r="G1190" s="21">
        <v>13.4</v>
      </c>
      <c r="H1190" s="16">
        <v>16</v>
      </c>
      <c r="I1190" s="16">
        <v>1</v>
      </c>
      <c r="J1190" s="17">
        <v>201</v>
      </c>
      <c r="K1190" s="22"/>
      <c r="L1190" s="23"/>
      <c r="M1190" s="23">
        <v>0</v>
      </c>
      <c r="N1190" s="19">
        <v>26.8</v>
      </c>
      <c r="O1190" s="19">
        <v>-67</v>
      </c>
      <c r="P1190" s="48">
        <v>67</v>
      </c>
      <c r="Q1190" s="17">
        <v>0</v>
      </c>
      <c r="R1190" s="24">
        <v>201</v>
      </c>
      <c r="S1190" s="18" t="s">
        <v>28</v>
      </c>
      <c r="T1190" s="25">
        <v>26</v>
      </c>
    </row>
    <row r="1191" spans="1:20" s="26" customFormat="1" x14ac:dyDescent="0.25">
      <c r="A1191" s="16">
        <v>230736</v>
      </c>
      <c r="B1191" s="30" t="s">
        <v>567</v>
      </c>
      <c r="C1191" s="20" t="s">
        <v>651</v>
      </c>
      <c r="D1191" s="20" t="s">
        <v>719</v>
      </c>
      <c r="E1191" s="20" t="s">
        <v>3884</v>
      </c>
      <c r="F1191" s="20" t="s">
        <v>3885</v>
      </c>
      <c r="G1191" s="21">
        <v>13.4</v>
      </c>
      <c r="H1191" s="16">
        <v>16</v>
      </c>
      <c r="I1191" s="16"/>
      <c r="J1191" s="17">
        <v>214.4</v>
      </c>
      <c r="K1191" s="22"/>
      <c r="L1191" s="23">
        <v>115.5</v>
      </c>
      <c r="M1191" s="23">
        <v>115.5</v>
      </c>
      <c r="N1191" s="19">
        <v>26.8</v>
      </c>
      <c r="O1191" s="19">
        <v>48.5</v>
      </c>
      <c r="P1191" s="48">
        <v>67</v>
      </c>
      <c r="Q1191" s="17">
        <v>48.5</v>
      </c>
      <c r="R1191" s="24">
        <v>165.9</v>
      </c>
      <c r="S1191" s="18" t="s">
        <v>11</v>
      </c>
      <c r="T1191" s="25">
        <v>26</v>
      </c>
    </row>
    <row r="1192" spans="1:20" s="26" customFormat="1" x14ac:dyDescent="0.25">
      <c r="A1192" s="16">
        <v>230739</v>
      </c>
      <c r="B1192" s="30" t="s">
        <v>568</v>
      </c>
      <c r="C1192" s="20" t="s">
        <v>651</v>
      </c>
      <c r="D1192" s="20" t="s">
        <v>719</v>
      </c>
      <c r="E1192" s="20" t="s">
        <v>3886</v>
      </c>
      <c r="F1192" s="20" t="s">
        <v>3887</v>
      </c>
      <c r="G1192" s="21">
        <v>13.4</v>
      </c>
      <c r="H1192" s="16">
        <v>16</v>
      </c>
      <c r="I1192" s="16"/>
      <c r="J1192" s="17">
        <v>214.4</v>
      </c>
      <c r="K1192" s="22"/>
      <c r="L1192" s="23"/>
      <c r="M1192" s="23">
        <v>0</v>
      </c>
      <c r="N1192" s="19">
        <v>26.8</v>
      </c>
      <c r="O1192" s="19">
        <v>-67</v>
      </c>
      <c r="P1192" s="48">
        <v>67</v>
      </c>
      <c r="Q1192" s="17">
        <v>0</v>
      </c>
      <c r="R1192" s="24">
        <v>214.4</v>
      </c>
      <c r="S1192" s="18" t="s">
        <v>28</v>
      </c>
      <c r="T1192" s="25">
        <v>26</v>
      </c>
    </row>
    <row r="1193" spans="1:20" s="26" customFormat="1" x14ac:dyDescent="0.25">
      <c r="A1193" s="16">
        <v>230741</v>
      </c>
      <c r="B1193" s="30" t="s">
        <v>569</v>
      </c>
      <c r="C1193" s="20" t="s">
        <v>651</v>
      </c>
      <c r="D1193" s="20" t="s">
        <v>719</v>
      </c>
      <c r="E1193" s="20" t="s">
        <v>3888</v>
      </c>
      <c r="F1193" s="20" t="s">
        <v>3889</v>
      </c>
      <c r="G1193" s="21">
        <v>13.4</v>
      </c>
      <c r="H1193" s="16">
        <v>16</v>
      </c>
      <c r="I1193" s="16"/>
      <c r="J1193" s="17">
        <v>214.4</v>
      </c>
      <c r="K1193" s="22"/>
      <c r="L1193" s="23"/>
      <c r="M1193" s="23">
        <v>0</v>
      </c>
      <c r="N1193" s="19">
        <v>26.8</v>
      </c>
      <c r="O1193" s="19">
        <v>-67</v>
      </c>
      <c r="P1193" s="48">
        <v>67</v>
      </c>
      <c r="Q1193" s="17">
        <v>0</v>
      </c>
      <c r="R1193" s="24">
        <v>214.4</v>
      </c>
      <c r="S1193" s="18" t="s">
        <v>28</v>
      </c>
      <c r="T1193" s="25">
        <v>26</v>
      </c>
    </row>
    <row r="1194" spans="1:20" s="26" customFormat="1" x14ac:dyDescent="0.25">
      <c r="A1194" s="16">
        <v>230743</v>
      </c>
      <c r="B1194" s="30" t="s">
        <v>570</v>
      </c>
      <c r="C1194" s="20" t="s">
        <v>651</v>
      </c>
      <c r="D1194" s="20" t="s">
        <v>719</v>
      </c>
      <c r="E1194" s="20" t="s">
        <v>3890</v>
      </c>
      <c r="F1194" s="20" t="s">
        <v>3891</v>
      </c>
      <c r="G1194" s="21">
        <v>13.4</v>
      </c>
      <c r="H1194" s="16">
        <v>16</v>
      </c>
      <c r="I1194" s="16"/>
      <c r="J1194" s="17">
        <v>214.4</v>
      </c>
      <c r="K1194" s="22"/>
      <c r="L1194" s="23"/>
      <c r="M1194" s="23">
        <v>0</v>
      </c>
      <c r="N1194" s="19">
        <v>26.8</v>
      </c>
      <c r="O1194" s="19">
        <v>-67</v>
      </c>
      <c r="P1194" s="48">
        <v>67</v>
      </c>
      <c r="Q1194" s="17">
        <v>0</v>
      </c>
      <c r="R1194" s="24">
        <v>214.4</v>
      </c>
      <c r="S1194" s="18" t="s">
        <v>28</v>
      </c>
      <c r="T1194" s="25">
        <v>26</v>
      </c>
    </row>
    <row r="1195" spans="1:20" s="26" customFormat="1" x14ac:dyDescent="0.25">
      <c r="A1195" s="16">
        <v>230747</v>
      </c>
      <c r="B1195" s="30" t="s">
        <v>571</v>
      </c>
      <c r="C1195" s="20" t="s">
        <v>651</v>
      </c>
      <c r="D1195" s="20" t="s">
        <v>719</v>
      </c>
      <c r="E1195" s="20" t="s">
        <v>3892</v>
      </c>
      <c r="F1195" s="20" t="s">
        <v>3893</v>
      </c>
      <c r="G1195" s="21">
        <v>13.4</v>
      </c>
      <c r="H1195" s="16">
        <v>16</v>
      </c>
      <c r="I1195" s="16"/>
      <c r="J1195" s="17">
        <v>214.4</v>
      </c>
      <c r="K1195" s="22"/>
      <c r="L1195" s="23"/>
      <c r="M1195" s="23">
        <v>0</v>
      </c>
      <c r="N1195" s="19">
        <v>26.8</v>
      </c>
      <c r="O1195" s="19">
        <v>-67</v>
      </c>
      <c r="P1195" s="48">
        <v>67</v>
      </c>
      <c r="Q1195" s="17">
        <v>0</v>
      </c>
      <c r="R1195" s="24">
        <v>214.4</v>
      </c>
      <c r="S1195" s="18" t="s">
        <v>28</v>
      </c>
      <c r="T1195" s="25">
        <v>26</v>
      </c>
    </row>
    <row r="1196" spans="1:20" s="26" customFormat="1" x14ac:dyDescent="0.25">
      <c r="A1196" s="16">
        <v>230751</v>
      </c>
      <c r="B1196" s="30" t="s">
        <v>573</v>
      </c>
      <c r="C1196" s="20" t="s">
        <v>651</v>
      </c>
      <c r="D1196" s="20" t="s">
        <v>719</v>
      </c>
      <c r="E1196" s="20" t="s">
        <v>3894</v>
      </c>
      <c r="F1196" s="20" t="s">
        <v>3895</v>
      </c>
      <c r="G1196" s="21">
        <v>13.4</v>
      </c>
      <c r="H1196" s="16">
        <v>16</v>
      </c>
      <c r="I1196" s="16"/>
      <c r="J1196" s="17">
        <v>214.4</v>
      </c>
      <c r="K1196" s="22"/>
      <c r="L1196" s="23"/>
      <c r="M1196" s="23">
        <v>0</v>
      </c>
      <c r="N1196" s="19">
        <v>26.8</v>
      </c>
      <c r="O1196" s="19">
        <v>-67</v>
      </c>
      <c r="P1196" s="48">
        <v>67</v>
      </c>
      <c r="Q1196" s="17">
        <v>0</v>
      </c>
      <c r="R1196" s="24">
        <v>214.4</v>
      </c>
      <c r="S1196" s="18" t="s">
        <v>28</v>
      </c>
      <c r="T1196" s="25">
        <v>26</v>
      </c>
    </row>
    <row r="1197" spans="1:20" s="26" customFormat="1" x14ac:dyDescent="0.25">
      <c r="A1197" s="16">
        <v>230752</v>
      </c>
      <c r="B1197" s="30" t="s">
        <v>574</v>
      </c>
      <c r="C1197" s="20" t="s">
        <v>651</v>
      </c>
      <c r="D1197" s="20" t="s">
        <v>719</v>
      </c>
      <c r="E1197" s="20" t="s">
        <v>3896</v>
      </c>
      <c r="F1197" s="20" t="s">
        <v>3897</v>
      </c>
      <c r="G1197" s="21">
        <v>13.4</v>
      </c>
      <c r="H1197" s="16">
        <v>16</v>
      </c>
      <c r="I1197" s="16"/>
      <c r="J1197" s="17">
        <v>214.4</v>
      </c>
      <c r="K1197" s="22"/>
      <c r="L1197" s="23">
        <v>17.850000000000001</v>
      </c>
      <c r="M1197" s="23">
        <v>17.850000000000001</v>
      </c>
      <c r="N1197" s="19">
        <v>26.8</v>
      </c>
      <c r="O1197" s="19">
        <v>-49.15</v>
      </c>
      <c r="P1197" s="48">
        <v>67</v>
      </c>
      <c r="Q1197" s="17">
        <v>0</v>
      </c>
      <c r="R1197" s="24">
        <v>214.4</v>
      </c>
      <c r="S1197" s="18" t="s">
        <v>28</v>
      </c>
      <c r="T1197" s="25">
        <v>26</v>
      </c>
    </row>
    <row r="1198" spans="1:20" s="26" customFormat="1" x14ac:dyDescent="0.25">
      <c r="A1198" s="16">
        <v>230753</v>
      </c>
      <c r="B1198" s="30" t="s">
        <v>575</v>
      </c>
      <c r="C1198" s="20" t="s">
        <v>651</v>
      </c>
      <c r="D1198" s="20" t="s">
        <v>719</v>
      </c>
      <c r="E1198" s="20" t="s">
        <v>3898</v>
      </c>
      <c r="F1198" s="20" t="s">
        <v>3899</v>
      </c>
      <c r="G1198" s="21">
        <v>13.4</v>
      </c>
      <c r="H1198" s="16">
        <v>16</v>
      </c>
      <c r="I1198" s="16"/>
      <c r="J1198" s="17">
        <v>214.4</v>
      </c>
      <c r="K1198" s="22"/>
      <c r="L1198" s="23"/>
      <c r="M1198" s="23">
        <v>0</v>
      </c>
      <c r="N1198" s="19">
        <v>26.8</v>
      </c>
      <c r="O1198" s="19">
        <v>-67</v>
      </c>
      <c r="P1198" s="48">
        <v>67</v>
      </c>
      <c r="Q1198" s="17">
        <v>0</v>
      </c>
      <c r="R1198" s="24">
        <v>214.4</v>
      </c>
      <c r="S1198" s="18" t="s">
        <v>28</v>
      </c>
      <c r="T1198" s="25">
        <v>26</v>
      </c>
    </row>
    <row r="1199" spans="1:20" s="26" customFormat="1" x14ac:dyDescent="0.25">
      <c r="A1199" s="16">
        <v>230755</v>
      </c>
      <c r="B1199" s="30" t="s">
        <v>576</v>
      </c>
      <c r="C1199" s="20" t="s">
        <v>651</v>
      </c>
      <c r="D1199" s="20" t="s">
        <v>719</v>
      </c>
      <c r="E1199" s="20" t="s">
        <v>3900</v>
      </c>
      <c r="F1199" s="20" t="s">
        <v>3901</v>
      </c>
      <c r="G1199" s="21">
        <v>13.4</v>
      </c>
      <c r="H1199" s="16">
        <v>16</v>
      </c>
      <c r="I1199" s="16"/>
      <c r="J1199" s="17">
        <v>214.4</v>
      </c>
      <c r="K1199" s="22"/>
      <c r="L1199" s="23">
        <v>84.7</v>
      </c>
      <c r="M1199" s="23">
        <v>84.7</v>
      </c>
      <c r="N1199" s="19">
        <v>26.8</v>
      </c>
      <c r="O1199" s="19">
        <v>17.700000000000003</v>
      </c>
      <c r="P1199" s="48">
        <v>67</v>
      </c>
      <c r="Q1199" s="17">
        <v>0</v>
      </c>
      <c r="R1199" s="24">
        <v>214.4</v>
      </c>
      <c r="S1199" s="18" t="s">
        <v>28</v>
      </c>
      <c r="T1199" s="25">
        <v>26</v>
      </c>
    </row>
    <row r="1200" spans="1:20" s="26" customFormat="1" x14ac:dyDescent="0.25">
      <c r="A1200" s="16">
        <v>230756</v>
      </c>
      <c r="B1200" s="30" t="s">
        <v>577</v>
      </c>
      <c r="C1200" s="20" t="s">
        <v>651</v>
      </c>
      <c r="D1200" s="20" t="s">
        <v>716</v>
      </c>
      <c r="E1200" s="20" t="s">
        <v>3902</v>
      </c>
      <c r="F1200" s="20" t="s">
        <v>3903</v>
      </c>
      <c r="G1200" s="21">
        <v>13.4</v>
      </c>
      <c r="H1200" s="16">
        <v>16</v>
      </c>
      <c r="I1200" s="16"/>
      <c r="J1200" s="17">
        <v>214.4</v>
      </c>
      <c r="K1200" s="22"/>
      <c r="L1200" s="23"/>
      <c r="M1200" s="23">
        <v>0</v>
      </c>
      <c r="N1200" s="19">
        <v>26.8</v>
      </c>
      <c r="O1200" s="19">
        <v>-67</v>
      </c>
      <c r="P1200" s="48">
        <v>67</v>
      </c>
      <c r="Q1200" s="17">
        <v>0</v>
      </c>
      <c r="R1200" s="24">
        <v>214.4</v>
      </c>
      <c r="S1200" s="18" t="s">
        <v>28</v>
      </c>
      <c r="T1200" s="25">
        <v>26</v>
      </c>
    </row>
    <row r="1201" spans="1:20" s="26" customFormat="1" x14ac:dyDescent="0.25">
      <c r="A1201" s="16">
        <v>230758</v>
      </c>
      <c r="B1201" s="30" t="s">
        <v>578</v>
      </c>
      <c r="C1201" s="20" t="s">
        <v>651</v>
      </c>
      <c r="D1201" s="20" t="s">
        <v>716</v>
      </c>
      <c r="E1201" s="20" t="s">
        <v>3904</v>
      </c>
      <c r="F1201" s="20" t="s">
        <v>3905</v>
      </c>
      <c r="G1201" s="21">
        <v>13.4</v>
      </c>
      <c r="H1201" s="16">
        <v>16</v>
      </c>
      <c r="I1201" s="16"/>
      <c r="J1201" s="17">
        <v>214.4</v>
      </c>
      <c r="K1201" s="22"/>
      <c r="L1201" s="23"/>
      <c r="M1201" s="23">
        <v>0</v>
      </c>
      <c r="N1201" s="19">
        <v>26.8</v>
      </c>
      <c r="O1201" s="19">
        <v>-67</v>
      </c>
      <c r="P1201" s="48">
        <v>67</v>
      </c>
      <c r="Q1201" s="17">
        <v>0</v>
      </c>
      <c r="R1201" s="24">
        <v>214.4</v>
      </c>
      <c r="S1201" s="18" t="s">
        <v>28</v>
      </c>
      <c r="T1201" s="25">
        <v>26</v>
      </c>
    </row>
    <row r="1202" spans="1:20" s="26" customFormat="1" x14ac:dyDescent="0.25">
      <c r="A1202" s="16">
        <v>230759</v>
      </c>
      <c r="B1202" s="30" t="s">
        <v>579</v>
      </c>
      <c r="C1202" s="20" t="s">
        <v>651</v>
      </c>
      <c r="D1202" s="20" t="s">
        <v>716</v>
      </c>
      <c r="E1202" s="20" t="s">
        <v>3906</v>
      </c>
      <c r="F1202" s="20" t="s">
        <v>3907</v>
      </c>
      <c r="G1202" s="21">
        <v>13.4</v>
      </c>
      <c r="H1202" s="16">
        <v>16</v>
      </c>
      <c r="I1202" s="16"/>
      <c r="J1202" s="17">
        <v>214.4</v>
      </c>
      <c r="K1202" s="22"/>
      <c r="L1202" s="23"/>
      <c r="M1202" s="23">
        <v>0</v>
      </c>
      <c r="N1202" s="19">
        <v>26.8</v>
      </c>
      <c r="O1202" s="19">
        <v>-67</v>
      </c>
      <c r="P1202" s="48">
        <v>67</v>
      </c>
      <c r="Q1202" s="17">
        <v>0</v>
      </c>
      <c r="R1202" s="24">
        <v>214.4</v>
      </c>
      <c r="S1202" s="18" t="s">
        <v>28</v>
      </c>
      <c r="T1202" s="25">
        <v>26</v>
      </c>
    </row>
    <row r="1203" spans="1:20" s="26" customFormat="1" x14ac:dyDescent="0.25">
      <c r="A1203" s="16">
        <v>230760</v>
      </c>
      <c r="B1203" s="30" t="s">
        <v>580</v>
      </c>
      <c r="C1203" s="20" t="s">
        <v>651</v>
      </c>
      <c r="D1203" s="20" t="s">
        <v>716</v>
      </c>
      <c r="E1203" s="20" t="s">
        <v>3908</v>
      </c>
      <c r="F1203" s="20" t="s">
        <v>3909</v>
      </c>
      <c r="G1203" s="21">
        <v>13.4</v>
      </c>
      <c r="H1203" s="16">
        <v>16</v>
      </c>
      <c r="I1203" s="16"/>
      <c r="J1203" s="17">
        <v>214.4</v>
      </c>
      <c r="K1203" s="22"/>
      <c r="L1203" s="23"/>
      <c r="M1203" s="23">
        <v>0</v>
      </c>
      <c r="N1203" s="19">
        <v>26.8</v>
      </c>
      <c r="O1203" s="19">
        <v>-67</v>
      </c>
      <c r="P1203" s="48">
        <v>67</v>
      </c>
      <c r="Q1203" s="17">
        <v>0</v>
      </c>
      <c r="R1203" s="24">
        <v>214.4</v>
      </c>
      <c r="S1203" s="18" t="s">
        <v>28</v>
      </c>
      <c r="T1203" s="25">
        <v>26</v>
      </c>
    </row>
    <row r="1204" spans="1:20" s="26" customFormat="1" x14ac:dyDescent="0.25">
      <c r="A1204" s="16">
        <v>230764</v>
      </c>
      <c r="B1204" s="30" t="s">
        <v>581</v>
      </c>
      <c r="C1204" s="20" t="s">
        <v>651</v>
      </c>
      <c r="D1204" s="20" t="s">
        <v>719</v>
      </c>
      <c r="E1204" s="20" t="s">
        <v>3910</v>
      </c>
      <c r="F1204" s="20" t="s">
        <v>3911</v>
      </c>
      <c r="G1204" s="21">
        <v>13.4</v>
      </c>
      <c r="H1204" s="16">
        <v>16</v>
      </c>
      <c r="I1204" s="16"/>
      <c r="J1204" s="17">
        <v>214.4</v>
      </c>
      <c r="K1204" s="22"/>
      <c r="L1204" s="23"/>
      <c r="M1204" s="23">
        <v>0</v>
      </c>
      <c r="N1204" s="19">
        <v>26.8</v>
      </c>
      <c r="O1204" s="19">
        <v>-67</v>
      </c>
      <c r="P1204" s="48">
        <v>67</v>
      </c>
      <c r="Q1204" s="17">
        <v>0</v>
      </c>
      <c r="R1204" s="24">
        <v>214.4</v>
      </c>
      <c r="S1204" s="18" t="s">
        <v>28</v>
      </c>
      <c r="T1204" s="25">
        <v>26</v>
      </c>
    </row>
    <row r="1205" spans="1:20" s="26" customFormat="1" x14ac:dyDescent="0.25">
      <c r="A1205" s="16">
        <v>230774</v>
      </c>
      <c r="B1205" s="30" t="s">
        <v>582</v>
      </c>
      <c r="C1205" s="20" t="s">
        <v>651</v>
      </c>
      <c r="D1205" s="20" t="s">
        <v>716</v>
      </c>
      <c r="E1205" s="20" t="s">
        <v>3912</v>
      </c>
      <c r="F1205" s="20" t="s">
        <v>3913</v>
      </c>
      <c r="G1205" s="21">
        <v>13.4</v>
      </c>
      <c r="H1205" s="16">
        <v>16</v>
      </c>
      <c r="I1205" s="16"/>
      <c r="J1205" s="17">
        <v>214.4</v>
      </c>
      <c r="K1205" s="22"/>
      <c r="L1205" s="23"/>
      <c r="M1205" s="23">
        <v>0</v>
      </c>
      <c r="N1205" s="19">
        <v>26.8</v>
      </c>
      <c r="O1205" s="19">
        <v>-67</v>
      </c>
      <c r="P1205" s="48">
        <v>67</v>
      </c>
      <c r="Q1205" s="17">
        <v>0</v>
      </c>
      <c r="R1205" s="24">
        <v>214.4</v>
      </c>
      <c r="S1205" s="18" t="s">
        <v>28</v>
      </c>
      <c r="T1205" s="25">
        <v>26</v>
      </c>
    </row>
    <row r="1206" spans="1:20" s="26" customFormat="1" x14ac:dyDescent="0.25">
      <c r="A1206" s="16">
        <v>231005</v>
      </c>
      <c r="B1206" s="30" t="s">
        <v>1523</v>
      </c>
      <c r="C1206" s="20" t="s">
        <v>651</v>
      </c>
      <c r="D1206" s="20" t="s">
        <v>716</v>
      </c>
      <c r="E1206" s="20" t="s">
        <v>3914</v>
      </c>
      <c r="F1206" s="20" t="s">
        <v>3915</v>
      </c>
      <c r="G1206" s="21">
        <v>13.4</v>
      </c>
      <c r="H1206" s="16">
        <v>16</v>
      </c>
      <c r="I1206" s="16"/>
      <c r="J1206" s="17">
        <v>214.4</v>
      </c>
      <c r="K1206" s="22"/>
      <c r="L1206" s="23"/>
      <c r="M1206" s="23">
        <v>0</v>
      </c>
      <c r="N1206" s="19">
        <v>26.8</v>
      </c>
      <c r="O1206" s="19">
        <v>-67</v>
      </c>
      <c r="P1206" s="48">
        <v>67</v>
      </c>
      <c r="Q1206" s="17">
        <v>0</v>
      </c>
      <c r="R1206" s="24">
        <v>214.4</v>
      </c>
      <c r="S1206" s="18" t="s">
        <v>28</v>
      </c>
      <c r="T1206" s="25">
        <v>26</v>
      </c>
    </row>
    <row r="1207" spans="1:20" s="26" customFormat="1" x14ac:dyDescent="0.25">
      <c r="A1207" s="16">
        <v>231009</v>
      </c>
      <c r="B1207" s="30" t="s">
        <v>585</v>
      </c>
      <c r="C1207" s="20" t="s">
        <v>651</v>
      </c>
      <c r="D1207" s="20" t="s">
        <v>716</v>
      </c>
      <c r="E1207" s="20" t="s">
        <v>3916</v>
      </c>
      <c r="F1207" s="20" t="s">
        <v>3917</v>
      </c>
      <c r="G1207" s="21">
        <v>13.4</v>
      </c>
      <c r="H1207" s="16">
        <v>16</v>
      </c>
      <c r="I1207" s="16"/>
      <c r="J1207" s="17">
        <v>214.4</v>
      </c>
      <c r="K1207" s="22"/>
      <c r="L1207" s="23"/>
      <c r="M1207" s="23">
        <v>0</v>
      </c>
      <c r="N1207" s="19">
        <v>26.8</v>
      </c>
      <c r="O1207" s="19">
        <v>-67</v>
      </c>
      <c r="P1207" s="48">
        <v>67</v>
      </c>
      <c r="Q1207" s="17">
        <v>0</v>
      </c>
      <c r="R1207" s="24">
        <v>214.4</v>
      </c>
      <c r="S1207" s="18" t="s">
        <v>28</v>
      </c>
      <c r="T1207" s="25">
        <v>26</v>
      </c>
    </row>
    <row r="1208" spans="1:20" s="26" customFormat="1" x14ac:dyDescent="0.25">
      <c r="A1208" s="16">
        <v>231013</v>
      </c>
      <c r="B1208" s="30" t="s">
        <v>586</v>
      </c>
      <c r="C1208" s="20" t="s">
        <v>651</v>
      </c>
      <c r="D1208" s="20" t="s">
        <v>719</v>
      </c>
      <c r="E1208" s="20" t="s">
        <v>3918</v>
      </c>
      <c r="F1208" s="20" t="s">
        <v>3919</v>
      </c>
      <c r="G1208" s="21">
        <v>13.4</v>
      </c>
      <c r="H1208" s="16">
        <v>16</v>
      </c>
      <c r="I1208" s="16"/>
      <c r="J1208" s="17">
        <v>214.4</v>
      </c>
      <c r="K1208" s="22"/>
      <c r="L1208" s="23"/>
      <c r="M1208" s="23">
        <v>0</v>
      </c>
      <c r="N1208" s="19">
        <v>26.8</v>
      </c>
      <c r="O1208" s="19">
        <v>-67</v>
      </c>
      <c r="P1208" s="48">
        <v>67</v>
      </c>
      <c r="Q1208" s="17">
        <v>0</v>
      </c>
      <c r="R1208" s="24">
        <v>214.4</v>
      </c>
      <c r="S1208" s="18" t="s">
        <v>28</v>
      </c>
      <c r="T1208" s="25">
        <v>26</v>
      </c>
    </row>
    <row r="1209" spans="1:20" s="26" customFormat="1" x14ac:dyDescent="0.25">
      <c r="A1209" s="16">
        <v>231021</v>
      </c>
      <c r="B1209" s="30" t="s">
        <v>1524</v>
      </c>
      <c r="C1209" s="20" t="s">
        <v>651</v>
      </c>
      <c r="D1209" s="20" t="s">
        <v>717</v>
      </c>
      <c r="E1209" s="20" t="s">
        <v>3920</v>
      </c>
      <c r="F1209" s="20" t="s">
        <v>3921</v>
      </c>
      <c r="G1209" s="21">
        <v>18.8</v>
      </c>
      <c r="H1209" s="16">
        <v>16</v>
      </c>
      <c r="I1209" s="16"/>
      <c r="J1209" s="17">
        <v>300.8</v>
      </c>
      <c r="K1209" s="22"/>
      <c r="L1209" s="23"/>
      <c r="M1209" s="23">
        <v>0</v>
      </c>
      <c r="N1209" s="19">
        <v>37.6</v>
      </c>
      <c r="O1209" s="19">
        <v>-94</v>
      </c>
      <c r="P1209" s="48">
        <v>94</v>
      </c>
      <c r="Q1209" s="17">
        <v>0</v>
      </c>
      <c r="R1209" s="24">
        <v>300.8</v>
      </c>
      <c r="S1209" s="18" t="s">
        <v>28</v>
      </c>
      <c r="T1209" s="25">
        <v>26</v>
      </c>
    </row>
    <row r="1210" spans="1:20" s="26" customFormat="1" x14ac:dyDescent="0.25">
      <c r="A1210" s="16">
        <v>231023</v>
      </c>
      <c r="B1210" s="30" t="s">
        <v>195</v>
      </c>
      <c r="C1210" s="20" t="s">
        <v>651</v>
      </c>
      <c r="D1210" s="20" t="s">
        <v>719</v>
      </c>
      <c r="E1210" s="20" t="s">
        <v>3922</v>
      </c>
      <c r="F1210" s="20" t="s">
        <v>3923</v>
      </c>
      <c r="G1210" s="21">
        <v>18.8</v>
      </c>
      <c r="H1210" s="16">
        <v>16</v>
      </c>
      <c r="I1210" s="16"/>
      <c r="J1210" s="17">
        <v>300.8</v>
      </c>
      <c r="K1210" s="22"/>
      <c r="L1210" s="23">
        <v>38.65</v>
      </c>
      <c r="M1210" s="23">
        <v>38.65</v>
      </c>
      <c r="N1210" s="19">
        <v>37.6</v>
      </c>
      <c r="O1210" s="19">
        <v>-55.35</v>
      </c>
      <c r="P1210" s="48">
        <v>94</v>
      </c>
      <c r="Q1210" s="17">
        <v>0</v>
      </c>
      <c r="R1210" s="24">
        <v>300.8</v>
      </c>
      <c r="S1210" s="18" t="s">
        <v>28</v>
      </c>
      <c r="T1210" s="25">
        <v>26</v>
      </c>
    </row>
    <row r="1211" spans="1:20" s="26" customFormat="1" x14ac:dyDescent="0.25">
      <c r="A1211" s="16">
        <v>231093</v>
      </c>
      <c r="B1211" s="30" t="s">
        <v>1525</v>
      </c>
      <c r="C1211" s="20" t="s">
        <v>651</v>
      </c>
      <c r="D1211" s="20" t="s">
        <v>716</v>
      </c>
      <c r="E1211" s="20" t="s">
        <v>3924</v>
      </c>
      <c r="F1211" s="20" t="s">
        <v>3925</v>
      </c>
      <c r="G1211" s="21">
        <v>13.4</v>
      </c>
      <c r="H1211" s="16">
        <v>16</v>
      </c>
      <c r="I1211" s="16"/>
      <c r="J1211" s="17">
        <v>214.4</v>
      </c>
      <c r="K1211" s="22"/>
      <c r="L1211" s="23"/>
      <c r="M1211" s="23">
        <v>0</v>
      </c>
      <c r="N1211" s="19">
        <v>26.8</v>
      </c>
      <c r="O1211" s="19">
        <v>-67</v>
      </c>
      <c r="P1211" s="48">
        <v>67</v>
      </c>
      <c r="Q1211" s="17">
        <v>0</v>
      </c>
      <c r="R1211" s="24">
        <v>214.4</v>
      </c>
      <c r="S1211" s="18" t="s">
        <v>28</v>
      </c>
      <c r="T1211" s="25">
        <v>26</v>
      </c>
    </row>
    <row r="1212" spans="1:20" s="26" customFormat="1" x14ac:dyDescent="0.25">
      <c r="A1212" s="16">
        <v>231180</v>
      </c>
      <c r="B1212" s="30" t="s">
        <v>775</v>
      </c>
      <c r="C1212" s="20" t="s">
        <v>651</v>
      </c>
      <c r="D1212" s="20" t="s">
        <v>719</v>
      </c>
      <c r="E1212" s="20" t="s">
        <v>3926</v>
      </c>
      <c r="F1212" s="20" t="s">
        <v>3927</v>
      </c>
      <c r="G1212" s="21">
        <v>18.8</v>
      </c>
      <c r="H1212" s="16">
        <v>16</v>
      </c>
      <c r="I1212" s="16"/>
      <c r="J1212" s="17">
        <v>300.8</v>
      </c>
      <c r="K1212" s="22"/>
      <c r="L1212" s="23">
        <v>282</v>
      </c>
      <c r="M1212" s="23">
        <v>282</v>
      </c>
      <c r="N1212" s="19">
        <v>37.6</v>
      </c>
      <c r="O1212" s="19">
        <v>188</v>
      </c>
      <c r="P1212" s="48">
        <v>94</v>
      </c>
      <c r="Q1212" s="17">
        <v>188</v>
      </c>
      <c r="R1212" s="24">
        <v>112.80000000000001</v>
      </c>
      <c r="S1212" s="18" t="s">
        <v>11</v>
      </c>
      <c r="T1212" s="25">
        <v>26</v>
      </c>
    </row>
    <row r="1213" spans="1:20" s="26" customFormat="1" x14ac:dyDescent="0.25">
      <c r="A1213" s="16">
        <v>231181</v>
      </c>
      <c r="B1213" s="30" t="s">
        <v>776</v>
      </c>
      <c r="C1213" s="20" t="s">
        <v>651</v>
      </c>
      <c r="D1213" s="20" t="s">
        <v>716</v>
      </c>
      <c r="E1213" s="20" t="s">
        <v>3928</v>
      </c>
      <c r="F1213" s="20" t="s">
        <v>3929</v>
      </c>
      <c r="G1213" s="21">
        <v>18.8</v>
      </c>
      <c r="H1213" s="16">
        <v>16</v>
      </c>
      <c r="I1213" s="16"/>
      <c r="J1213" s="17">
        <v>300.8</v>
      </c>
      <c r="K1213" s="22"/>
      <c r="L1213" s="23"/>
      <c r="M1213" s="23">
        <v>0</v>
      </c>
      <c r="N1213" s="19">
        <v>37.6</v>
      </c>
      <c r="O1213" s="19">
        <v>-94</v>
      </c>
      <c r="P1213" s="48">
        <v>94</v>
      </c>
      <c r="Q1213" s="17">
        <v>0</v>
      </c>
      <c r="R1213" s="24">
        <v>300.8</v>
      </c>
      <c r="S1213" s="18" t="s">
        <v>28</v>
      </c>
      <c r="T1213" s="25">
        <v>26</v>
      </c>
    </row>
    <row r="1214" spans="1:20" s="26" customFormat="1" x14ac:dyDescent="0.25">
      <c r="A1214" s="16">
        <v>231225</v>
      </c>
      <c r="B1214" s="30" t="s">
        <v>800</v>
      </c>
      <c r="C1214" s="20" t="s">
        <v>651</v>
      </c>
      <c r="D1214" s="20" t="s">
        <v>716</v>
      </c>
      <c r="E1214" s="20" t="s">
        <v>3930</v>
      </c>
      <c r="F1214" s="20" t="s">
        <v>3931</v>
      </c>
      <c r="G1214" s="21">
        <v>13.4</v>
      </c>
      <c r="H1214" s="16">
        <v>16</v>
      </c>
      <c r="I1214" s="16"/>
      <c r="J1214" s="17">
        <v>214.4</v>
      </c>
      <c r="K1214" s="22"/>
      <c r="L1214" s="23"/>
      <c r="M1214" s="23">
        <v>0</v>
      </c>
      <c r="N1214" s="19">
        <v>26.8</v>
      </c>
      <c r="O1214" s="19">
        <v>-67</v>
      </c>
      <c r="P1214" s="48">
        <v>67</v>
      </c>
      <c r="Q1214" s="17">
        <v>0</v>
      </c>
      <c r="R1214" s="24">
        <v>214.4</v>
      </c>
      <c r="S1214" s="18" t="s">
        <v>28</v>
      </c>
      <c r="T1214" s="25">
        <v>26</v>
      </c>
    </row>
    <row r="1215" spans="1:20" s="26" customFormat="1" x14ac:dyDescent="0.25">
      <c r="A1215" s="16">
        <v>231368</v>
      </c>
      <c r="B1215" s="30" t="s">
        <v>801</v>
      </c>
      <c r="C1215" s="20" t="s">
        <v>651</v>
      </c>
      <c r="D1215" s="20" t="s">
        <v>716</v>
      </c>
      <c r="E1215" s="20" t="s">
        <v>3932</v>
      </c>
      <c r="F1215" s="20" t="s">
        <v>3933</v>
      </c>
      <c r="G1215" s="21">
        <v>13.4</v>
      </c>
      <c r="H1215" s="16">
        <v>16</v>
      </c>
      <c r="I1215" s="16"/>
      <c r="J1215" s="17">
        <v>214.4</v>
      </c>
      <c r="K1215" s="22"/>
      <c r="L1215" s="23"/>
      <c r="M1215" s="23">
        <v>0</v>
      </c>
      <c r="N1215" s="19">
        <v>26.8</v>
      </c>
      <c r="O1215" s="19">
        <v>-67</v>
      </c>
      <c r="P1215" s="48">
        <v>67</v>
      </c>
      <c r="Q1215" s="17">
        <v>0</v>
      </c>
      <c r="R1215" s="24">
        <v>214.4</v>
      </c>
      <c r="S1215" s="18" t="s">
        <v>28</v>
      </c>
      <c r="T1215" s="25">
        <v>26</v>
      </c>
    </row>
    <row r="1216" spans="1:20" s="26" customFormat="1" x14ac:dyDescent="0.25">
      <c r="A1216" s="16">
        <v>231370</v>
      </c>
      <c r="B1216" s="30" t="s">
        <v>802</v>
      </c>
      <c r="C1216" s="20" t="s">
        <v>651</v>
      </c>
      <c r="D1216" s="20" t="s">
        <v>719</v>
      </c>
      <c r="E1216" s="20" t="s">
        <v>3934</v>
      </c>
      <c r="F1216" s="20" t="s">
        <v>3935</v>
      </c>
      <c r="G1216" s="21">
        <v>13.4</v>
      </c>
      <c r="H1216" s="16">
        <v>16</v>
      </c>
      <c r="I1216" s="16"/>
      <c r="J1216" s="17">
        <v>214.4</v>
      </c>
      <c r="K1216" s="22"/>
      <c r="L1216" s="23"/>
      <c r="M1216" s="23">
        <v>0</v>
      </c>
      <c r="N1216" s="19">
        <v>26.8</v>
      </c>
      <c r="O1216" s="19">
        <v>-67</v>
      </c>
      <c r="P1216" s="48">
        <v>67</v>
      </c>
      <c r="Q1216" s="17">
        <v>0</v>
      </c>
      <c r="R1216" s="24">
        <v>214.4</v>
      </c>
      <c r="S1216" s="18" t="s">
        <v>28</v>
      </c>
      <c r="T1216" s="25">
        <v>26</v>
      </c>
    </row>
    <row r="1217" spans="1:20" s="26" customFormat="1" x14ac:dyDescent="0.25">
      <c r="A1217" s="16">
        <v>231512</v>
      </c>
      <c r="B1217" s="30" t="s">
        <v>803</v>
      </c>
      <c r="C1217" s="20" t="s">
        <v>651</v>
      </c>
      <c r="D1217" s="20" t="s">
        <v>719</v>
      </c>
      <c r="E1217" s="20" t="s">
        <v>3936</v>
      </c>
      <c r="F1217" s="20" t="s">
        <v>3937</v>
      </c>
      <c r="G1217" s="21">
        <v>13.4</v>
      </c>
      <c r="H1217" s="16">
        <v>16</v>
      </c>
      <c r="I1217" s="16"/>
      <c r="J1217" s="17">
        <v>214.4</v>
      </c>
      <c r="K1217" s="22"/>
      <c r="L1217" s="23"/>
      <c r="M1217" s="23">
        <v>0</v>
      </c>
      <c r="N1217" s="19">
        <v>26.8</v>
      </c>
      <c r="O1217" s="19">
        <v>-67</v>
      </c>
      <c r="P1217" s="48">
        <v>67</v>
      </c>
      <c r="Q1217" s="17">
        <v>0</v>
      </c>
      <c r="R1217" s="24">
        <v>214.4</v>
      </c>
      <c r="S1217" s="18" t="s">
        <v>28</v>
      </c>
      <c r="T1217" s="25">
        <v>26</v>
      </c>
    </row>
    <row r="1218" spans="1:20" s="26" customFormat="1" x14ac:dyDescent="0.25">
      <c r="A1218" s="16">
        <v>231580</v>
      </c>
      <c r="B1218" s="30" t="s">
        <v>864</v>
      </c>
      <c r="C1218" s="20" t="s">
        <v>651</v>
      </c>
      <c r="D1218" s="20" t="s">
        <v>716</v>
      </c>
      <c r="E1218" s="20" t="s">
        <v>3938</v>
      </c>
      <c r="F1218" s="20" t="s">
        <v>3939</v>
      </c>
      <c r="G1218" s="21">
        <v>13.4</v>
      </c>
      <c r="H1218" s="16">
        <v>16</v>
      </c>
      <c r="I1218" s="16"/>
      <c r="J1218" s="17">
        <v>214.4</v>
      </c>
      <c r="K1218" s="22"/>
      <c r="L1218" s="23">
        <v>35.700000000000003</v>
      </c>
      <c r="M1218" s="23">
        <v>35.700000000000003</v>
      </c>
      <c r="N1218" s="19">
        <v>26.8</v>
      </c>
      <c r="O1218" s="19">
        <v>-31.299999999999997</v>
      </c>
      <c r="P1218" s="48">
        <v>67</v>
      </c>
      <c r="Q1218" s="17">
        <v>0</v>
      </c>
      <c r="R1218" s="24">
        <v>214.4</v>
      </c>
      <c r="S1218" s="18" t="s">
        <v>28</v>
      </c>
      <c r="T1218" s="25">
        <v>26</v>
      </c>
    </row>
    <row r="1219" spans="1:20" s="26" customFormat="1" x14ac:dyDescent="0.25">
      <c r="A1219" s="16">
        <v>231615</v>
      </c>
      <c r="B1219" s="30" t="s">
        <v>866</v>
      </c>
      <c r="C1219" s="20" t="s">
        <v>651</v>
      </c>
      <c r="D1219" s="20" t="s">
        <v>716</v>
      </c>
      <c r="E1219" s="20" t="s">
        <v>3940</v>
      </c>
      <c r="F1219" s="20" t="s">
        <v>3941</v>
      </c>
      <c r="G1219" s="21">
        <v>13.4</v>
      </c>
      <c r="H1219" s="16">
        <v>16</v>
      </c>
      <c r="I1219" s="16"/>
      <c r="J1219" s="17">
        <v>214.4</v>
      </c>
      <c r="K1219" s="22"/>
      <c r="L1219" s="23"/>
      <c r="M1219" s="23">
        <v>0</v>
      </c>
      <c r="N1219" s="19">
        <v>26.8</v>
      </c>
      <c r="O1219" s="19">
        <v>-67</v>
      </c>
      <c r="P1219" s="48">
        <v>67</v>
      </c>
      <c r="Q1219" s="17">
        <v>0</v>
      </c>
      <c r="R1219" s="24">
        <v>214.4</v>
      </c>
      <c r="S1219" s="18" t="s">
        <v>28</v>
      </c>
      <c r="T1219" s="25">
        <v>26</v>
      </c>
    </row>
    <row r="1220" spans="1:20" s="26" customFormat="1" x14ac:dyDescent="0.25">
      <c r="A1220" s="16">
        <v>231879</v>
      </c>
      <c r="B1220" s="30" t="s">
        <v>867</v>
      </c>
      <c r="C1220" s="20" t="s">
        <v>651</v>
      </c>
      <c r="D1220" s="20" t="s">
        <v>716</v>
      </c>
      <c r="E1220" s="20" t="s">
        <v>3942</v>
      </c>
      <c r="F1220" s="20" t="s">
        <v>3943</v>
      </c>
      <c r="G1220" s="21">
        <v>13.4</v>
      </c>
      <c r="H1220" s="16">
        <v>16</v>
      </c>
      <c r="I1220" s="16"/>
      <c r="J1220" s="17">
        <v>214.4</v>
      </c>
      <c r="K1220" s="22"/>
      <c r="L1220" s="23"/>
      <c r="M1220" s="23">
        <v>0</v>
      </c>
      <c r="N1220" s="19">
        <v>26.8</v>
      </c>
      <c r="O1220" s="19">
        <v>-67</v>
      </c>
      <c r="P1220" s="48">
        <v>67</v>
      </c>
      <c r="Q1220" s="17">
        <v>0</v>
      </c>
      <c r="R1220" s="24">
        <v>214.4</v>
      </c>
      <c r="S1220" s="18" t="s">
        <v>28</v>
      </c>
      <c r="T1220" s="25">
        <v>26</v>
      </c>
    </row>
    <row r="1221" spans="1:20" s="26" customFormat="1" x14ac:dyDescent="0.25">
      <c r="A1221" s="16">
        <v>231928</v>
      </c>
      <c r="B1221" s="30" t="s">
        <v>869</v>
      </c>
      <c r="C1221" s="20" t="s">
        <v>651</v>
      </c>
      <c r="D1221" s="20" t="s">
        <v>716</v>
      </c>
      <c r="E1221" s="20" t="s">
        <v>3944</v>
      </c>
      <c r="F1221" s="20" t="s">
        <v>3945</v>
      </c>
      <c r="G1221" s="21">
        <v>13.4</v>
      </c>
      <c r="H1221" s="16">
        <v>16</v>
      </c>
      <c r="I1221" s="16"/>
      <c r="J1221" s="17">
        <v>214.4</v>
      </c>
      <c r="K1221" s="22"/>
      <c r="L1221" s="23"/>
      <c r="M1221" s="23">
        <v>0</v>
      </c>
      <c r="N1221" s="19">
        <v>26.8</v>
      </c>
      <c r="O1221" s="19">
        <v>-67</v>
      </c>
      <c r="P1221" s="48">
        <v>67</v>
      </c>
      <c r="Q1221" s="17">
        <v>0</v>
      </c>
      <c r="R1221" s="24">
        <v>214.4</v>
      </c>
      <c r="S1221" s="18" t="s">
        <v>28</v>
      </c>
      <c r="T1221" s="25">
        <v>26</v>
      </c>
    </row>
    <row r="1222" spans="1:20" s="26" customFormat="1" x14ac:dyDescent="0.25">
      <c r="A1222" s="16">
        <v>231929</v>
      </c>
      <c r="B1222" s="30" t="s">
        <v>870</v>
      </c>
      <c r="C1222" s="20" t="s">
        <v>651</v>
      </c>
      <c r="D1222" s="20" t="s">
        <v>719</v>
      </c>
      <c r="E1222" s="20" t="s">
        <v>3946</v>
      </c>
      <c r="F1222" s="20" t="s">
        <v>3947</v>
      </c>
      <c r="G1222" s="21">
        <v>13.4</v>
      </c>
      <c r="H1222" s="16">
        <v>16</v>
      </c>
      <c r="I1222" s="16"/>
      <c r="J1222" s="17">
        <v>214.4</v>
      </c>
      <c r="K1222" s="22"/>
      <c r="L1222" s="23"/>
      <c r="M1222" s="23">
        <v>0</v>
      </c>
      <c r="N1222" s="19">
        <v>26.8</v>
      </c>
      <c r="O1222" s="19">
        <v>-67</v>
      </c>
      <c r="P1222" s="48">
        <v>67</v>
      </c>
      <c r="Q1222" s="17">
        <v>0</v>
      </c>
      <c r="R1222" s="24">
        <v>214.4</v>
      </c>
      <c r="S1222" s="18" t="s">
        <v>28</v>
      </c>
      <c r="T1222" s="25">
        <v>26</v>
      </c>
    </row>
    <row r="1223" spans="1:20" s="26" customFormat="1" x14ac:dyDescent="0.25">
      <c r="A1223" s="16">
        <v>232844</v>
      </c>
      <c r="B1223" s="30" t="s">
        <v>951</v>
      </c>
      <c r="C1223" s="20" t="s">
        <v>651</v>
      </c>
      <c r="D1223" s="20" t="s">
        <v>716</v>
      </c>
      <c r="E1223" s="20" t="s">
        <v>3948</v>
      </c>
      <c r="F1223" s="20" t="s">
        <v>3949</v>
      </c>
      <c r="G1223" s="21">
        <v>13.4</v>
      </c>
      <c r="H1223" s="16">
        <v>16</v>
      </c>
      <c r="I1223" s="16"/>
      <c r="J1223" s="17">
        <v>214.4</v>
      </c>
      <c r="K1223" s="22"/>
      <c r="L1223" s="23"/>
      <c r="M1223" s="23">
        <v>0</v>
      </c>
      <c r="N1223" s="19">
        <v>26.8</v>
      </c>
      <c r="O1223" s="19">
        <v>-67</v>
      </c>
      <c r="P1223" s="48">
        <v>67</v>
      </c>
      <c r="Q1223" s="17">
        <v>0</v>
      </c>
      <c r="R1223" s="24">
        <v>214.4</v>
      </c>
      <c r="S1223" s="18" t="s">
        <v>28</v>
      </c>
      <c r="T1223" s="25">
        <v>26</v>
      </c>
    </row>
    <row r="1224" spans="1:20" s="26" customFormat="1" x14ac:dyDescent="0.25">
      <c r="A1224" s="16">
        <v>232889</v>
      </c>
      <c r="B1224" s="30" t="s">
        <v>1014</v>
      </c>
      <c r="C1224" s="20" t="s">
        <v>651</v>
      </c>
      <c r="D1224" s="20" t="s">
        <v>716</v>
      </c>
      <c r="E1224" s="20" t="s">
        <v>3950</v>
      </c>
      <c r="F1224" s="20" t="s">
        <v>3951</v>
      </c>
      <c r="G1224" s="21">
        <v>13.4</v>
      </c>
      <c r="H1224" s="16">
        <v>16</v>
      </c>
      <c r="I1224" s="16"/>
      <c r="J1224" s="17">
        <v>214.4</v>
      </c>
      <c r="K1224" s="22"/>
      <c r="L1224" s="23"/>
      <c r="M1224" s="23">
        <v>0</v>
      </c>
      <c r="N1224" s="19">
        <v>26.8</v>
      </c>
      <c r="O1224" s="19">
        <v>-67</v>
      </c>
      <c r="P1224" s="48">
        <v>67</v>
      </c>
      <c r="Q1224" s="17">
        <v>0</v>
      </c>
      <c r="R1224" s="24">
        <v>214.4</v>
      </c>
      <c r="S1224" s="18" t="s">
        <v>28</v>
      </c>
      <c r="T1224" s="25">
        <v>26</v>
      </c>
    </row>
    <row r="1225" spans="1:20" s="26" customFormat="1" x14ac:dyDescent="0.25">
      <c r="A1225" s="16">
        <v>232988</v>
      </c>
      <c r="B1225" s="30" t="s">
        <v>1015</v>
      </c>
      <c r="C1225" s="20" t="s">
        <v>651</v>
      </c>
      <c r="D1225" s="20" t="s">
        <v>716</v>
      </c>
      <c r="E1225" s="20" t="s">
        <v>3952</v>
      </c>
      <c r="F1225" s="20" t="s">
        <v>3953</v>
      </c>
      <c r="G1225" s="21">
        <v>13.4</v>
      </c>
      <c r="H1225" s="16">
        <v>16</v>
      </c>
      <c r="I1225" s="16"/>
      <c r="J1225" s="17">
        <v>214.4</v>
      </c>
      <c r="K1225" s="22"/>
      <c r="L1225" s="23"/>
      <c r="M1225" s="23">
        <v>0</v>
      </c>
      <c r="N1225" s="19">
        <v>26.8</v>
      </c>
      <c r="O1225" s="19">
        <v>-67</v>
      </c>
      <c r="P1225" s="48">
        <v>67</v>
      </c>
      <c r="Q1225" s="17">
        <v>0</v>
      </c>
      <c r="R1225" s="24">
        <v>214.4</v>
      </c>
      <c r="S1225" s="18" t="s">
        <v>28</v>
      </c>
      <c r="T1225" s="25">
        <v>26</v>
      </c>
    </row>
    <row r="1226" spans="1:20" s="26" customFormat="1" x14ac:dyDescent="0.25">
      <c r="A1226" s="16">
        <v>233084</v>
      </c>
      <c r="B1226" s="30" t="s">
        <v>1016</v>
      </c>
      <c r="C1226" s="20" t="s">
        <v>651</v>
      </c>
      <c r="D1226" s="20" t="s">
        <v>716</v>
      </c>
      <c r="E1226" s="20" t="s">
        <v>3954</v>
      </c>
      <c r="F1226" s="20" t="s">
        <v>3955</v>
      </c>
      <c r="G1226" s="21">
        <v>13.4</v>
      </c>
      <c r="H1226" s="16">
        <v>16</v>
      </c>
      <c r="I1226" s="16"/>
      <c r="J1226" s="17">
        <v>214.4</v>
      </c>
      <c r="K1226" s="22"/>
      <c r="L1226" s="23"/>
      <c r="M1226" s="23">
        <v>0</v>
      </c>
      <c r="N1226" s="19">
        <v>26.8</v>
      </c>
      <c r="O1226" s="19">
        <v>-67</v>
      </c>
      <c r="P1226" s="48">
        <v>67</v>
      </c>
      <c r="Q1226" s="17">
        <v>0</v>
      </c>
      <c r="R1226" s="24">
        <v>214.4</v>
      </c>
      <c r="S1226" s="18" t="s">
        <v>28</v>
      </c>
      <c r="T1226" s="25">
        <v>26</v>
      </c>
    </row>
    <row r="1227" spans="1:20" s="26" customFormat="1" x14ac:dyDescent="0.25">
      <c r="A1227" s="16">
        <v>233085</v>
      </c>
      <c r="B1227" s="30" t="s">
        <v>1017</v>
      </c>
      <c r="C1227" s="20" t="s">
        <v>651</v>
      </c>
      <c r="D1227" s="20" t="s">
        <v>716</v>
      </c>
      <c r="E1227" s="20" t="s">
        <v>3956</v>
      </c>
      <c r="F1227" s="20" t="s">
        <v>3957</v>
      </c>
      <c r="G1227" s="21">
        <v>13.4</v>
      </c>
      <c r="H1227" s="16">
        <v>16</v>
      </c>
      <c r="I1227" s="16"/>
      <c r="J1227" s="17">
        <v>214.4</v>
      </c>
      <c r="K1227" s="22"/>
      <c r="L1227" s="23"/>
      <c r="M1227" s="23">
        <v>0</v>
      </c>
      <c r="N1227" s="19">
        <v>26.8</v>
      </c>
      <c r="O1227" s="19">
        <v>-67</v>
      </c>
      <c r="P1227" s="48">
        <v>67</v>
      </c>
      <c r="Q1227" s="17">
        <v>0</v>
      </c>
      <c r="R1227" s="24">
        <v>214.4</v>
      </c>
      <c r="S1227" s="18" t="s">
        <v>28</v>
      </c>
      <c r="T1227" s="25">
        <v>26</v>
      </c>
    </row>
    <row r="1228" spans="1:20" s="26" customFormat="1" x14ac:dyDescent="0.25">
      <c r="A1228" s="16">
        <v>233108</v>
      </c>
      <c r="B1228" s="30" t="s">
        <v>1018</v>
      </c>
      <c r="C1228" s="20" t="s">
        <v>651</v>
      </c>
      <c r="D1228" s="20" t="s">
        <v>716</v>
      </c>
      <c r="E1228" s="20" t="s">
        <v>3958</v>
      </c>
      <c r="F1228" s="20" t="s">
        <v>3959</v>
      </c>
      <c r="G1228" s="21">
        <v>13.4</v>
      </c>
      <c r="H1228" s="16">
        <v>16</v>
      </c>
      <c r="I1228" s="16"/>
      <c r="J1228" s="17">
        <v>214.4</v>
      </c>
      <c r="K1228" s="22"/>
      <c r="L1228" s="23"/>
      <c r="M1228" s="23">
        <v>0</v>
      </c>
      <c r="N1228" s="19">
        <v>26.8</v>
      </c>
      <c r="O1228" s="19">
        <v>-67</v>
      </c>
      <c r="P1228" s="48">
        <v>67</v>
      </c>
      <c r="Q1228" s="17">
        <v>0</v>
      </c>
      <c r="R1228" s="24">
        <v>214.4</v>
      </c>
      <c r="S1228" s="18" t="s">
        <v>28</v>
      </c>
      <c r="T1228" s="25">
        <v>26</v>
      </c>
    </row>
    <row r="1229" spans="1:20" s="26" customFormat="1" x14ac:dyDescent="0.25">
      <c r="A1229" s="16">
        <v>233976</v>
      </c>
      <c r="B1229" s="30" t="s">
        <v>1245</v>
      </c>
      <c r="C1229" s="20" t="s">
        <v>651</v>
      </c>
      <c r="D1229" s="20" t="s">
        <v>716</v>
      </c>
      <c r="E1229" s="20" t="s">
        <v>3960</v>
      </c>
      <c r="F1229" s="20" t="s">
        <v>3961</v>
      </c>
      <c r="G1229" s="21">
        <v>13.4</v>
      </c>
      <c r="H1229" s="16">
        <v>16</v>
      </c>
      <c r="I1229" s="16"/>
      <c r="J1229" s="17">
        <v>214.4</v>
      </c>
      <c r="K1229" s="22"/>
      <c r="L1229" s="23"/>
      <c r="M1229" s="23">
        <v>0</v>
      </c>
      <c r="N1229" s="19">
        <v>26.8</v>
      </c>
      <c r="O1229" s="19">
        <v>-67</v>
      </c>
      <c r="P1229" s="48">
        <v>67</v>
      </c>
      <c r="Q1229" s="17">
        <v>0</v>
      </c>
      <c r="R1229" s="24">
        <v>214.4</v>
      </c>
      <c r="S1229" s="18" t="s">
        <v>28</v>
      </c>
      <c r="T1229" s="25">
        <v>26</v>
      </c>
    </row>
    <row r="1230" spans="1:20" s="26" customFormat="1" x14ac:dyDescent="0.25">
      <c r="A1230" s="16">
        <v>234018</v>
      </c>
      <c r="B1230" s="30" t="s">
        <v>1246</v>
      </c>
      <c r="C1230" s="20" t="s">
        <v>651</v>
      </c>
      <c r="D1230" s="20" t="s">
        <v>716</v>
      </c>
      <c r="E1230" s="20" t="s">
        <v>3962</v>
      </c>
      <c r="F1230" s="20" t="s">
        <v>3963</v>
      </c>
      <c r="G1230" s="21">
        <v>18.8</v>
      </c>
      <c r="H1230" s="16">
        <v>16</v>
      </c>
      <c r="I1230" s="16"/>
      <c r="J1230" s="17">
        <v>300.8</v>
      </c>
      <c r="K1230" s="22"/>
      <c r="L1230" s="23"/>
      <c r="M1230" s="23">
        <v>0</v>
      </c>
      <c r="N1230" s="19">
        <v>37.6</v>
      </c>
      <c r="O1230" s="19">
        <v>-94</v>
      </c>
      <c r="P1230" s="48">
        <v>94</v>
      </c>
      <c r="Q1230" s="17">
        <v>0</v>
      </c>
      <c r="R1230" s="24">
        <v>300.8</v>
      </c>
      <c r="S1230" s="18" t="s">
        <v>28</v>
      </c>
      <c r="T1230" s="25">
        <v>26</v>
      </c>
    </row>
    <row r="1231" spans="1:20" s="26" customFormat="1" x14ac:dyDescent="0.25">
      <c r="A1231" s="16">
        <v>234048</v>
      </c>
      <c r="B1231" s="30" t="s">
        <v>1247</v>
      </c>
      <c r="C1231" s="20" t="s">
        <v>651</v>
      </c>
      <c r="D1231" s="20" t="s">
        <v>716</v>
      </c>
      <c r="E1231" s="20" t="s">
        <v>3964</v>
      </c>
      <c r="F1231" s="20" t="s">
        <v>3965</v>
      </c>
      <c r="G1231" s="21">
        <v>13.4</v>
      </c>
      <c r="H1231" s="16">
        <v>16</v>
      </c>
      <c r="I1231" s="16"/>
      <c r="J1231" s="17">
        <v>214.4</v>
      </c>
      <c r="K1231" s="22"/>
      <c r="L1231" s="23"/>
      <c r="M1231" s="23">
        <v>0</v>
      </c>
      <c r="N1231" s="19">
        <v>26.8</v>
      </c>
      <c r="O1231" s="19">
        <v>-67</v>
      </c>
      <c r="P1231" s="48">
        <v>67</v>
      </c>
      <c r="Q1231" s="17">
        <v>0</v>
      </c>
      <c r="R1231" s="24">
        <v>214.4</v>
      </c>
      <c r="S1231" s="18" t="s">
        <v>28</v>
      </c>
      <c r="T1231" s="25">
        <v>26</v>
      </c>
    </row>
    <row r="1232" spans="1:20" s="26" customFormat="1" x14ac:dyDescent="0.25">
      <c r="A1232" s="16">
        <v>234376</v>
      </c>
      <c r="B1232" s="30" t="s">
        <v>1300</v>
      </c>
      <c r="C1232" s="20" t="s">
        <v>651</v>
      </c>
      <c r="D1232" s="20" t="s">
        <v>716</v>
      </c>
      <c r="E1232" s="20" t="s">
        <v>3966</v>
      </c>
      <c r="F1232" s="20" t="s">
        <v>3967</v>
      </c>
      <c r="G1232" s="21">
        <v>18.8</v>
      </c>
      <c r="H1232" s="16">
        <v>16</v>
      </c>
      <c r="I1232" s="16"/>
      <c r="J1232" s="17">
        <v>300.8</v>
      </c>
      <c r="K1232" s="22"/>
      <c r="L1232" s="23"/>
      <c r="M1232" s="23">
        <v>0</v>
      </c>
      <c r="N1232" s="19">
        <v>37.6</v>
      </c>
      <c r="O1232" s="19">
        <v>-94</v>
      </c>
      <c r="P1232" s="48">
        <v>94</v>
      </c>
      <c r="Q1232" s="17">
        <v>0</v>
      </c>
      <c r="R1232" s="24">
        <v>300.8</v>
      </c>
      <c r="S1232" s="18" t="s">
        <v>28</v>
      </c>
      <c r="T1232" s="25">
        <v>26</v>
      </c>
    </row>
    <row r="1233" spans="1:20" s="26" customFormat="1" x14ac:dyDescent="0.25">
      <c r="A1233" s="16">
        <v>234509</v>
      </c>
      <c r="B1233" s="30" t="s">
        <v>1301</v>
      </c>
      <c r="C1233" s="20" t="s">
        <v>651</v>
      </c>
      <c r="D1233" s="20" t="s">
        <v>716</v>
      </c>
      <c r="E1233" s="20" t="s">
        <v>3968</v>
      </c>
      <c r="F1233" s="20" t="s">
        <v>3969</v>
      </c>
      <c r="G1233" s="21">
        <v>13.4</v>
      </c>
      <c r="H1233" s="16">
        <v>26</v>
      </c>
      <c r="I1233" s="16">
        <v>1</v>
      </c>
      <c r="J1233" s="17">
        <v>335</v>
      </c>
      <c r="K1233" s="22"/>
      <c r="L1233" s="23"/>
      <c r="M1233" s="23">
        <v>0</v>
      </c>
      <c r="N1233" s="19">
        <v>26.8</v>
      </c>
      <c r="O1233" s="19">
        <v>-67</v>
      </c>
      <c r="P1233" s="48">
        <v>67</v>
      </c>
      <c r="Q1233" s="17">
        <v>0</v>
      </c>
      <c r="R1233" s="24">
        <v>335</v>
      </c>
      <c r="S1233" s="18" t="s">
        <v>28</v>
      </c>
      <c r="T1233" s="25">
        <v>26</v>
      </c>
    </row>
    <row r="1234" spans="1:20" s="26" customFormat="1" x14ac:dyDescent="0.25">
      <c r="A1234" s="16">
        <v>234609</v>
      </c>
      <c r="B1234" s="30" t="s">
        <v>1331</v>
      </c>
      <c r="C1234" s="20" t="s">
        <v>651</v>
      </c>
      <c r="D1234" s="20" t="s">
        <v>716</v>
      </c>
      <c r="E1234" s="20" t="s">
        <v>3970</v>
      </c>
      <c r="F1234" s="20" t="s">
        <v>3971</v>
      </c>
      <c r="G1234" s="21">
        <v>18.8</v>
      </c>
      <c r="H1234" s="16">
        <v>16</v>
      </c>
      <c r="I1234" s="16"/>
      <c r="J1234" s="17">
        <v>300.8</v>
      </c>
      <c r="K1234" s="22"/>
      <c r="L1234" s="23"/>
      <c r="M1234" s="23">
        <v>0</v>
      </c>
      <c r="N1234" s="19">
        <v>37.6</v>
      </c>
      <c r="O1234" s="19">
        <v>-94</v>
      </c>
      <c r="P1234" s="48">
        <v>94</v>
      </c>
      <c r="Q1234" s="17">
        <v>0</v>
      </c>
      <c r="R1234" s="24">
        <v>300.8</v>
      </c>
      <c r="S1234" s="18" t="s">
        <v>28</v>
      </c>
      <c r="T1234" s="25">
        <v>26</v>
      </c>
    </row>
    <row r="1235" spans="1:20" s="26" customFormat="1" x14ac:dyDescent="0.25">
      <c r="A1235" s="16">
        <v>234610</v>
      </c>
      <c r="B1235" s="30" t="s">
        <v>1332</v>
      </c>
      <c r="C1235" s="20" t="s">
        <v>651</v>
      </c>
      <c r="D1235" s="20" t="s">
        <v>716</v>
      </c>
      <c r="E1235" s="20" t="s">
        <v>3972</v>
      </c>
      <c r="F1235" s="20" t="s">
        <v>3973</v>
      </c>
      <c r="G1235" s="21">
        <v>18.8</v>
      </c>
      <c r="H1235" s="16">
        <v>16</v>
      </c>
      <c r="I1235" s="16"/>
      <c r="J1235" s="17">
        <v>300.8</v>
      </c>
      <c r="K1235" s="22"/>
      <c r="L1235" s="23"/>
      <c r="M1235" s="23">
        <v>0</v>
      </c>
      <c r="N1235" s="19">
        <v>37.6</v>
      </c>
      <c r="O1235" s="19">
        <v>-94</v>
      </c>
      <c r="P1235" s="48">
        <v>94</v>
      </c>
      <c r="Q1235" s="17">
        <v>0</v>
      </c>
      <c r="R1235" s="24">
        <v>300.8</v>
      </c>
      <c r="S1235" s="18" t="s">
        <v>28</v>
      </c>
      <c r="T1235" s="25">
        <v>26</v>
      </c>
    </row>
    <row r="1236" spans="1:20" s="26" customFormat="1" x14ac:dyDescent="0.25">
      <c r="A1236" s="16">
        <v>216293</v>
      </c>
      <c r="B1236" s="30" t="s">
        <v>469</v>
      </c>
      <c r="C1236" s="20" t="s">
        <v>635</v>
      </c>
      <c r="D1236" s="20" t="s">
        <v>689</v>
      </c>
      <c r="E1236" s="20" t="s">
        <v>3976</v>
      </c>
      <c r="F1236" s="20" t="s">
        <v>3977</v>
      </c>
      <c r="G1236" s="21">
        <v>18.8</v>
      </c>
      <c r="H1236" s="16">
        <v>22</v>
      </c>
      <c r="I1236" s="16"/>
      <c r="J1236" s="17">
        <v>413.6</v>
      </c>
      <c r="K1236" s="22"/>
      <c r="L1236" s="23"/>
      <c r="M1236" s="23">
        <v>0</v>
      </c>
      <c r="N1236" s="19">
        <v>37.6</v>
      </c>
      <c r="O1236" s="19">
        <v>-94</v>
      </c>
      <c r="P1236" s="48">
        <v>94</v>
      </c>
      <c r="Q1236" s="17">
        <v>0</v>
      </c>
      <c r="R1236" s="24">
        <v>413.6</v>
      </c>
      <c r="S1236" s="18" t="s">
        <v>28</v>
      </c>
      <c r="T1236" s="25">
        <v>26</v>
      </c>
    </row>
    <row r="1237" spans="1:20" s="26" customFormat="1" x14ac:dyDescent="0.25">
      <c r="A1237" s="65">
        <v>225017</v>
      </c>
      <c r="B1237" s="30" t="s">
        <v>1115</v>
      </c>
      <c r="C1237" s="20" t="s">
        <v>635</v>
      </c>
      <c r="D1237" s="20" t="s">
        <v>698</v>
      </c>
      <c r="E1237" s="20" t="s">
        <v>3978</v>
      </c>
      <c r="F1237" s="20" t="s">
        <v>3979</v>
      </c>
      <c r="G1237" s="21">
        <v>18.8</v>
      </c>
      <c r="H1237" s="16">
        <v>26</v>
      </c>
      <c r="I1237" s="16"/>
      <c r="J1237" s="17">
        <v>488.8</v>
      </c>
      <c r="K1237" s="22"/>
      <c r="L1237" s="23"/>
      <c r="M1237" s="23">
        <v>0</v>
      </c>
      <c r="N1237" s="19">
        <v>37.6</v>
      </c>
      <c r="O1237" s="19">
        <v>-94</v>
      </c>
      <c r="P1237" s="48">
        <v>94</v>
      </c>
      <c r="Q1237" s="17">
        <v>0</v>
      </c>
      <c r="R1237" s="24">
        <v>488.8</v>
      </c>
      <c r="S1237" s="18" t="s">
        <v>28</v>
      </c>
      <c r="T1237" s="25">
        <v>26</v>
      </c>
    </row>
    <row r="1238" spans="1:20" s="26" customFormat="1" x14ac:dyDescent="0.25">
      <c r="A1238" s="16">
        <v>231228</v>
      </c>
      <c r="B1238" s="30" t="s">
        <v>1527</v>
      </c>
      <c r="C1238" s="20" t="s">
        <v>636</v>
      </c>
      <c r="D1238" s="20" t="s">
        <v>729</v>
      </c>
      <c r="E1238" s="20" t="s">
        <v>3980</v>
      </c>
      <c r="F1238" s="20" t="s">
        <v>3981</v>
      </c>
      <c r="G1238" s="21">
        <v>13.4</v>
      </c>
      <c r="H1238" s="16">
        <v>22</v>
      </c>
      <c r="I1238" s="16">
        <v>14</v>
      </c>
      <c r="J1238" s="17">
        <v>107.2</v>
      </c>
      <c r="K1238" s="22"/>
      <c r="L1238" s="23"/>
      <c r="M1238" s="23">
        <v>0</v>
      </c>
      <c r="N1238" s="19">
        <v>26.8</v>
      </c>
      <c r="O1238" s="19">
        <v>-67</v>
      </c>
      <c r="P1238" s="48">
        <v>67</v>
      </c>
      <c r="Q1238" s="17">
        <v>0</v>
      </c>
      <c r="R1238" s="24">
        <v>107.2</v>
      </c>
      <c r="S1238" s="18" t="s">
        <v>28</v>
      </c>
      <c r="T1238" s="25">
        <v>26</v>
      </c>
    </row>
    <row r="1239" spans="1:20" s="26" customFormat="1" x14ac:dyDescent="0.25">
      <c r="A1239" s="16">
        <v>231229</v>
      </c>
      <c r="B1239" s="30" t="s">
        <v>1528</v>
      </c>
      <c r="C1239" s="20" t="s">
        <v>636</v>
      </c>
      <c r="D1239" s="20" t="s">
        <v>729</v>
      </c>
      <c r="E1239" s="20" t="s">
        <v>3982</v>
      </c>
      <c r="F1239" s="20" t="s">
        <v>3983</v>
      </c>
      <c r="G1239" s="21">
        <v>18.8</v>
      </c>
      <c r="H1239" s="16">
        <v>22</v>
      </c>
      <c r="I1239" s="16">
        <v>21</v>
      </c>
      <c r="J1239" s="17">
        <v>18.8</v>
      </c>
      <c r="K1239" s="22"/>
      <c r="L1239" s="23"/>
      <c r="M1239" s="23">
        <v>0</v>
      </c>
      <c r="N1239" s="19">
        <v>37.6</v>
      </c>
      <c r="O1239" s="19">
        <v>-94</v>
      </c>
      <c r="P1239" s="48">
        <v>94</v>
      </c>
      <c r="Q1239" s="17">
        <v>0</v>
      </c>
      <c r="R1239" s="24">
        <v>18.8</v>
      </c>
      <c r="S1239" s="18" t="s">
        <v>28</v>
      </c>
      <c r="T1239" s="25">
        <v>26</v>
      </c>
    </row>
    <row r="1240" spans="1:20" s="26" customFormat="1" x14ac:dyDescent="0.25">
      <c r="A1240" s="16">
        <v>231231</v>
      </c>
      <c r="B1240" s="30" t="s">
        <v>804</v>
      </c>
      <c r="C1240" s="20" t="s">
        <v>636</v>
      </c>
      <c r="D1240" s="20" t="s">
        <v>729</v>
      </c>
      <c r="E1240" s="20" t="s">
        <v>3984</v>
      </c>
      <c r="F1240" s="20" t="s">
        <v>3985</v>
      </c>
      <c r="G1240" s="21">
        <v>13.4</v>
      </c>
      <c r="H1240" s="16">
        <v>22</v>
      </c>
      <c r="I1240" s="16"/>
      <c r="J1240" s="17">
        <v>294.8</v>
      </c>
      <c r="K1240" s="22"/>
      <c r="L1240" s="23"/>
      <c r="M1240" s="23">
        <v>0</v>
      </c>
      <c r="N1240" s="19">
        <v>26.8</v>
      </c>
      <c r="O1240" s="19">
        <v>-67</v>
      </c>
      <c r="P1240" s="48">
        <v>67</v>
      </c>
      <c r="Q1240" s="17">
        <v>0</v>
      </c>
      <c r="R1240" s="24">
        <v>294.8</v>
      </c>
      <c r="S1240" s="18" t="s">
        <v>28</v>
      </c>
      <c r="T1240" s="25">
        <v>26</v>
      </c>
    </row>
    <row r="1241" spans="1:20" s="26" customFormat="1" x14ac:dyDescent="0.25">
      <c r="A1241" s="16">
        <v>231232</v>
      </c>
      <c r="B1241" s="30" t="s">
        <v>805</v>
      </c>
      <c r="C1241" s="20" t="s">
        <v>636</v>
      </c>
      <c r="D1241" s="20" t="s">
        <v>729</v>
      </c>
      <c r="E1241" s="20" t="s">
        <v>3986</v>
      </c>
      <c r="F1241" s="20" t="s">
        <v>3987</v>
      </c>
      <c r="G1241" s="21">
        <v>18.8</v>
      </c>
      <c r="H1241" s="16">
        <v>22</v>
      </c>
      <c r="I1241" s="16">
        <v>1</v>
      </c>
      <c r="J1241" s="17">
        <v>394.8</v>
      </c>
      <c r="K1241" s="22"/>
      <c r="L1241" s="23"/>
      <c r="M1241" s="23">
        <v>0</v>
      </c>
      <c r="N1241" s="19">
        <v>37.6</v>
      </c>
      <c r="O1241" s="19">
        <v>-94</v>
      </c>
      <c r="P1241" s="48">
        <v>94</v>
      </c>
      <c r="Q1241" s="17">
        <v>0</v>
      </c>
      <c r="R1241" s="24">
        <v>394.8</v>
      </c>
      <c r="S1241" s="18" t="s">
        <v>28</v>
      </c>
      <c r="T1241" s="25">
        <v>26</v>
      </c>
    </row>
    <row r="1242" spans="1:20" s="26" customFormat="1" x14ac:dyDescent="0.25">
      <c r="A1242" s="16">
        <v>231233</v>
      </c>
      <c r="B1242" s="30" t="s">
        <v>1529</v>
      </c>
      <c r="C1242" s="20" t="s">
        <v>636</v>
      </c>
      <c r="D1242" s="20" t="s">
        <v>729</v>
      </c>
      <c r="E1242" s="20" t="s">
        <v>3988</v>
      </c>
      <c r="F1242" s="20" t="s">
        <v>3989</v>
      </c>
      <c r="G1242" s="21">
        <v>13.4</v>
      </c>
      <c r="H1242" s="16">
        <v>22</v>
      </c>
      <c r="I1242" s="16">
        <v>18</v>
      </c>
      <c r="J1242" s="17">
        <v>53.6</v>
      </c>
      <c r="K1242" s="22"/>
      <c r="L1242" s="23"/>
      <c r="M1242" s="23">
        <v>0</v>
      </c>
      <c r="N1242" s="19">
        <v>26.8</v>
      </c>
      <c r="O1242" s="19">
        <v>-67</v>
      </c>
      <c r="P1242" s="48">
        <v>67</v>
      </c>
      <c r="Q1242" s="17">
        <v>0</v>
      </c>
      <c r="R1242" s="24">
        <v>53.6</v>
      </c>
      <c r="S1242" s="18" t="s">
        <v>28</v>
      </c>
      <c r="T1242" s="25">
        <v>26</v>
      </c>
    </row>
    <row r="1243" spans="1:20" s="26" customFormat="1" x14ac:dyDescent="0.25">
      <c r="A1243" s="16">
        <v>231628</v>
      </c>
      <c r="B1243" s="30" t="s">
        <v>871</v>
      </c>
      <c r="C1243" s="20" t="s">
        <v>636</v>
      </c>
      <c r="D1243" s="20" t="s">
        <v>729</v>
      </c>
      <c r="E1243" s="20" t="s">
        <v>3990</v>
      </c>
      <c r="F1243" s="20" t="s">
        <v>3991</v>
      </c>
      <c r="G1243" s="21">
        <v>13.4</v>
      </c>
      <c r="H1243" s="16">
        <v>22</v>
      </c>
      <c r="I1243" s="16"/>
      <c r="J1243" s="17">
        <v>294.8</v>
      </c>
      <c r="K1243" s="22"/>
      <c r="L1243" s="23"/>
      <c r="M1243" s="23">
        <v>0</v>
      </c>
      <c r="N1243" s="19">
        <v>26.8</v>
      </c>
      <c r="O1243" s="19">
        <v>-67</v>
      </c>
      <c r="P1243" s="48">
        <v>67</v>
      </c>
      <c r="Q1243" s="17">
        <v>0</v>
      </c>
      <c r="R1243" s="24">
        <v>294.8</v>
      </c>
      <c r="S1243" s="18" t="s">
        <v>28</v>
      </c>
      <c r="T1243" s="25">
        <v>26</v>
      </c>
    </row>
    <row r="1244" spans="1:20" s="26" customFormat="1" x14ac:dyDescent="0.25">
      <c r="A1244" s="16">
        <v>231909</v>
      </c>
      <c r="B1244" s="30" t="s">
        <v>872</v>
      </c>
      <c r="C1244" s="20" t="s">
        <v>636</v>
      </c>
      <c r="D1244" s="20" t="s">
        <v>729</v>
      </c>
      <c r="E1244" s="20" t="s">
        <v>3992</v>
      </c>
      <c r="F1244" s="20" t="s">
        <v>3993</v>
      </c>
      <c r="G1244" s="21">
        <v>18.8</v>
      </c>
      <c r="H1244" s="16">
        <v>22</v>
      </c>
      <c r="I1244" s="16">
        <v>3</v>
      </c>
      <c r="J1244" s="17">
        <v>357.2</v>
      </c>
      <c r="K1244" s="22"/>
      <c r="L1244" s="23"/>
      <c r="M1244" s="23">
        <v>0</v>
      </c>
      <c r="N1244" s="19">
        <v>37.6</v>
      </c>
      <c r="O1244" s="19">
        <v>-94</v>
      </c>
      <c r="P1244" s="48">
        <v>94</v>
      </c>
      <c r="Q1244" s="17">
        <v>0</v>
      </c>
      <c r="R1244" s="24">
        <v>357.2</v>
      </c>
      <c r="S1244" s="18" t="s">
        <v>28</v>
      </c>
      <c r="T1244" s="25">
        <v>26</v>
      </c>
    </row>
    <row r="1245" spans="1:20" s="26" customFormat="1" x14ac:dyDescent="0.25">
      <c r="A1245" s="16">
        <v>231911</v>
      </c>
      <c r="B1245" s="30" t="s">
        <v>873</v>
      </c>
      <c r="C1245" s="20" t="s">
        <v>636</v>
      </c>
      <c r="D1245" s="20" t="s">
        <v>729</v>
      </c>
      <c r="E1245" s="20" t="s">
        <v>3994</v>
      </c>
      <c r="F1245" s="20" t="s">
        <v>3995</v>
      </c>
      <c r="G1245" s="21">
        <v>13.4</v>
      </c>
      <c r="H1245" s="16">
        <v>22</v>
      </c>
      <c r="I1245" s="16"/>
      <c r="J1245" s="17">
        <v>294.8</v>
      </c>
      <c r="K1245" s="22"/>
      <c r="L1245" s="23"/>
      <c r="M1245" s="23">
        <v>0</v>
      </c>
      <c r="N1245" s="19">
        <v>26.8</v>
      </c>
      <c r="O1245" s="19">
        <v>-67</v>
      </c>
      <c r="P1245" s="48">
        <v>67</v>
      </c>
      <c r="Q1245" s="17">
        <v>0</v>
      </c>
      <c r="R1245" s="24">
        <v>294.8</v>
      </c>
      <c r="S1245" s="18" t="s">
        <v>28</v>
      </c>
      <c r="T1245" s="25">
        <v>26</v>
      </c>
    </row>
    <row r="1246" spans="1:20" s="26" customFormat="1" x14ac:dyDescent="0.25">
      <c r="A1246" s="16">
        <v>231912</v>
      </c>
      <c r="B1246" s="30" t="s">
        <v>874</v>
      </c>
      <c r="C1246" s="20" t="s">
        <v>636</v>
      </c>
      <c r="D1246" s="20" t="s">
        <v>729</v>
      </c>
      <c r="E1246" s="20" t="s">
        <v>3996</v>
      </c>
      <c r="F1246" s="20" t="s">
        <v>3997</v>
      </c>
      <c r="G1246" s="21">
        <v>13.4</v>
      </c>
      <c r="H1246" s="16">
        <v>22</v>
      </c>
      <c r="I1246" s="16">
        <v>1</v>
      </c>
      <c r="J1246" s="17">
        <v>281.40000000000003</v>
      </c>
      <c r="K1246" s="22"/>
      <c r="L1246" s="23"/>
      <c r="M1246" s="23">
        <v>0</v>
      </c>
      <c r="N1246" s="19">
        <v>26.8</v>
      </c>
      <c r="O1246" s="19">
        <v>-67</v>
      </c>
      <c r="P1246" s="48">
        <v>67</v>
      </c>
      <c r="Q1246" s="17">
        <v>0</v>
      </c>
      <c r="R1246" s="24">
        <v>281.40000000000003</v>
      </c>
      <c r="S1246" s="18" t="s">
        <v>28</v>
      </c>
      <c r="T1246" s="25">
        <v>26</v>
      </c>
    </row>
    <row r="1247" spans="1:20" s="26" customFormat="1" x14ac:dyDescent="0.25">
      <c r="A1247" s="16">
        <v>231913</v>
      </c>
      <c r="B1247" s="30" t="s">
        <v>875</v>
      </c>
      <c r="C1247" s="20" t="s">
        <v>636</v>
      </c>
      <c r="D1247" s="20" t="s">
        <v>729</v>
      </c>
      <c r="E1247" s="20" t="s">
        <v>3998</v>
      </c>
      <c r="F1247" s="20" t="s">
        <v>3999</v>
      </c>
      <c r="G1247" s="21">
        <v>13.4</v>
      </c>
      <c r="H1247" s="16">
        <v>22</v>
      </c>
      <c r="I1247" s="16">
        <v>4</v>
      </c>
      <c r="J1247" s="17">
        <v>241.20000000000002</v>
      </c>
      <c r="K1247" s="22"/>
      <c r="L1247" s="23"/>
      <c r="M1247" s="23">
        <v>0</v>
      </c>
      <c r="N1247" s="19">
        <v>26.8</v>
      </c>
      <c r="O1247" s="19">
        <v>-67</v>
      </c>
      <c r="P1247" s="48">
        <v>67</v>
      </c>
      <c r="Q1247" s="17">
        <v>0</v>
      </c>
      <c r="R1247" s="24">
        <v>241.20000000000002</v>
      </c>
      <c r="S1247" s="18" t="s">
        <v>28</v>
      </c>
      <c r="T1247" s="25">
        <v>26</v>
      </c>
    </row>
    <row r="1248" spans="1:20" s="26" customFormat="1" x14ac:dyDescent="0.25">
      <c r="A1248" s="16">
        <v>231914</v>
      </c>
      <c r="B1248" s="30" t="s">
        <v>876</v>
      </c>
      <c r="C1248" s="20" t="s">
        <v>636</v>
      </c>
      <c r="D1248" s="20" t="s">
        <v>729</v>
      </c>
      <c r="E1248" s="20" t="s">
        <v>4000</v>
      </c>
      <c r="F1248" s="20" t="s">
        <v>4001</v>
      </c>
      <c r="G1248" s="21">
        <v>13.4</v>
      </c>
      <c r="H1248" s="16">
        <v>22</v>
      </c>
      <c r="I1248" s="16">
        <v>3</v>
      </c>
      <c r="J1248" s="17">
        <v>254.6</v>
      </c>
      <c r="K1248" s="22"/>
      <c r="L1248" s="23"/>
      <c r="M1248" s="23">
        <v>0</v>
      </c>
      <c r="N1248" s="19">
        <v>26.8</v>
      </c>
      <c r="O1248" s="19">
        <v>-67</v>
      </c>
      <c r="P1248" s="48">
        <v>67</v>
      </c>
      <c r="Q1248" s="17">
        <v>0</v>
      </c>
      <c r="R1248" s="24">
        <v>254.6</v>
      </c>
      <c r="S1248" s="18" t="s">
        <v>28</v>
      </c>
      <c r="T1248" s="25">
        <v>26</v>
      </c>
    </row>
    <row r="1249" spans="1:20" s="26" customFormat="1" x14ac:dyDescent="0.25">
      <c r="A1249" s="16">
        <v>235050</v>
      </c>
      <c r="B1249" s="30" t="s">
        <v>1530</v>
      </c>
      <c r="C1249" s="20" t="s">
        <v>636</v>
      </c>
      <c r="D1249" s="20" t="s">
        <v>729</v>
      </c>
      <c r="E1249" s="20" t="s">
        <v>4002</v>
      </c>
      <c r="F1249" s="20" t="s">
        <v>4003</v>
      </c>
      <c r="G1249" s="21">
        <v>13.4</v>
      </c>
      <c r="H1249" s="16">
        <v>22</v>
      </c>
      <c r="I1249" s="16"/>
      <c r="J1249" s="17">
        <v>294.8</v>
      </c>
      <c r="K1249" s="22"/>
      <c r="L1249" s="23">
        <v>11.9</v>
      </c>
      <c r="M1249" s="23">
        <v>11.9</v>
      </c>
      <c r="N1249" s="19">
        <v>26.8</v>
      </c>
      <c r="O1249" s="19">
        <v>-55.1</v>
      </c>
      <c r="P1249" s="48">
        <v>67</v>
      </c>
      <c r="Q1249" s="17">
        <v>0</v>
      </c>
      <c r="R1249" s="24">
        <v>294.8</v>
      </c>
      <c r="S1249" s="18" t="s">
        <v>28</v>
      </c>
      <c r="T1249" s="25">
        <v>26</v>
      </c>
    </row>
    <row r="1250" spans="1:20" s="26" customFormat="1" x14ac:dyDescent="0.25">
      <c r="A1250" s="16">
        <v>235051</v>
      </c>
      <c r="B1250" s="30" t="s">
        <v>1531</v>
      </c>
      <c r="C1250" s="20" t="s">
        <v>636</v>
      </c>
      <c r="D1250" s="20" t="s">
        <v>729</v>
      </c>
      <c r="E1250" s="20" t="s">
        <v>4004</v>
      </c>
      <c r="F1250" s="20" t="s">
        <v>4005</v>
      </c>
      <c r="G1250" s="21">
        <v>13.4</v>
      </c>
      <c r="H1250" s="16">
        <v>22</v>
      </c>
      <c r="I1250" s="16"/>
      <c r="J1250" s="17">
        <v>294.8</v>
      </c>
      <c r="K1250" s="22"/>
      <c r="L1250" s="23">
        <v>11.9</v>
      </c>
      <c r="M1250" s="23">
        <v>11.9</v>
      </c>
      <c r="N1250" s="19">
        <v>26.8</v>
      </c>
      <c r="O1250" s="19">
        <v>-55.1</v>
      </c>
      <c r="P1250" s="48">
        <v>67</v>
      </c>
      <c r="Q1250" s="17">
        <v>0</v>
      </c>
      <c r="R1250" s="24">
        <v>294.8</v>
      </c>
      <c r="S1250" s="18" t="s">
        <v>28</v>
      </c>
      <c r="T1250" s="25">
        <v>26</v>
      </c>
    </row>
    <row r="1251" spans="1:20" s="26" customFormat="1" x14ac:dyDescent="0.25">
      <c r="A1251" s="16">
        <v>220361</v>
      </c>
      <c r="B1251" s="30" t="s">
        <v>587</v>
      </c>
      <c r="C1251" s="20" t="s">
        <v>653</v>
      </c>
      <c r="D1251" s="20" t="s">
        <v>714</v>
      </c>
      <c r="E1251" s="20" t="s">
        <v>4006</v>
      </c>
      <c r="F1251" s="20" t="s">
        <v>4007</v>
      </c>
      <c r="G1251" s="21">
        <v>18.8</v>
      </c>
      <c r="H1251" s="16">
        <v>26</v>
      </c>
      <c r="I1251" s="16"/>
      <c r="J1251" s="17">
        <v>488.8</v>
      </c>
      <c r="K1251" s="22"/>
      <c r="L1251" s="23"/>
      <c r="M1251" s="23">
        <v>0</v>
      </c>
      <c r="N1251" s="19">
        <v>37.6</v>
      </c>
      <c r="O1251" s="19">
        <v>-94</v>
      </c>
      <c r="P1251" s="48">
        <v>94</v>
      </c>
      <c r="Q1251" s="17">
        <v>0</v>
      </c>
      <c r="R1251" s="24">
        <v>488.8</v>
      </c>
      <c r="S1251" s="18" t="s">
        <v>28</v>
      </c>
      <c r="T1251" s="25">
        <v>26</v>
      </c>
    </row>
    <row r="1252" spans="1:20" s="26" customFormat="1" x14ac:dyDescent="0.25">
      <c r="A1252" s="16">
        <v>221204</v>
      </c>
      <c r="B1252" s="30" t="s">
        <v>588</v>
      </c>
      <c r="C1252" s="20" t="s">
        <v>653</v>
      </c>
      <c r="D1252" s="20" t="s">
        <v>714</v>
      </c>
      <c r="E1252" s="20" t="s">
        <v>4008</v>
      </c>
      <c r="F1252" s="20" t="s">
        <v>4009</v>
      </c>
      <c r="G1252" s="21">
        <v>18.8</v>
      </c>
      <c r="H1252" s="16">
        <v>26</v>
      </c>
      <c r="I1252" s="16"/>
      <c r="J1252" s="17">
        <v>488.8</v>
      </c>
      <c r="K1252" s="22"/>
      <c r="L1252" s="23">
        <v>37.6</v>
      </c>
      <c r="M1252" s="23">
        <v>37.6</v>
      </c>
      <c r="N1252" s="19">
        <v>37.6</v>
      </c>
      <c r="O1252" s="19">
        <v>-56.4</v>
      </c>
      <c r="P1252" s="48">
        <v>94</v>
      </c>
      <c r="Q1252" s="17">
        <v>0</v>
      </c>
      <c r="R1252" s="24">
        <v>488.8</v>
      </c>
      <c r="S1252" s="18" t="s">
        <v>28</v>
      </c>
      <c r="T1252" s="25">
        <v>26</v>
      </c>
    </row>
    <row r="1253" spans="1:20" s="26" customFormat="1" x14ac:dyDescent="0.25">
      <c r="A1253" s="16">
        <v>224394</v>
      </c>
      <c r="B1253" s="30" t="s">
        <v>589</v>
      </c>
      <c r="C1253" s="20" t="s">
        <v>653</v>
      </c>
      <c r="D1253" s="20" t="s">
        <v>891</v>
      </c>
      <c r="E1253" s="20" t="s">
        <v>4010</v>
      </c>
      <c r="F1253" s="20" t="s">
        <v>4011</v>
      </c>
      <c r="G1253" s="21">
        <v>13.4</v>
      </c>
      <c r="H1253" s="16">
        <v>26</v>
      </c>
      <c r="I1253" s="16"/>
      <c r="J1253" s="17">
        <v>348.40000000000003</v>
      </c>
      <c r="K1253" s="22"/>
      <c r="L1253" s="23">
        <v>11.9</v>
      </c>
      <c r="M1253" s="23">
        <v>11.9</v>
      </c>
      <c r="N1253" s="19">
        <v>26.8</v>
      </c>
      <c r="O1253" s="19">
        <v>-55.1</v>
      </c>
      <c r="P1253" s="48">
        <v>67</v>
      </c>
      <c r="Q1253" s="17">
        <v>0</v>
      </c>
      <c r="R1253" s="24">
        <v>348.40000000000003</v>
      </c>
      <c r="S1253" s="18" t="s">
        <v>28</v>
      </c>
      <c r="T1253" s="25">
        <v>26</v>
      </c>
    </row>
    <row r="1254" spans="1:20" s="26" customFormat="1" x14ac:dyDescent="0.25">
      <c r="A1254" s="16">
        <v>225682</v>
      </c>
      <c r="B1254" s="30" t="s">
        <v>590</v>
      </c>
      <c r="C1254" s="20" t="s">
        <v>653</v>
      </c>
      <c r="D1254" s="20" t="s">
        <v>714</v>
      </c>
      <c r="E1254" s="20" t="s">
        <v>4012</v>
      </c>
      <c r="F1254" s="20" t="s">
        <v>4013</v>
      </c>
      <c r="G1254" s="21">
        <v>18.8</v>
      </c>
      <c r="H1254" s="16">
        <v>26</v>
      </c>
      <c r="I1254" s="16"/>
      <c r="J1254" s="17">
        <v>488.8</v>
      </c>
      <c r="K1254" s="22"/>
      <c r="L1254" s="23"/>
      <c r="M1254" s="23">
        <v>0</v>
      </c>
      <c r="N1254" s="19">
        <v>37.6</v>
      </c>
      <c r="O1254" s="19">
        <v>-94</v>
      </c>
      <c r="P1254" s="48">
        <v>94</v>
      </c>
      <c r="Q1254" s="17">
        <v>0</v>
      </c>
      <c r="R1254" s="24">
        <v>488.8</v>
      </c>
      <c r="S1254" s="18" t="s">
        <v>28</v>
      </c>
      <c r="T1254" s="25">
        <v>26</v>
      </c>
    </row>
    <row r="1255" spans="1:20" s="26" customFormat="1" x14ac:dyDescent="0.25">
      <c r="A1255" s="16">
        <v>230705</v>
      </c>
      <c r="B1255" s="30" t="s">
        <v>1532</v>
      </c>
      <c r="C1255" s="20" t="s">
        <v>653</v>
      </c>
      <c r="D1255" s="20" t="s">
        <v>714</v>
      </c>
      <c r="E1255" s="20" t="s">
        <v>4014</v>
      </c>
      <c r="F1255" s="20" t="s">
        <v>4015</v>
      </c>
      <c r="G1255" s="21">
        <v>13.4</v>
      </c>
      <c r="H1255" s="16">
        <v>26</v>
      </c>
      <c r="I1255" s="16"/>
      <c r="J1255" s="17">
        <v>348.40000000000003</v>
      </c>
      <c r="K1255" s="22"/>
      <c r="L1255" s="23"/>
      <c r="M1255" s="23">
        <v>0</v>
      </c>
      <c r="N1255" s="19">
        <v>26.8</v>
      </c>
      <c r="O1255" s="19">
        <v>-67</v>
      </c>
      <c r="P1255" s="48">
        <v>67</v>
      </c>
      <c r="Q1255" s="17">
        <v>0</v>
      </c>
      <c r="R1255" s="24">
        <v>348.40000000000003</v>
      </c>
      <c r="S1255" s="18" t="s">
        <v>28</v>
      </c>
      <c r="T1255" s="25">
        <v>26</v>
      </c>
    </row>
    <row r="1256" spans="1:20" s="26" customFormat="1" x14ac:dyDescent="0.25">
      <c r="A1256" s="16">
        <v>230781</v>
      </c>
      <c r="B1256" s="30" t="s">
        <v>593</v>
      </c>
      <c r="C1256" s="20" t="s">
        <v>653</v>
      </c>
      <c r="D1256" s="20" t="s">
        <v>714</v>
      </c>
      <c r="E1256" s="20" t="s">
        <v>4016</v>
      </c>
      <c r="F1256" s="20" t="s">
        <v>4017</v>
      </c>
      <c r="G1256" s="21">
        <v>13.4</v>
      </c>
      <c r="H1256" s="16">
        <v>26</v>
      </c>
      <c r="I1256" s="16"/>
      <c r="J1256" s="17">
        <v>348.40000000000003</v>
      </c>
      <c r="K1256" s="22"/>
      <c r="L1256" s="23"/>
      <c r="M1256" s="23">
        <v>0</v>
      </c>
      <c r="N1256" s="19">
        <v>26.8</v>
      </c>
      <c r="O1256" s="19">
        <v>-67</v>
      </c>
      <c r="P1256" s="48">
        <v>67</v>
      </c>
      <c r="Q1256" s="17">
        <v>0</v>
      </c>
      <c r="R1256" s="24">
        <v>348.40000000000003</v>
      </c>
      <c r="S1256" s="18" t="s">
        <v>28</v>
      </c>
      <c r="T1256" s="25">
        <v>26</v>
      </c>
    </row>
    <row r="1257" spans="1:20" s="26" customFormat="1" x14ac:dyDescent="0.25">
      <c r="A1257" s="16">
        <v>230863</v>
      </c>
      <c r="B1257" s="30" t="s">
        <v>1533</v>
      </c>
      <c r="C1257" s="20" t="s">
        <v>653</v>
      </c>
      <c r="D1257" s="20" t="s">
        <v>714</v>
      </c>
      <c r="E1257" s="20" t="s">
        <v>4018</v>
      </c>
      <c r="F1257" s="20" t="s">
        <v>4019</v>
      </c>
      <c r="G1257" s="21">
        <v>13.4</v>
      </c>
      <c r="H1257" s="16">
        <v>26</v>
      </c>
      <c r="I1257" s="16"/>
      <c r="J1257" s="17">
        <v>348.40000000000003</v>
      </c>
      <c r="K1257" s="22"/>
      <c r="L1257" s="23"/>
      <c r="M1257" s="23">
        <v>0</v>
      </c>
      <c r="N1257" s="19">
        <v>26.8</v>
      </c>
      <c r="O1257" s="19">
        <v>-67</v>
      </c>
      <c r="P1257" s="48">
        <v>67</v>
      </c>
      <c r="Q1257" s="17">
        <v>0</v>
      </c>
      <c r="R1257" s="24">
        <v>348.40000000000003</v>
      </c>
      <c r="S1257" s="18" t="s">
        <v>28</v>
      </c>
      <c r="T1257" s="25">
        <v>26</v>
      </c>
    </row>
    <row r="1258" spans="1:20" s="26" customFormat="1" x14ac:dyDescent="0.25">
      <c r="A1258" s="16">
        <v>231011</v>
      </c>
      <c r="B1258" s="30" t="s">
        <v>595</v>
      </c>
      <c r="C1258" s="20" t="s">
        <v>653</v>
      </c>
      <c r="D1258" s="20" t="s">
        <v>714</v>
      </c>
      <c r="E1258" s="20" t="s">
        <v>4020</v>
      </c>
      <c r="F1258" s="20" t="s">
        <v>4021</v>
      </c>
      <c r="G1258" s="21">
        <v>13.4</v>
      </c>
      <c r="H1258" s="16">
        <v>26</v>
      </c>
      <c r="I1258" s="16"/>
      <c r="J1258" s="17">
        <v>348.40000000000003</v>
      </c>
      <c r="K1258" s="22"/>
      <c r="L1258" s="23"/>
      <c r="M1258" s="23">
        <v>0</v>
      </c>
      <c r="N1258" s="19">
        <v>26.8</v>
      </c>
      <c r="O1258" s="19">
        <v>-67</v>
      </c>
      <c r="P1258" s="48">
        <v>67</v>
      </c>
      <c r="Q1258" s="17">
        <v>0</v>
      </c>
      <c r="R1258" s="24">
        <v>348.40000000000003</v>
      </c>
      <c r="S1258" s="18" t="s">
        <v>28</v>
      </c>
      <c r="T1258" s="25">
        <v>26</v>
      </c>
    </row>
    <row r="1259" spans="1:20" s="26" customFormat="1" x14ac:dyDescent="0.25">
      <c r="A1259" s="16">
        <v>231096</v>
      </c>
      <c r="B1259" s="30" t="s">
        <v>777</v>
      </c>
      <c r="C1259" s="20" t="s">
        <v>653</v>
      </c>
      <c r="D1259" s="20" t="s">
        <v>714</v>
      </c>
      <c r="E1259" s="20" t="s">
        <v>4022</v>
      </c>
      <c r="F1259" s="20" t="s">
        <v>4023</v>
      </c>
      <c r="G1259" s="21">
        <v>13.4</v>
      </c>
      <c r="H1259" s="16">
        <v>26</v>
      </c>
      <c r="I1259" s="16"/>
      <c r="J1259" s="17">
        <v>348.40000000000003</v>
      </c>
      <c r="K1259" s="22"/>
      <c r="L1259" s="23"/>
      <c r="M1259" s="23">
        <v>0</v>
      </c>
      <c r="N1259" s="19">
        <v>26.8</v>
      </c>
      <c r="O1259" s="19">
        <v>-67</v>
      </c>
      <c r="P1259" s="48">
        <v>67</v>
      </c>
      <c r="Q1259" s="17">
        <v>0</v>
      </c>
      <c r="R1259" s="24">
        <v>348.40000000000003</v>
      </c>
      <c r="S1259" s="18" t="s">
        <v>28</v>
      </c>
      <c r="T1259" s="25">
        <v>26</v>
      </c>
    </row>
    <row r="1260" spans="1:20" s="26" customFormat="1" x14ac:dyDescent="0.25">
      <c r="A1260" s="16">
        <v>231881</v>
      </c>
      <c r="B1260" s="30" t="s">
        <v>868</v>
      </c>
      <c r="C1260" s="20" t="s">
        <v>653</v>
      </c>
      <c r="D1260" s="20" t="s">
        <v>714</v>
      </c>
      <c r="E1260" s="20" t="s">
        <v>4024</v>
      </c>
      <c r="F1260" s="20" t="s">
        <v>4025</v>
      </c>
      <c r="G1260" s="21">
        <v>18.8</v>
      </c>
      <c r="H1260" s="16">
        <v>26</v>
      </c>
      <c r="I1260" s="16"/>
      <c r="J1260" s="17">
        <v>488.8</v>
      </c>
      <c r="K1260" s="22"/>
      <c r="L1260" s="23"/>
      <c r="M1260" s="23">
        <v>0</v>
      </c>
      <c r="N1260" s="19">
        <v>37.6</v>
      </c>
      <c r="O1260" s="19">
        <v>-94</v>
      </c>
      <c r="P1260" s="48">
        <v>94</v>
      </c>
      <c r="Q1260" s="17">
        <v>0</v>
      </c>
      <c r="R1260" s="24">
        <v>488.8</v>
      </c>
      <c r="S1260" s="18" t="s">
        <v>28</v>
      </c>
      <c r="T1260" s="25">
        <v>26</v>
      </c>
    </row>
    <row r="1261" spans="1:20" s="26" customFormat="1" x14ac:dyDescent="0.25">
      <c r="A1261" s="16">
        <v>233957</v>
      </c>
      <c r="B1261" s="30" t="s">
        <v>1248</v>
      </c>
      <c r="C1261" s="20" t="s">
        <v>653</v>
      </c>
      <c r="D1261" s="20" t="s">
        <v>714</v>
      </c>
      <c r="E1261" s="20" t="s">
        <v>4026</v>
      </c>
      <c r="F1261" s="20" t="s">
        <v>4027</v>
      </c>
      <c r="G1261" s="21">
        <v>13.4</v>
      </c>
      <c r="H1261" s="16">
        <v>26</v>
      </c>
      <c r="I1261" s="16"/>
      <c r="J1261" s="17">
        <v>348.40000000000003</v>
      </c>
      <c r="K1261" s="22"/>
      <c r="L1261" s="23"/>
      <c r="M1261" s="23">
        <v>0</v>
      </c>
      <c r="N1261" s="19">
        <v>26.8</v>
      </c>
      <c r="O1261" s="19">
        <v>-67</v>
      </c>
      <c r="P1261" s="48">
        <v>67</v>
      </c>
      <c r="Q1261" s="17">
        <v>0</v>
      </c>
      <c r="R1261" s="24">
        <v>348.40000000000003</v>
      </c>
      <c r="S1261" s="18" t="s">
        <v>28</v>
      </c>
      <c r="T1261" s="25">
        <v>26</v>
      </c>
    </row>
    <row r="1262" spans="1:20" s="26" customFormat="1" x14ac:dyDescent="0.25">
      <c r="A1262" s="16">
        <v>234712</v>
      </c>
      <c r="B1262" s="30" t="s">
        <v>1384</v>
      </c>
      <c r="C1262" s="20" t="s">
        <v>653</v>
      </c>
      <c r="D1262" s="20" t="s">
        <v>714</v>
      </c>
      <c r="E1262" s="20" t="s">
        <v>4028</v>
      </c>
      <c r="F1262" s="20" t="s">
        <v>4029</v>
      </c>
      <c r="G1262" s="21">
        <v>13.4</v>
      </c>
      <c r="H1262" s="16">
        <v>26</v>
      </c>
      <c r="I1262" s="16"/>
      <c r="J1262" s="17">
        <v>348.40000000000003</v>
      </c>
      <c r="K1262" s="22"/>
      <c r="L1262" s="23"/>
      <c r="M1262" s="23">
        <v>0</v>
      </c>
      <c r="N1262" s="19">
        <v>26.8</v>
      </c>
      <c r="O1262" s="19">
        <v>-67</v>
      </c>
      <c r="P1262" s="48">
        <v>67</v>
      </c>
      <c r="Q1262" s="17">
        <v>0</v>
      </c>
      <c r="R1262" s="24">
        <v>348.40000000000003</v>
      </c>
      <c r="S1262" s="18" t="s">
        <v>28</v>
      </c>
      <c r="T1262" s="25">
        <v>26</v>
      </c>
    </row>
    <row r="1263" spans="1:20" s="26" customFormat="1" x14ac:dyDescent="0.25">
      <c r="A1263" s="16">
        <v>234737</v>
      </c>
      <c r="B1263" s="30" t="s">
        <v>1385</v>
      </c>
      <c r="C1263" s="20" t="s">
        <v>653</v>
      </c>
      <c r="D1263" s="20" t="s">
        <v>714</v>
      </c>
      <c r="E1263" s="20" t="s">
        <v>4030</v>
      </c>
      <c r="F1263" s="20" t="s">
        <v>4031</v>
      </c>
      <c r="G1263" s="21">
        <v>13.4</v>
      </c>
      <c r="H1263" s="16">
        <v>26</v>
      </c>
      <c r="I1263" s="16">
        <v>17</v>
      </c>
      <c r="J1263" s="17">
        <v>120.60000000000001</v>
      </c>
      <c r="K1263" s="22"/>
      <c r="L1263" s="23"/>
      <c r="M1263" s="23">
        <v>0</v>
      </c>
      <c r="N1263" s="19">
        <v>26.8</v>
      </c>
      <c r="O1263" s="19">
        <v>-67</v>
      </c>
      <c r="P1263" s="48">
        <v>67</v>
      </c>
      <c r="Q1263" s="17">
        <v>0</v>
      </c>
      <c r="R1263" s="24">
        <v>120.60000000000001</v>
      </c>
      <c r="S1263" s="18" t="s">
        <v>28</v>
      </c>
      <c r="T1263" s="25">
        <v>26</v>
      </c>
    </row>
    <row r="1264" spans="1:20" s="26" customFormat="1" x14ac:dyDescent="0.25">
      <c r="A1264" s="16">
        <v>209273</v>
      </c>
      <c r="B1264" s="30" t="s">
        <v>596</v>
      </c>
      <c r="C1264" s="20" t="s">
        <v>654</v>
      </c>
      <c r="D1264" s="20" t="s">
        <v>745</v>
      </c>
      <c r="E1264" s="20" t="s">
        <v>4034</v>
      </c>
      <c r="F1264" s="20" t="s">
        <v>4035</v>
      </c>
      <c r="G1264" s="21">
        <v>18.8</v>
      </c>
      <c r="H1264" s="16">
        <v>26</v>
      </c>
      <c r="I1264" s="16"/>
      <c r="J1264" s="17">
        <v>488.8</v>
      </c>
      <c r="K1264" s="22"/>
      <c r="L1264" s="23"/>
      <c r="M1264" s="23">
        <v>0</v>
      </c>
      <c r="N1264" s="19">
        <v>37.6</v>
      </c>
      <c r="O1264" s="19">
        <v>-94</v>
      </c>
      <c r="P1264" s="48">
        <v>94</v>
      </c>
      <c r="Q1264" s="17">
        <v>0</v>
      </c>
      <c r="R1264" s="24">
        <v>488.8</v>
      </c>
      <c r="S1264" s="18" t="s">
        <v>28</v>
      </c>
      <c r="T1264" s="25">
        <v>26</v>
      </c>
    </row>
    <row r="1265" spans="1:20" s="26" customFormat="1" x14ac:dyDescent="0.25">
      <c r="A1265" s="16">
        <v>222300</v>
      </c>
      <c r="B1265" s="30" t="s">
        <v>401</v>
      </c>
      <c r="C1265" s="20" t="s">
        <v>654</v>
      </c>
      <c r="D1265" s="20" t="s">
        <v>731</v>
      </c>
      <c r="E1265" s="20" t="s">
        <v>4036</v>
      </c>
      <c r="F1265" s="20" t="s">
        <v>4037</v>
      </c>
      <c r="G1265" s="21">
        <v>18.8</v>
      </c>
      <c r="H1265" s="16">
        <v>26</v>
      </c>
      <c r="I1265" s="16">
        <v>1</v>
      </c>
      <c r="J1265" s="17">
        <v>470</v>
      </c>
      <c r="K1265" s="22"/>
      <c r="L1265" s="23"/>
      <c r="M1265" s="23">
        <v>0</v>
      </c>
      <c r="N1265" s="19">
        <v>37.6</v>
      </c>
      <c r="O1265" s="19">
        <v>-94</v>
      </c>
      <c r="P1265" s="48">
        <v>94</v>
      </c>
      <c r="Q1265" s="17">
        <v>0</v>
      </c>
      <c r="R1265" s="24">
        <v>470</v>
      </c>
      <c r="S1265" s="18" t="s">
        <v>28</v>
      </c>
      <c r="T1265" s="25">
        <v>26</v>
      </c>
    </row>
    <row r="1266" spans="1:20" s="26" customFormat="1" x14ac:dyDescent="0.25">
      <c r="A1266" s="16">
        <v>222990</v>
      </c>
      <c r="B1266" s="30" t="s">
        <v>30</v>
      </c>
      <c r="C1266" s="20" t="s">
        <v>654</v>
      </c>
      <c r="D1266" s="20" t="s">
        <v>715</v>
      </c>
      <c r="E1266" s="20" t="s">
        <v>4038</v>
      </c>
      <c r="F1266" s="20" t="s">
        <v>4039</v>
      </c>
      <c r="G1266" s="21">
        <v>13.4</v>
      </c>
      <c r="H1266" s="16">
        <v>26</v>
      </c>
      <c r="I1266" s="16"/>
      <c r="J1266" s="17">
        <v>348.40000000000003</v>
      </c>
      <c r="K1266" s="22"/>
      <c r="L1266" s="23"/>
      <c r="M1266" s="23">
        <v>0</v>
      </c>
      <c r="N1266" s="19">
        <v>26.8</v>
      </c>
      <c r="O1266" s="19">
        <v>-67</v>
      </c>
      <c r="P1266" s="48">
        <v>67</v>
      </c>
      <c r="Q1266" s="17">
        <v>0</v>
      </c>
      <c r="R1266" s="24">
        <v>348.40000000000003</v>
      </c>
      <c r="S1266" s="18" t="s">
        <v>28</v>
      </c>
      <c r="T1266" s="25">
        <v>26</v>
      </c>
    </row>
    <row r="1267" spans="1:20" s="26" customFormat="1" x14ac:dyDescent="0.25">
      <c r="A1267" s="16">
        <v>226482</v>
      </c>
      <c r="B1267" s="30" t="s">
        <v>597</v>
      </c>
      <c r="C1267" s="20" t="s">
        <v>654</v>
      </c>
      <c r="D1267" s="20" t="s">
        <v>715</v>
      </c>
      <c r="E1267" s="20" t="s">
        <v>4040</v>
      </c>
      <c r="F1267" s="20" t="s">
        <v>4041</v>
      </c>
      <c r="G1267" s="21">
        <v>13.4</v>
      </c>
      <c r="H1267" s="16">
        <v>26</v>
      </c>
      <c r="I1267" s="16"/>
      <c r="J1267" s="17">
        <v>348.40000000000003</v>
      </c>
      <c r="K1267" s="22"/>
      <c r="L1267" s="23"/>
      <c r="M1267" s="23">
        <v>0</v>
      </c>
      <c r="N1267" s="19">
        <v>26.8</v>
      </c>
      <c r="O1267" s="19">
        <v>-67</v>
      </c>
      <c r="P1267" s="48">
        <v>67</v>
      </c>
      <c r="Q1267" s="17">
        <v>0</v>
      </c>
      <c r="R1267" s="24">
        <v>348.40000000000003</v>
      </c>
      <c r="S1267" s="18" t="s">
        <v>28</v>
      </c>
      <c r="T1267" s="25">
        <v>26</v>
      </c>
    </row>
    <row r="1268" spans="1:20" s="26" customFormat="1" x14ac:dyDescent="0.25">
      <c r="A1268" s="16">
        <v>226707</v>
      </c>
      <c r="B1268" s="30" t="s">
        <v>1116</v>
      </c>
      <c r="C1268" s="20" t="s">
        <v>654</v>
      </c>
      <c r="D1268" s="20" t="s">
        <v>715</v>
      </c>
      <c r="E1268" s="20" t="s">
        <v>4042</v>
      </c>
      <c r="F1268" s="20" t="s">
        <v>4043</v>
      </c>
      <c r="G1268" s="21">
        <v>13.4</v>
      </c>
      <c r="H1268" s="16">
        <v>26</v>
      </c>
      <c r="I1268" s="16">
        <v>10</v>
      </c>
      <c r="J1268" s="17">
        <v>214.4</v>
      </c>
      <c r="K1268" s="22"/>
      <c r="L1268" s="23"/>
      <c r="M1268" s="23">
        <v>0</v>
      </c>
      <c r="N1268" s="19">
        <v>26.8</v>
      </c>
      <c r="O1268" s="19">
        <v>-67</v>
      </c>
      <c r="P1268" s="48">
        <v>67</v>
      </c>
      <c r="Q1268" s="17">
        <v>0</v>
      </c>
      <c r="R1268" s="24">
        <v>214.4</v>
      </c>
      <c r="S1268" s="18" t="s">
        <v>28</v>
      </c>
      <c r="T1268" s="25">
        <v>26</v>
      </c>
    </row>
    <row r="1269" spans="1:20" s="26" customFormat="1" x14ac:dyDescent="0.25">
      <c r="A1269" s="16">
        <v>226943</v>
      </c>
      <c r="B1269" s="30" t="s">
        <v>1250</v>
      </c>
      <c r="C1269" s="20" t="s">
        <v>654</v>
      </c>
      <c r="D1269" s="20" t="s">
        <v>1268</v>
      </c>
      <c r="E1269" s="20" t="s">
        <v>4044</v>
      </c>
      <c r="F1269" s="20" t="s">
        <v>4045</v>
      </c>
      <c r="G1269" s="21">
        <v>15.4</v>
      </c>
      <c r="H1269" s="16">
        <v>26</v>
      </c>
      <c r="I1269" s="16">
        <v>6</v>
      </c>
      <c r="J1269" s="17">
        <v>308</v>
      </c>
      <c r="K1269" s="22"/>
      <c r="L1269" s="23"/>
      <c r="M1269" s="23">
        <v>0</v>
      </c>
      <c r="N1269" s="19">
        <v>30.8</v>
      </c>
      <c r="O1269" s="19">
        <v>-77</v>
      </c>
      <c r="P1269" s="48">
        <v>77</v>
      </c>
      <c r="Q1269" s="17">
        <v>0</v>
      </c>
      <c r="R1269" s="24">
        <v>308</v>
      </c>
      <c r="S1269" s="18" t="s">
        <v>28</v>
      </c>
      <c r="T1269" s="25">
        <v>26</v>
      </c>
    </row>
    <row r="1270" spans="1:20" s="26" customFormat="1" x14ac:dyDescent="0.25">
      <c r="A1270" s="16">
        <v>230722</v>
      </c>
      <c r="B1270" s="30" t="s">
        <v>562</v>
      </c>
      <c r="C1270" s="20" t="s">
        <v>654</v>
      </c>
      <c r="D1270" s="20" t="s">
        <v>715</v>
      </c>
      <c r="E1270" s="20" t="s">
        <v>4046</v>
      </c>
      <c r="F1270" s="20" t="s">
        <v>4047</v>
      </c>
      <c r="G1270" s="21">
        <v>13.4</v>
      </c>
      <c r="H1270" s="16">
        <v>26</v>
      </c>
      <c r="I1270" s="16">
        <v>3</v>
      </c>
      <c r="J1270" s="17">
        <v>308.2</v>
      </c>
      <c r="K1270" s="22"/>
      <c r="L1270" s="23"/>
      <c r="M1270" s="23">
        <v>0</v>
      </c>
      <c r="N1270" s="19">
        <v>26.8</v>
      </c>
      <c r="O1270" s="19">
        <v>-67</v>
      </c>
      <c r="P1270" s="48">
        <v>67</v>
      </c>
      <c r="Q1270" s="17">
        <v>0</v>
      </c>
      <c r="R1270" s="24">
        <v>308.2</v>
      </c>
      <c r="S1270" s="18" t="s">
        <v>28</v>
      </c>
      <c r="T1270" s="25">
        <v>26</v>
      </c>
    </row>
    <row r="1271" spans="1:20" s="26" customFormat="1" x14ac:dyDescent="0.25">
      <c r="A1271" s="16">
        <v>230834</v>
      </c>
      <c r="B1271" s="30" t="s">
        <v>1534</v>
      </c>
      <c r="C1271" s="20" t="s">
        <v>654</v>
      </c>
      <c r="D1271" s="20" t="s">
        <v>715</v>
      </c>
      <c r="E1271" s="20" t="s">
        <v>4048</v>
      </c>
      <c r="F1271" s="20" t="s">
        <v>4049</v>
      </c>
      <c r="G1271" s="21">
        <v>13.4</v>
      </c>
      <c r="H1271" s="16">
        <v>26</v>
      </c>
      <c r="I1271" s="16">
        <v>3</v>
      </c>
      <c r="J1271" s="17">
        <v>308.2</v>
      </c>
      <c r="K1271" s="22"/>
      <c r="L1271" s="23"/>
      <c r="M1271" s="23">
        <v>0</v>
      </c>
      <c r="N1271" s="19">
        <v>26.8</v>
      </c>
      <c r="O1271" s="19">
        <v>-67</v>
      </c>
      <c r="P1271" s="48">
        <v>67</v>
      </c>
      <c r="Q1271" s="17">
        <v>0</v>
      </c>
      <c r="R1271" s="24">
        <v>308.2</v>
      </c>
      <c r="S1271" s="18" t="s">
        <v>28</v>
      </c>
      <c r="T1271" s="25">
        <v>26</v>
      </c>
    </row>
    <row r="1272" spans="1:20" s="26" customFormat="1" x14ac:dyDescent="0.25">
      <c r="A1272" s="16">
        <v>230837</v>
      </c>
      <c r="B1272" s="30" t="s">
        <v>598</v>
      </c>
      <c r="C1272" s="20" t="s">
        <v>654</v>
      </c>
      <c r="D1272" s="20" t="s">
        <v>715</v>
      </c>
      <c r="E1272" s="20" t="s">
        <v>4050</v>
      </c>
      <c r="F1272" s="20" t="s">
        <v>4051</v>
      </c>
      <c r="G1272" s="21">
        <v>13.4</v>
      </c>
      <c r="H1272" s="16">
        <v>26</v>
      </c>
      <c r="I1272" s="16"/>
      <c r="J1272" s="17">
        <v>348.40000000000003</v>
      </c>
      <c r="K1272" s="22"/>
      <c r="L1272" s="23"/>
      <c r="M1272" s="23">
        <v>0</v>
      </c>
      <c r="N1272" s="19">
        <v>26.8</v>
      </c>
      <c r="O1272" s="19">
        <v>-67</v>
      </c>
      <c r="P1272" s="48">
        <v>67</v>
      </c>
      <c r="Q1272" s="17">
        <v>0</v>
      </c>
      <c r="R1272" s="24">
        <v>348.40000000000003</v>
      </c>
      <c r="S1272" s="18" t="s">
        <v>28</v>
      </c>
      <c r="T1272" s="25">
        <v>26</v>
      </c>
    </row>
    <row r="1273" spans="1:20" s="26" customFormat="1" x14ac:dyDescent="0.25">
      <c r="A1273" s="16">
        <v>230840</v>
      </c>
      <c r="B1273" s="30" t="s">
        <v>599</v>
      </c>
      <c r="C1273" s="20" t="s">
        <v>654</v>
      </c>
      <c r="D1273" s="20" t="s">
        <v>715</v>
      </c>
      <c r="E1273" s="20" t="s">
        <v>4052</v>
      </c>
      <c r="F1273" s="20" t="s">
        <v>4053</v>
      </c>
      <c r="G1273" s="21">
        <v>13.4</v>
      </c>
      <c r="H1273" s="16">
        <v>26</v>
      </c>
      <c r="I1273" s="16">
        <v>1</v>
      </c>
      <c r="J1273" s="17">
        <v>335</v>
      </c>
      <c r="K1273" s="22"/>
      <c r="L1273" s="23"/>
      <c r="M1273" s="23">
        <v>0</v>
      </c>
      <c r="N1273" s="19">
        <v>26.8</v>
      </c>
      <c r="O1273" s="19">
        <v>-67</v>
      </c>
      <c r="P1273" s="48">
        <v>67</v>
      </c>
      <c r="Q1273" s="17">
        <v>0</v>
      </c>
      <c r="R1273" s="24">
        <v>335</v>
      </c>
      <c r="S1273" s="18" t="s">
        <v>28</v>
      </c>
      <c r="T1273" s="25">
        <v>26</v>
      </c>
    </row>
    <row r="1274" spans="1:20" s="26" customFormat="1" x14ac:dyDescent="0.25">
      <c r="A1274" s="16">
        <v>230841</v>
      </c>
      <c r="B1274" s="30" t="s">
        <v>600</v>
      </c>
      <c r="C1274" s="20" t="s">
        <v>654</v>
      </c>
      <c r="D1274" s="20" t="s">
        <v>715</v>
      </c>
      <c r="E1274" s="20" t="s">
        <v>4054</v>
      </c>
      <c r="F1274" s="20" t="s">
        <v>4055</v>
      </c>
      <c r="G1274" s="21">
        <v>13.4</v>
      </c>
      <c r="H1274" s="16">
        <v>26</v>
      </c>
      <c r="I1274" s="16"/>
      <c r="J1274" s="17">
        <v>348.40000000000003</v>
      </c>
      <c r="K1274" s="22"/>
      <c r="L1274" s="23"/>
      <c r="M1274" s="23">
        <v>0</v>
      </c>
      <c r="N1274" s="19">
        <v>26.8</v>
      </c>
      <c r="O1274" s="19">
        <v>-67</v>
      </c>
      <c r="P1274" s="48">
        <v>67</v>
      </c>
      <c r="Q1274" s="17">
        <v>0</v>
      </c>
      <c r="R1274" s="24">
        <v>348.40000000000003</v>
      </c>
      <c r="S1274" s="18" t="s">
        <v>28</v>
      </c>
      <c r="T1274" s="25">
        <v>26</v>
      </c>
    </row>
    <row r="1275" spans="1:20" s="26" customFormat="1" x14ac:dyDescent="0.25">
      <c r="A1275" s="16">
        <v>230843</v>
      </c>
      <c r="B1275" s="30" t="s">
        <v>601</v>
      </c>
      <c r="C1275" s="20" t="s">
        <v>654</v>
      </c>
      <c r="D1275" s="20" t="s">
        <v>715</v>
      </c>
      <c r="E1275" s="20" t="s">
        <v>4056</v>
      </c>
      <c r="F1275" s="20" t="s">
        <v>4057</v>
      </c>
      <c r="G1275" s="21">
        <v>13.4</v>
      </c>
      <c r="H1275" s="16">
        <v>5</v>
      </c>
      <c r="I1275" s="16"/>
      <c r="J1275" s="17">
        <v>67</v>
      </c>
      <c r="K1275" s="22"/>
      <c r="L1275" s="23"/>
      <c r="M1275" s="23">
        <v>0</v>
      </c>
      <c r="N1275" s="19">
        <v>26.8</v>
      </c>
      <c r="O1275" s="19">
        <v>-67</v>
      </c>
      <c r="P1275" s="48">
        <v>67</v>
      </c>
      <c r="Q1275" s="17">
        <v>0</v>
      </c>
      <c r="R1275" s="24">
        <v>67</v>
      </c>
      <c r="S1275" s="18" t="s">
        <v>28</v>
      </c>
      <c r="T1275" s="25">
        <v>26</v>
      </c>
    </row>
    <row r="1276" spans="1:20" s="26" customFormat="1" x14ac:dyDescent="0.25">
      <c r="A1276" s="16">
        <v>230846</v>
      </c>
      <c r="B1276" s="30" t="s">
        <v>602</v>
      </c>
      <c r="C1276" s="20" t="s">
        <v>654</v>
      </c>
      <c r="D1276" s="20" t="s">
        <v>715</v>
      </c>
      <c r="E1276" s="20" t="s">
        <v>4058</v>
      </c>
      <c r="F1276" s="20" t="s">
        <v>4059</v>
      </c>
      <c r="G1276" s="21">
        <v>13.4</v>
      </c>
      <c r="H1276" s="16">
        <v>26</v>
      </c>
      <c r="I1276" s="16"/>
      <c r="J1276" s="17">
        <v>348.40000000000003</v>
      </c>
      <c r="K1276" s="22"/>
      <c r="L1276" s="23"/>
      <c r="M1276" s="23">
        <v>0</v>
      </c>
      <c r="N1276" s="19">
        <v>26.8</v>
      </c>
      <c r="O1276" s="19">
        <v>-67</v>
      </c>
      <c r="P1276" s="48">
        <v>67</v>
      </c>
      <c r="Q1276" s="17">
        <v>0</v>
      </c>
      <c r="R1276" s="24">
        <v>348.40000000000003</v>
      </c>
      <c r="S1276" s="18" t="s">
        <v>28</v>
      </c>
      <c r="T1276" s="25">
        <v>26</v>
      </c>
    </row>
    <row r="1277" spans="1:20" s="26" customFormat="1" x14ac:dyDescent="0.25">
      <c r="A1277" s="16">
        <v>230847</v>
      </c>
      <c r="B1277" s="30" t="s">
        <v>1535</v>
      </c>
      <c r="C1277" s="20" t="s">
        <v>654</v>
      </c>
      <c r="D1277" s="20" t="s">
        <v>715</v>
      </c>
      <c r="E1277" s="20" t="s">
        <v>4060</v>
      </c>
      <c r="F1277" s="20" t="s">
        <v>4061</v>
      </c>
      <c r="G1277" s="21">
        <v>13.4</v>
      </c>
      <c r="H1277" s="16">
        <v>26</v>
      </c>
      <c r="I1277" s="16"/>
      <c r="J1277" s="17">
        <v>348.40000000000003</v>
      </c>
      <c r="K1277" s="22"/>
      <c r="L1277" s="23"/>
      <c r="M1277" s="23">
        <v>0</v>
      </c>
      <c r="N1277" s="19">
        <v>26.8</v>
      </c>
      <c r="O1277" s="19">
        <v>-67</v>
      </c>
      <c r="P1277" s="48">
        <v>67</v>
      </c>
      <c r="Q1277" s="17">
        <v>0</v>
      </c>
      <c r="R1277" s="24">
        <v>348.40000000000003</v>
      </c>
      <c r="S1277" s="18" t="s">
        <v>28</v>
      </c>
      <c r="T1277" s="25">
        <v>26</v>
      </c>
    </row>
    <row r="1278" spans="1:20" s="26" customFormat="1" x14ac:dyDescent="0.25">
      <c r="A1278" s="16">
        <v>230906</v>
      </c>
      <c r="B1278" s="30" t="s">
        <v>603</v>
      </c>
      <c r="C1278" s="20" t="s">
        <v>654</v>
      </c>
      <c r="D1278" s="20" t="s">
        <v>715</v>
      </c>
      <c r="E1278" s="20" t="s">
        <v>4062</v>
      </c>
      <c r="F1278" s="20" t="s">
        <v>4063</v>
      </c>
      <c r="G1278" s="21">
        <v>13.4</v>
      </c>
      <c r="H1278" s="16">
        <v>26</v>
      </c>
      <c r="I1278" s="16"/>
      <c r="J1278" s="17">
        <v>348.40000000000003</v>
      </c>
      <c r="K1278" s="22"/>
      <c r="L1278" s="23"/>
      <c r="M1278" s="23">
        <v>0</v>
      </c>
      <c r="N1278" s="19">
        <v>26.8</v>
      </c>
      <c r="O1278" s="19">
        <v>-67</v>
      </c>
      <c r="P1278" s="48">
        <v>67</v>
      </c>
      <c r="Q1278" s="17">
        <v>0</v>
      </c>
      <c r="R1278" s="24">
        <v>348.40000000000003</v>
      </c>
      <c r="S1278" s="18" t="s">
        <v>28</v>
      </c>
      <c r="T1278" s="25">
        <v>26</v>
      </c>
    </row>
    <row r="1279" spans="1:20" s="26" customFormat="1" x14ac:dyDescent="0.25">
      <c r="A1279" s="16">
        <v>231006</v>
      </c>
      <c r="B1279" s="30" t="s">
        <v>604</v>
      </c>
      <c r="C1279" s="20" t="s">
        <v>654</v>
      </c>
      <c r="D1279" s="20" t="s">
        <v>715</v>
      </c>
      <c r="E1279" s="20" t="s">
        <v>4064</v>
      </c>
      <c r="F1279" s="20" t="s">
        <v>4065</v>
      </c>
      <c r="G1279" s="21">
        <v>13.4</v>
      </c>
      <c r="H1279" s="16">
        <v>26</v>
      </c>
      <c r="I1279" s="16"/>
      <c r="J1279" s="17">
        <v>348.40000000000003</v>
      </c>
      <c r="K1279" s="22"/>
      <c r="L1279" s="23"/>
      <c r="M1279" s="23">
        <v>0</v>
      </c>
      <c r="N1279" s="19">
        <v>26.8</v>
      </c>
      <c r="O1279" s="19">
        <v>-67</v>
      </c>
      <c r="P1279" s="48">
        <v>67</v>
      </c>
      <c r="Q1279" s="17">
        <v>0</v>
      </c>
      <c r="R1279" s="24">
        <v>348.40000000000003</v>
      </c>
      <c r="S1279" s="18" t="s">
        <v>28</v>
      </c>
      <c r="T1279" s="25">
        <v>26</v>
      </c>
    </row>
    <row r="1280" spans="1:20" s="26" customFormat="1" x14ac:dyDescent="0.25">
      <c r="A1280" s="16">
        <v>231710</v>
      </c>
      <c r="B1280" s="30" t="s">
        <v>877</v>
      </c>
      <c r="C1280" s="20" t="s">
        <v>654</v>
      </c>
      <c r="D1280" s="20" t="s">
        <v>715</v>
      </c>
      <c r="E1280" s="20" t="s">
        <v>4066</v>
      </c>
      <c r="F1280" s="20" t="s">
        <v>4067</v>
      </c>
      <c r="G1280" s="21">
        <v>15.4</v>
      </c>
      <c r="H1280" s="16">
        <v>26</v>
      </c>
      <c r="I1280" s="16">
        <v>2</v>
      </c>
      <c r="J1280" s="17">
        <v>369.6</v>
      </c>
      <c r="K1280" s="22"/>
      <c r="L1280" s="23"/>
      <c r="M1280" s="23">
        <v>0</v>
      </c>
      <c r="N1280" s="19">
        <v>30.8</v>
      </c>
      <c r="O1280" s="19">
        <v>-77</v>
      </c>
      <c r="P1280" s="48">
        <v>77</v>
      </c>
      <c r="Q1280" s="17">
        <v>0</v>
      </c>
      <c r="R1280" s="24">
        <v>369.6</v>
      </c>
      <c r="S1280" s="18" t="s">
        <v>28</v>
      </c>
      <c r="T1280" s="25">
        <v>26</v>
      </c>
    </row>
    <row r="1281" spans="1:20" s="26" customFormat="1" x14ac:dyDescent="0.25">
      <c r="A1281" s="16">
        <v>232642</v>
      </c>
      <c r="B1281" s="30" t="s">
        <v>952</v>
      </c>
      <c r="C1281" s="20" t="s">
        <v>654</v>
      </c>
      <c r="D1281" s="20" t="s">
        <v>715</v>
      </c>
      <c r="E1281" s="20" t="s">
        <v>4068</v>
      </c>
      <c r="F1281" s="20" t="s">
        <v>4069</v>
      </c>
      <c r="G1281" s="21">
        <v>13.4</v>
      </c>
      <c r="H1281" s="16">
        <v>26</v>
      </c>
      <c r="I1281" s="16"/>
      <c r="J1281" s="17">
        <v>348.40000000000003</v>
      </c>
      <c r="K1281" s="22"/>
      <c r="L1281" s="23"/>
      <c r="M1281" s="23">
        <v>0</v>
      </c>
      <c r="N1281" s="19">
        <v>26.8</v>
      </c>
      <c r="O1281" s="19">
        <v>-67</v>
      </c>
      <c r="P1281" s="48">
        <v>67</v>
      </c>
      <c r="Q1281" s="17">
        <v>0</v>
      </c>
      <c r="R1281" s="24">
        <v>348.40000000000003</v>
      </c>
      <c r="S1281" s="18" t="s">
        <v>28</v>
      </c>
      <c r="T1281" s="25">
        <v>26</v>
      </c>
    </row>
    <row r="1282" spans="1:20" s="26" customFormat="1" x14ac:dyDescent="0.25">
      <c r="A1282" s="16">
        <v>232755</v>
      </c>
      <c r="B1282" s="30" t="s">
        <v>953</v>
      </c>
      <c r="C1282" s="20" t="s">
        <v>654</v>
      </c>
      <c r="D1282" s="20" t="s">
        <v>715</v>
      </c>
      <c r="E1282" s="20" t="s">
        <v>4070</v>
      </c>
      <c r="F1282" s="20" t="s">
        <v>4071</v>
      </c>
      <c r="G1282" s="21">
        <v>13.4</v>
      </c>
      <c r="H1282" s="16">
        <v>26</v>
      </c>
      <c r="I1282" s="16"/>
      <c r="J1282" s="17">
        <v>348.40000000000003</v>
      </c>
      <c r="K1282" s="22"/>
      <c r="L1282" s="23"/>
      <c r="M1282" s="23">
        <v>0</v>
      </c>
      <c r="N1282" s="19">
        <v>26.8</v>
      </c>
      <c r="O1282" s="19">
        <v>-67</v>
      </c>
      <c r="P1282" s="48">
        <v>67</v>
      </c>
      <c r="Q1282" s="17">
        <v>0</v>
      </c>
      <c r="R1282" s="24">
        <v>348.40000000000003</v>
      </c>
      <c r="S1282" s="18" t="s">
        <v>28</v>
      </c>
      <c r="T1282" s="25">
        <v>26</v>
      </c>
    </row>
    <row r="1283" spans="1:20" s="26" customFormat="1" x14ac:dyDescent="0.25">
      <c r="A1283" s="16">
        <v>232868</v>
      </c>
      <c r="B1283" s="30" t="s">
        <v>954</v>
      </c>
      <c r="C1283" s="20" t="s">
        <v>654</v>
      </c>
      <c r="D1283" s="20" t="s">
        <v>715</v>
      </c>
      <c r="E1283" s="20" t="s">
        <v>4072</v>
      </c>
      <c r="F1283" s="20" t="s">
        <v>4073</v>
      </c>
      <c r="G1283" s="21">
        <v>13.4</v>
      </c>
      <c r="H1283" s="16">
        <v>26</v>
      </c>
      <c r="I1283" s="16">
        <v>1</v>
      </c>
      <c r="J1283" s="17">
        <v>335</v>
      </c>
      <c r="K1283" s="22"/>
      <c r="L1283" s="23"/>
      <c r="M1283" s="23">
        <v>0</v>
      </c>
      <c r="N1283" s="19">
        <v>26.8</v>
      </c>
      <c r="O1283" s="19">
        <v>-67</v>
      </c>
      <c r="P1283" s="48">
        <v>67</v>
      </c>
      <c r="Q1283" s="17">
        <v>0</v>
      </c>
      <c r="R1283" s="24">
        <v>335</v>
      </c>
      <c r="S1283" s="18" t="s">
        <v>28</v>
      </c>
      <c r="T1283" s="25">
        <v>26</v>
      </c>
    </row>
    <row r="1284" spans="1:20" s="26" customFormat="1" x14ac:dyDescent="0.25">
      <c r="A1284" s="16">
        <v>233308</v>
      </c>
      <c r="B1284" s="30" t="s">
        <v>1117</v>
      </c>
      <c r="C1284" s="20" t="s">
        <v>654</v>
      </c>
      <c r="D1284" s="20" t="s">
        <v>715</v>
      </c>
      <c r="E1284" s="20" t="s">
        <v>4074</v>
      </c>
      <c r="F1284" s="20" t="s">
        <v>4075</v>
      </c>
      <c r="G1284" s="21">
        <v>13.4</v>
      </c>
      <c r="H1284" s="16">
        <v>26</v>
      </c>
      <c r="I1284" s="16"/>
      <c r="J1284" s="17">
        <v>348.40000000000003</v>
      </c>
      <c r="K1284" s="22"/>
      <c r="L1284" s="23"/>
      <c r="M1284" s="23">
        <v>0</v>
      </c>
      <c r="N1284" s="19">
        <v>26.8</v>
      </c>
      <c r="O1284" s="19">
        <v>-67</v>
      </c>
      <c r="P1284" s="48">
        <v>67</v>
      </c>
      <c r="Q1284" s="17">
        <v>0</v>
      </c>
      <c r="R1284" s="24">
        <v>348.40000000000003</v>
      </c>
      <c r="S1284" s="18" t="s">
        <v>28</v>
      </c>
      <c r="T1284" s="25">
        <v>26</v>
      </c>
    </row>
    <row r="1285" spans="1:20" s="26" customFormat="1" x14ac:dyDescent="0.25">
      <c r="A1285" s="16">
        <v>233345</v>
      </c>
      <c r="B1285" s="30" t="s">
        <v>1118</v>
      </c>
      <c r="C1285" s="20" t="s">
        <v>654</v>
      </c>
      <c r="D1285" s="20" t="s">
        <v>715</v>
      </c>
      <c r="E1285" s="20" t="s">
        <v>4076</v>
      </c>
      <c r="F1285" s="20" t="s">
        <v>4077</v>
      </c>
      <c r="G1285" s="21">
        <v>13.4</v>
      </c>
      <c r="H1285" s="16">
        <v>26</v>
      </c>
      <c r="I1285" s="16"/>
      <c r="J1285" s="17">
        <v>348.40000000000003</v>
      </c>
      <c r="K1285" s="22"/>
      <c r="L1285" s="23"/>
      <c r="M1285" s="23">
        <v>0</v>
      </c>
      <c r="N1285" s="19">
        <v>26.8</v>
      </c>
      <c r="O1285" s="19">
        <v>-67</v>
      </c>
      <c r="P1285" s="48">
        <v>67</v>
      </c>
      <c r="Q1285" s="17">
        <v>0</v>
      </c>
      <c r="R1285" s="24">
        <v>348.40000000000003</v>
      </c>
      <c r="S1285" s="18" t="s">
        <v>28</v>
      </c>
      <c r="T1285" s="25">
        <v>26</v>
      </c>
    </row>
    <row r="1286" spans="1:20" s="26" customFormat="1" x14ac:dyDescent="0.25">
      <c r="A1286" s="16">
        <v>233477</v>
      </c>
      <c r="B1286" s="30" t="s">
        <v>1119</v>
      </c>
      <c r="C1286" s="20" t="s">
        <v>654</v>
      </c>
      <c r="D1286" s="20" t="s">
        <v>715</v>
      </c>
      <c r="E1286" s="20" t="s">
        <v>4078</v>
      </c>
      <c r="F1286" s="20" t="s">
        <v>4079</v>
      </c>
      <c r="G1286" s="21">
        <v>18.8</v>
      </c>
      <c r="H1286" s="16">
        <v>26</v>
      </c>
      <c r="I1286" s="16"/>
      <c r="J1286" s="17">
        <v>488.8</v>
      </c>
      <c r="K1286" s="22"/>
      <c r="L1286" s="23"/>
      <c r="M1286" s="23">
        <v>0</v>
      </c>
      <c r="N1286" s="19">
        <v>37.6</v>
      </c>
      <c r="O1286" s="19">
        <v>-94</v>
      </c>
      <c r="P1286" s="48">
        <v>94</v>
      </c>
      <c r="Q1286" s="17">
        <v>0</v>
      </c>
      <c r="R1286" s="24">
        <v>488.8</v>
      </c>
      <c r="S1286" s="18" t="s">
        <v>28</v>
      </c>
      <c r="T1286" s="25">
        <v>26</v>
      </c>
    </row>
    <row r="1287" spans="1:20" s="26" customFormat="1" x14ac:dyDescent="0.25">
      <c r="A1287" s="16">
        <v>234332</v>
      </c>
      <c r="B1287" s="30" t="s">
        <v>1302</v>
      </c>
      <c r="C1287" s="20" t="s">
        <v>654</v>
      </c>
      <c r="D1287" s="20" t="s">
        <v>715</v>
      </c>
      <c r="E1287" s="20" t="s">
        <v>4080</v>
      </c>
      <c r="F1287" s="20" t="s">
        <v>4081</v>
      </c>
      <c r="G1287" s="21">
        <v>13.4</v>
      </c>
      <c r="H1287" s="16">
        <v>26</v>
      </c>
      <c r="I1287" s="16"/>
      <c r="J1287" s="17">
        <v>348.40000000000003</v>
      </c>
      <c r="K1287" s="22"/>
      <c r="L1287" s="23"/>
      <c r="M1287" s="23">
        <v>0</v>
      </c>
      <c r="N1287" s="19">
        <v>26.8</v>
      </c>
      <c r="O1287" s="19">
        <v>-67</v>
      </c>
      <c r="P1287" s="48">
        <v>67</v>
      </c>
      <c r="Q1287" s="17">
        <v>0</v>
      </c>
      <c r="R1287" s="24">
        <v>348.40000000000003</v>
      </c>
      <c r="S1287" s="18" t="s">
        <v>28</v>
      </c>
      <c r="T1287" s="25">
        <v>26</v>
      </c>
    </row>
    <row r="1288" spans="1:20" s="26" customFormat="1" x14ac:dyDescent="0.25">
      <c r="A1288" s="16">
        <v>234333</v>
      </c>
      <c r="B1288" s="30" t="s">
        <v>1303</v>
      </c>
      <c r="C1288" s="20" t="s">
        <v>654</v>
      </c>
      <c r="D1288" s="20" t="s">
        <v>715</v>
      </c>
      <c r="E1288" s="20" t="s">
        <v>4082</v>
      </c>
      <c r="F1288" s="20" t="s">
        <v>4083</v>
      </c>
      <c r="G1288" s="21">
        <v>13.4</v>
      </c>
      <c r="H1288" s="16">
        <v>26</v>
      </c>
      <c r="I1288" s="16">
        <v>5</v>
      </c>
      <c r="J1288" s="17">
        <v>281.40000000000003</v>
      </c>
      <c r="K1288" s="22"/>
      <c r="L1288" s="23"/>
      <c r="M1288" s="23">
        <v>0</v>
      </c>
      <c r="N1288" s="19">
        <v>26.8</v>
      </c>
      <c r="O1288" s="19">
        <v>-67</v>
      </c>
      <c r="P1288" s="48">
        <v>67</v>
      </c>
      <c r="Q1288" s="17">
        <v>0</v>
      </c>
      <c r="R1288" s="24">
        <v>281.40000000000003</v>
      </c>
      <c r="S1288" s="18" t="s">
        <v>28</v>
      </c>
      <c r="T1288" s="25">
        <v>26</v>
      </c>
    </row>
    <row r="1289" spans="1:20" s="26" customFormat="1" x14ac:dyDescent="0.25">
      <c r="A1289" s="16">
        <v>234639</v>
      </c>
      <c r="B1289" s="30" t="s">
        <v>1333</v>
      </c>
      <c r="C1289" s="20" t="s">
        <v>654</v>
      </c>
      <c r="D1289" s="20" t="s">
        <v>715</v>
      </c>
      <c r="E1289" s="20" t="s">
        <v>4084</v>
      </c>
      <c r="F1289" s="20" t="s">
        <v>4085</v>
      </c>
      <c r="G1289" s="21">
        <v>13.4</v>
      </c>
      <c r="H1289" s="16">
        <v>26</v>
      </c>
      <c r="I1289" s="16"/>
      <c r="J1289" s="17">
        <v>348.40000000000003</v>
      </c>
      <c r="K1289" s="22"/>
      <c r="L1289" s="23"/>
      <c r="M1289" s="23">
        <v>0</v>
      </c>
      <c r="N1289" s="19">
        <v>26.8</v>
      </c>
      <c r="O1289" s="19">
        <v>-67</v>
      </c>
      <c r="P1289" s="48">
        <v>67</v>
      </c>
      <c r="Q1289" s="17">
        <v>0</v>
      </c>
      <c r="R1289" s="24">
        <v>348.40000000000003</v>
      </c>
      <c r="S1289" s="18" t="s">
        <v>28</v>
      </c>
      <c r="T1289" s="25">
        <v>26</v>
      </c>
    </row>
    <row r="1290" spans="1:20" s="26" customFormat="1" x14ac:dyDescent="0.25">
      <c r="A1290" s="16">
        <v>234665</v>
      </c>
      <c r="B1290" s="30" t="s">
        <v>1334</v>
      </c>
      <c r="C1290" s="20" t="s">
        <v>654</v>
      </c>
      <c r="D1290" s="20" t="s">
        <v>715</v>
      </c>
      <c r="E1290" s="20" t="s">
        <v>4086</v>
      </c>
      <c r="F1290" s="20" t="s">
        <v>4087</v>
      </c>
      <c r="G1290" s="21">
        <v>13.4</v>
      </c>
      <c r="H1290" s="16">
        <v>26</v>
      </c>
      <c r="I1290" s="16">
        <v>1</v>
      </c>
      <c r="J1290" s="17">
        <v>335</v>
      </c>
      <c r="K1290" s="22"/>
      <c r="L1290" s="23"/>
      <c r="M1290" s="23">
        <v>0</v>
      </c>
      <c r="N1290" s="19">
        <v>26.8</v>
      </c>
      <c r="O1290" s="19">
        <v>-67</v>
      </c>
      <c r="P1290" s="48">
        <v>67</v>
      </c>
      <c r="Q1290" s="17">
        <v>0</v>
      </c>
      <c r="R1290" s="24">
        <v>335</v>
      </c>
      <c r="S1290" s="18" t="s">
        <v>28</v>
      </c>
      <c r="T1290" s="25">
        <v>26</v>
      </c>
    </row>
    <row r="1291" spans="1:20" s="26" customFormat="1" x14ac:dyDescent="0.25">
      <c r="A1291" s="16">
        <v>222107</v>
      </c>
      <c r="B1291" s="30" t="s">
        <v>1536</v>
      </c>
      <c r="C1291" s="20" t="s">
        <v>640</v>
      </c>
      <c r="D1291" s="20" t="s">
        <v>702</v>
      </c>
      <c r="E1291" s="20" t="s">
        <v>4088</v>
      </c>
      <c r="F1291" s="20" t="s">
        <v>4089</v>
      </c>
      <c r="G1291" s="21">
        <v>13.4</v>
      </c>
      <c r="H1291" s="16">
        <v>26</v>
      </c>
      <c r="I1291" s="16"/>
      <c r="J1291" s="17">
        <v>348.40000000000003</v>
      </c>
      <c r="K1291" s="22"/>
      <c r="L1291" s="23"/>
      <c r="M1291" s="23">
        <v>0</v>
      </c>
      <c r="N1291" s="19">
        <v>26.8</v>
      </c>
      <c r="O1291" s="19">
        <v>-67</v>
      </c>
      <c r="P1291" s="48">
        <v>67</v>
      </c>
      <c r="Q1291" s="17">
        <v>0</v>
      </c>
      <c r="R1291" s="24">
        <v>348.40000000000003</v>
      </c>
      <c r="S1291" s="18" t="s">
        <v>28</v>
      </c>
      <c r="T1291" s="25">
        <v>26</v>
      </c>
    </row>
    <row r="1292" spans="1:20" s="26" customFormat="1" x14ac:dyDescent="0.25">
      <c r="A1292" s="16">
        <v>229796</v>
      </c>
      <c r="B1292" s="30" t="s">
        <v>1251</v>
      </c>
      <c r="C1292" s="20" t="s">
        <v>640</v>
      </c>
      <c r="D1292" s="20" t="s">
        <v>702</v>
      </c>
      <c r="E1292" s="20" t="s">
        <v>4090</v>
      </c>
      <c r="F1292" s="20" t="s">
        <v>4091</v>
      </c>
      <c r="G1292" s="21">
        <v>18.8</v>
      </c>
      <c r="H1292" s="16">
        <v>26</v>
      </c>
      <c r="I1292" s="16"/>
      <c r="J1292" s="17">
        <v>488.8</v>
      </c>
      <c r="K1292" s="22"/>
      <c r="L1292" s="23"/>
      <c r="M1292" s="23">
        <v>0</v>
      </c>
      <c r="N1292" s="19">
        <v>37.6</v>
      </c>
      <c r="O1292" s="19">
        <v>-94</v>
      </c>
      <c r="P1292" s="48">
        <v>94</v>
      </c>
      <c r="Q1292" s="17">
        <v>0</v>
      </c>
      <c r="R1292" s="24">
        <v>488.8</v>
      </c>
      <c r="S1292" s="18" t="s">
        <v>28</v>
      </c>
      <c r="T1292" s="25">
        <v>26</v>
      </c>
    </row>
    <row r="1293" spans="1:20" s="26" customFormat="1" x14ac:dyDescent="0.25">
      <c r="A1293" s="16">
        <v>234638</v>
      </c>
      <c r="B1293" s="30" t="s">
        <v>1335</v>
      </c>
      <c r="C1293" s="20" t="s">
        <v>640</v>
      </c>
      <c r="D1293" s="20" t="s">
        <v>701</v>
      </c>
      <c r="E1293" s="20" t="s">
        <v>4092</v>
      </c>
      <c r="F1293" s="20" t="s">
        <v>4093</v>
      </c>
      <c r="G1293" s="21">
        <v>13.4</v>
      </c>
      <c r="H1293" s="16">
        <v>26</v>
      </c>
      <c r="I1293" s="16">
        <v>1</v>
      </c>
      <c r="J1293" s="17">
        <v>335</v>
      </c>
      <c r="K1293" s="22"/>
      <c r="L1293" s="23"/>
      <c r="M1293" s="23">
        <v>0</v>
      </c>
      <c r="N1293" s="19">
        <v>26.8</v>
      </c>
      <c r="O1293" s="19">
        <v>-67</v>
      </c>
      <c r="P1293" s="48">
        <v>67</v>
      </c>
      <c r="Q1293" s="17">
        <v>0</v>
      </c>
      <c r="R1293" s="24">
        <v>335</v>
      </c>
      <c r="S1293" s="18" t="s">
        <v>28</v>
      </c>
      <c r="T1293" s="25">
        <v>26</v>
      </c>
    </row>
    <row r="1294" spans="1:20" s="26" customFormat="1" x14ac:dyDescent="0.25">
      <c r="A1294" s="16">
        <v>234776</v>
      </c>
      <c r="B1294" s="30" t="s">
        <v>1386</v>
      </c>
      <c r="C1294" s="20" t="s">
        <v>640</v>
      </c>
      <c r="D1294" s="20" t="s">
        <v>701</v>
      </c>
      <c r="E1294" s="20" t="s">
        <v>4094</v>
      </c>
      <c r="F1294" s="20" t="s">
        <v>4095</v>
      </c>
      <c r="G1294" s="21">
        <v>13.4</v>
      </c>
      <c r="H1294" s="16">
        <v>26</v>
      </c>
      <c r="I1294" s="16"/>
      <c r="J1294" s="17">
        <v>348.40000000000003</v>
      </c>
      <c r="K1294" s="22"/>
      <c r="L1294" s="23"/>
      <c r="M1294" s="23">
        <v>0</v>
      </c>
      <c r="N1294" s="19">
        <v>26.8</v>
      </c>
      <c r="O1294" s="19">
        <v>-67</v>
      </c>
      <c r="P1294" s="48">
        <v>67</v>
      </c>
      <c r="Q1294" s="17">
        <v>0</v>
      </c>
      <c r="R1294" s="24">
        <v>348.40000000000003</v>
      </c>
      <c r="S1294" s="18" t="s">
        <v>28</v>
      </c>
      <c r="T1294" s="25">
        <v>26</v>
      </c>
    </row>
    <row r="1295" spans="1:20" s="26" customFormat="1" x14ac:dyDescent="0.25">
      <c r="A1295" s="16">
        <v>222717</v>
      </c>
      <c r="B1295" s="30" t="s">
        <v>1537</v>
      </c>
      <c r="C1295" s="20" t="s">
        <v>655</v>
      </c>
      <c r="D1295" s="20" t="s">
        <v>713</v>
      </c>
      <c r="E1295" s="20" t="s">
        <v>4096</v>
      </c>
      <c r="F1295" s="20" t="s">
        <v>4097</v>
      </c>
      <c r="G1295" s="21">
        <v>13.4</v>
      </c>
      <c r="H1295" s="16">
        <v>26</v>
      </c>
      <c r="I1295" s="16"/>
      <c r="J1295" s="17">
        <v>348.40000000000003</v>
      </c>
      <c r="K1295" s="22"/>
      <c r="L1295" s="23"/>
      <c r="M1295" s="23">
        <v>0</v>
      </c>
      <c r="N1295" s="19">
        <v>26.8</v>
      </c>
      <c r="O1295" s="19">
        <v>-67</v>
      </c>
      <c r="P1295" s="48">
        <v>67</v>
      </c>
      <c r="Q1295" s="17">
        <v>0</v>
      </c>
      <c r="R1295" s="24">
        <v>348.40000000000003</v>
      </c>
      <c r="S1295" s="18" t="s">
        <v>28</v>
      </c>
      <c r="T1295" s="25">
        <v>26</v>
      </c>
    </row>
    <row r="1296" spans="1:20" s="26" customFormat="1" x14ac:dyDescent="0.25">
      <c r="A1296" s="16">
        <v>230700</v>
      </c>
      <c r="B1296" s="30" t="s">
        <v>606</v>
      </c>
      <c r="C1296" s="20" t="s">
        <v>655</v>
      </c>
      <c r="D1296" s="20" t="s">
        <v>733</v>
      </c>
      <c r="E1296" s="20" t="s">
        <v>4098</v>
      </c>
      <c r="F1296" s="20" t="s">
        <v>4099</v>
      </c>
      <c r="G1296" s="21">
        <v>13.4</v>
      </c>
      <c r="H1296" s="16">
        <v>26</v>
      </c>
      <c r="I1296" s="16"/>
      <c r="J1296" s="17">
        <v>348.40000000000003</v>
      </c>
      <c r="K1296" s="22"/>
      <c r="L1296" s="23"/>
      <c r="M1296" s="23">
        <v>0</v>
      </c>
      <c r="N1296" s="19">
        <v>26.8</v>
      </c>
      <c r="O1296" s="19">
        <v>-67</v>
      </c>
      <c r="P1296" s="48">
        <v>67</v>
      </c>
      <c r="Q1296" s="17">
        <v>0</v>
      </c>
      <c r="R1296" s="24">
        <v>348.40000000000003</v>
      </c>
      <c r="S1296" s="18" t="s">
        <v>28</v>
      </c>
      <c r="T1296" s="25">
        <v>26</v>
      </c>
    </row>
    <row r="1297" spans="1:20" s="26" customFormat="1" x14ac:dyDescent="0.25">
      <c r="A1297" s="16">
        <v>230703</v>
      </c>
      <c r="B1297" s="30" t="s">
        <v>540</v>
      </c>
      <c r="C1297" s="20" t="s">
        <v>655</v>
      </c>
      <c r="D1297" s="20" t="s">
        <v>734</v>
      </c>
      <c r="E1297" s="20" t="s">
        <v>4100</v>
      </c>
      <c r="F1297" s="20" t="s">
        <v>4101</v>
      </c>
      <c r="G1297" s="21">
        <v>13.4</v>
      </c>
      <c r="H1297" s="16">
        <v>26</v>
      </c>
      <c r="I1297" s="16"/>
      <c r="J1297" s="17">
        <v>348.40000000000003</v>
      </c>
      <c r="K1297" s="22"/>
      <c r="L1297" s="23"/>
      <c r="M1297" s="23">
        <v>0</v>
      </c>
      <c r="N1297" s="19">
        <v>26.8</v>
      </c>
      <c r="O1297" s="19">
        <v>-67</v>
      </c>
      <c r="P1297" s="48">
        <v>67</v>
      </c>
      <c r="Q1297" s="17">
        <v>0</v>
      </c>
      <c r="R1297" s="24">
        <v>348.40000000000003</v>
      </c>
      <c r="S1297" s="18" t="s">
        <v>28</v>
      </c>
      <c r="T1297" s="25">
        <v>26</v>
      </c>
    </row>
    <row r="1298" spans="1:20" s="26" customFormat="1" x14ac:dyDescent="0.25">
      <c r="A1298" s="16">
        <v>230706</v>
      </c>
      <c r="B1298" s="30" t="s">
        <v>607</v>
      </c>
      <c r="C1298" s="20" t="s">
        <v>655</v>
      </c>
      <c r="D1298" s="20" t="s">
        <v>713</v>
      </c>
      <c r="E1298" s="20" t="s">
        <v>4102</v>
      </c>
      <c r="F1298" s="20" t="s">
        <v>4103</v>
      </c>
      <c r="G1298" s="21">
        <v>13.4</v>
      </c>
      <c r="H1298" s="16">
        <v>26</v>
      </c>
      <c r="I1298" s="16"/>
      <c r="J1298" s="17">
        <v>348.40000000000003</v>
      </c>
      <c r="K1298" s="22"/>
      <c r="L1298" s="23"/>
      <c r="M1298" s="23">
        <v>0</v>
      </c>
      <c r="N1298" s="19">
        <v>26.8</v>
      </c>
      <c r="O1298" s="19">
        <v>-67</v>
      </c>
      <c r="P1298" s="48">
        <v>67</v>
      </c>
      <c r="Q1298" s="17">
        <v>0</v>
      </c>
      <c r="R1298" s="24">
        <v>348.40000000000003</v>
      </c>
      <c r="S1298" s="18" t="s">
        <v>28</v>
      </c>
      <c r="T1298" s="25">
        <v>26</v>
      </c>
    </row>
    <row r="1299" spans="1:20" s="26" customFormat="1" x14ac:dyDescent="0.25">
      <c r="A1299" s="16">
        <v>230712</v>
      </c>
      <c r="B1299" s="30" t="s">
        <v>1538</v>
      </c>
      <c r="C1299" s="20" t="s">
        <v>655</v>
      </c>
      <c r="D1299" s="20" t="s">
        <v>734</v>
      </c>
      <c r="E1299" s="20" t="s">
        <v>4104</v>
      </c>
      <c r="F1299" s="20" t="s">
        <v>4105</v>
      </c>
      <c r="G1299" s="21">
        <v>13.4</v>
      </c>
      <c r="H1299" s="16">
        <v>26</v>
      </c>
      <c r="I1299" s="16"/>
      <c r="J1299" s="17">
        <v>348.40000000000003</v>
      </c>
      <c r="K1299" s="22"/>
      <c r="L1299" s="23"/>
      <c r="M1299" s="23">
        <v>0</v>
      </c>
      <c r="N1299" s="19">
        <v>26.8</v>
      </c>
      <c r="O1299" s="19">
        <v>-67</v>
      </c>
      <c r="P1299" s="48">
        <v>67</v>
      </c>
      <c r="Q1299" s="17">
        <v>0</v>
      </c>
      <c r="R1299" s="24">
        <v>348.40000000000003</v>
      </c>
      <c r="S1299" s="18" t="s">
        <v>28</v>
      </c>
      <c r="T1299" s="25">
        <v>26</v>
      </c>
    </row>
    <row r="1300" spans="1:20" s="26" customFormat="1" x14ac:dyDescent="0.25">
      <c r="A1300" s="16">
        <v>230733</v>
      </c>
      <c r="B1300" s="30" t="s">
        <v>566</v>
      </c>
      <c r="C1300" s="20" t="s">
        <v>655</v>
      </c>
      <c r="D1300" s="20" t="s">
        <v>713</v>
      </c>
      <c r="E1300" s="20" t="s">
        <v>4106</v>
      </c>
      <c r="F1300" s="20" t="s">
        <v>4107</v>
      </c>
      <c r="G1300" s="21">
        <v>15.4</v>
      </c>
      <c r="H1300" s="16">
        <v>26</v>
      </c>
      <c r="I1300" s="16"/>
      <c r="J1300" s="17">
        <v>400.40000000000003</v>
      </c>
      <c r="K1300" s="22"/>
      <c r="L1300" s="23"/>
      <c r="M1300" s="23">
        <v>0</v>
      </c>
      <c r="N1300" s="19">
        <v>30.8</v>
      </c>
      <c r="O1300" s="19">
        <v>-77</v>
      </c>
      <c r="P1300" s="48">
        <v>77</v>
      </c>
      <c r="Q1300" s="17">
        <v>0</v>
      </c>
      <c r="R1300" s="24">
        <v>400.40000000000003</v>
      </c>
      <c r="S1300" s="18" t="s">
        <v>28</v>
      </c>
      <c r="T1300" s="25">
        <v>26</v>
      </c>
    </row>
    <row r="1301" spans="1:20" s="26" customFormat="1" x14ac:dyDescent="0.25">
      <c r="A1301" s="16">
        <v>231004</v>
      </c>
      <c r="B1301" s="30" t="s">
        <v>583</v>
      </c>
      <c r="C1301" s="20" t="s">
        <v>655</v>
      </c>
      <c r="D1301" s="20" t="s">
        <v>734</v>
      </c>
      <c r="E1301" s="20" t="s">
        <v>4108</v>
      </c>
      <c r="F1301" s="20" t="s">
        <v>4109</v>
      </c>
      <c r="G1301" s="21">
        <v>15.4</v>
      </c>
      <c r="H1301" s="16">
        <v>26</v>
      </c>
      <c r="I1301" s="16"/>
      <c r="J1301" s="17">
        <v>400.40000000000003</v>
      </c>
      <c r="K1301" s="22"/>
      <c r="L1301" s="23"/>
      <c r="M1301" s="23">
        <v>0</v>
      </c>
      <c r="N1301" s="19">
        <v>30.8</v>
      </c>
      <c r="O1301" s="19">
        <v>-77</v>
      </c>
      <c r="P1301" s="48">
        <v>77</v>
      </c>
      <c r="Q1301" s="17">
        <v>0</v>
      </c>
      <c r="R1301" s="24">
        <v>400.40000000000003</v>
      </c>
      <c r="S1301" s="18" t="s">
        <v>28</v>
      </c>
      <c r="T1301" s="25">
        <v>26</v>
      </c>
    </row>
    <row r="1302" spans="1:20" s="26" customFormat="1" x14ac:dyDescent="0.25">
      <c r="A1302" s="16">
        <v>231611</v>
      </c>
      <c r="B1302" s="30" t="s">
        <v>865</v>
      </c>
      <c r="C1302" s="20" t="s">
        <v>655</v>
      </c>
      <c r="D1302" s="20" t="s">
        <v>713</v>
      </c>
      <c r="E1302" s="20" t="s">
        <v>4110</v>
      </c>
      <c r="F1302" s="20" t="s">
        <v>4111</v>
      </c>
      <c r="G1302" s="21">
        <v>13.4</v>
      </c>
      <c r="H1302" s="16">
        <v>26</v>
      </c>
      <c r="I1302" s="16">
        <v>1</v>
      </c>
      <c r="J1302" s="17">
        <v>335</v>
      </c>
      <c r="K1302" s="22"/>
      <c r="L1302" s="23"/>
      <c r="M1302" s="23">
        <v>0</v>
      </c>
      <c r="N1302" s="19">
        <v>26.8</v>
      </c>
      <c r="O1302" s="19">
        <v>-67</v>
      </c>
      <c r="P1302" s="48">
        <v>67</v>
      </c>
      <c r="Q1302" s="17">
        <v>0</v>
      </c>
      <c r="R1302" s="24">
        <v>335</v>
      </c>
      <c r="S1302" s="18" t="s">
        <v>28</v>
      </c>
      <c r="T1302" s="25">
        <v>26</v>
      </c>
    </row>
    <row r="1303" spans="1:20" s="26" customFormat="1" x14ac:dyDescent="0.25">
      <c r="A1303" s="16">
        <v>232585</v>
      </c>
      <c r="B1303" s="30" t="s">
        <v>923</v>
      </c>
      <c r="C1303" s="20" t="s">
        <v>655</v>
      </c>
      <c r="D1303" s="20" t="s">
        <v>713</v>
      </c>
      <c r="E1303" s="20" t="s">
        <v>4112</v>
      </c>
      <c r="F1303" s="20" t="s">
        <v>4113</v>
      </c>
      <c r="G1303" s="21">
        <v>13.4</v>
      </c>
      <c r="H1303" s="16">
        <v>26</v>
      </c>
      <c r="I1303" s="16">
        <v>1</v>
      </c>
      <c r="J1303" s="17">
        <v>335</v>
      </c>
      <c r="K1303" s="22"/>
      <c r="L1303" s="23"/>
      <c r="M1303" s="23">
        <v>0</v>
      </c>
      <c r="N1303" s="19">
        <v>26.8</v>
      </c>
      <c r="O1303" s="19">
        <v>-67</v>
      </c>
      <c r="P1303" s="48">
        <v>67</v>
      </c>
      <c r="Q1303" s="17">
        <v>0</v>
      </c>
      <c r="R1303" s="24">
        <v>335</v>
      </c>
      <c r="S1303" s="18" t="s">
        <v>28</v>
      </c>
      <c r="T1303" s="25">
        <v>26</v>
      </c>
    </row>
    <row r="1304" spans="1:20" s="26" customFormat="1" x14ac:dyDescent="0.25">
      <c r="A1304" s="16">
        <v>234659</v>
      </c>
      <c r="B1304" s="30" t="s">
        <v>1336</v>
      </c>
      <c r="C1304" s="20" t="s">
        <v>655</v>
      </c>
      <c r="D1304" s="20" t="s">
        <v>734</v>
      </c>
      <c r="E1304" s="20" t="s">
        <v>4114</v>
      </c>
      <c r="F1304" s="20" t="s">
        <v>4115</v>
      </c>
      <c r="G1304" s="21">
        <v>13.4</v>
      </c>
      <c r="H1304" s="16">
        <v>26</v>
      </c>
      <c r="I1304" s="16"/>
      <c r="J1304" s="17">
        <v>348.40000000000003</v>
      </c>
      <c r="K1304" s="22"/>
      <c r="L1304" s="23"/>
      <c r="M1304" s="23">
        <v>0</v>
      </c>
      <c r="N1304" s="19">
        <v>26.8</v>
      </c>
      <c r="O1304" s="19">
        <v>-67</v>
      </c>
      <c r="P1304" s="48">
        <v>67</v>
      </c>
      <c r="Q1304" s="17">
        <v>0</v>
      </c>
      <c r="R1304" s="24">
        <v>348.40000000000003</v>
      </c>
      <c r="S1304" s="18" t="s">
        <v>28</v>
      </c>
      <c r="T1304" s="25">
        <v>26</v>
      </c>
    </row>
    <row r="1305" spans="1:20" s="26" customFormat="1" x14ac:dyDescent="0.25">
      <c r="A1305" s="16">
        <v>213281</v>
      </c>
      <c r="B1305" s="30" t="s">
        <v>306</v>
      </c>
      <c r="C1305" s="20" t="s">
        <v>641</v>
      </c>
      <c r="D1305" s="20" t="s">
        <v>735</v>
      </c>
      <c r="E1305" s="20" t="s">
        <v>4116</v>
      </c>
      <c r="F1305" s="20" t="s">
        <v>4117</v>
      </c>
      <c r="G1305" s="21">
        <v>18.8</v>
      </c>
      <c r="H1305" s="16">
        <v>26</v>
      </c>
      <c r="I1305" s="16"/>
      <c r="J1305" s="17">
        <v>488.8</v>
      </c>
      <c r="K1305" s="22"/>
      <c r="L1305" s="23"/>
      <c r="M1305" s="23">
        <v>0</v>
      </c>
      <c r="N1305" s="19">
        <v>37.6</v>
      </c>
      <c r="O1305" s="19">
        <v>-94</v>
      </c>
      <c r="P1305" s="48">
        <v>94</v>
      </c>
      <c r="Q1305" s="17">
        <v>0</v>
      </c>
      <c r="R1305" s="24">
        <v>488.8</v>
      </c>
      <c r="S1305" s="18" t="s">
        <v>28</v>
      </c>
      <c r="T1305" s="25">
        <v>26</v>
      </c>
    </row>
    <row r="1306" spans="1:20" s="26" customFormat="1" x14ac:dyDescent="0.25">
      <c r="A1306" s="16">
        <v>214668</v>
      </c>
      <c r="B1306" s="30" t="s">
        <v>1120</v>
      </c>
      <c r="C1306" s="20" t="s">
        <v>641</v>
      </c>
      <c r="D1306" s="20" t="s">
        <v>704</v>
      </c>
      <c r="E1306" s="20" t="s">
        <v>4118</v>
      </c>
      <c r="F1306" s="20" t="s">
        <v>4119</v>
      </c>
      <c r="G1306" s="21">
        <v>13.4</v>
      </c>
      <c r="H1306" s="16">
        <v>26</v>
      </c>
      <c r="I1306" s="16"/>
      <c r="J1306" s="17">
        <v>348.40000000000003</v>
      </c>
      <c r="K1306" s="22"/>
      <c r="L1306" s="23"/>
      <c r="M1306" s="23">
        <v>0</v>
      </c>
      <c r="N1306" s="19">
        <v>26.8</v>
      </c>
      <c r="O1306" s="19">
        <v>-67</v>
      </c>
      <c r="P1306" s="48">
        <v>67</v>
      </c>
      <c r="Q1306" s="17">
        <v>0</v>
      </c>
      <c r="R1306" s="24">
        <v>348.40000000000003</v>
      </c>
      <c r="S1306" s="18" t="s">
        <v>28</v>
      </c>
      <c r="T1306" s="25">
        <v>26</v>
      </c>
    </row>
    <row r="1307" spans="1:20" s="26" customFormat="1" x14ac:dyDescent="0.25">
      <c r="A1307" s="16">
        <v>219911</v>
      </c>
      <c r="B1307" s="30" t="s">
        <v>1539</v>
      </c>
      <c r="C1307" s="20" t="s">
        <v>641</v>
      </c>
      <c r="D1307" s="20" t="s">
        <v>704</v>
      </c>
      <c r="E1307" s="20" t="s">
        <v>4120</v>
      </c>
      <c r="F1307" s="20" t="s">
        <v>4121</v>
      </c>
      <c r="G1307" s="21">
        <v>18.8</v>
      </c>
      <c r="H1307" s="16">
        <v>26</v>
      </c>
      <c r="I1307" s="16"/>
      <c r="J1307" s="17">
        <v>488.8</v>
      </c>
      <c r="K1307" s="22"/>
      <c r="L1307" s="23"/>
      <c r="M1307" s="23">
        <v>0</v>
      </c>
      <c r="N1307" s="19">
        <v>37.6</v>
      </c>
      <c r="O1307" s="19">
        <v>-94</v>
      </c>
      <c r="P1307" s="48">
        <v>94</v>
      </c>
      <c r="Q1307" s="17">
        <v>0</v>
      </c>
      <c r="R1307" s="24">
        <v>488.8</v>
      </c>
      <c r="S1307" s="18" t="s">
        <v>28</v>
      </c>
      <c r="T1307" s="25">
        <v>26</v>
      </c>
    </row>
    <row r="1308" spans="1:20" s="26" customFormat="1" x14ac:dyDescent="0.25">
      <c r="A1308" s="16">
        <v>223390</v>
      </c>
      <c r="B1308" s="30" t="s">
        <v>1252</v>
      </c>
      <c r="C1308" s="20" t="s">
        <v>641</v>
      </c>
      <c r="D1308" s="20" t="s">
        <v>705</v>
      </c>
      <c r="E1308" s="20" t="s">
        <v>4122</v>
      </c>
      <c r="F1308" s="20" t="s">
        <v>4123</v>
      </c>
      <c r="G1308" s="21">
        <v>13.4</v>
      </c>
      <c r="H1308" s="16">
        <v>26</v>
      </c>
      <c r="I1308" s="16"/>
      <c r="J1308" s="17">
        <v>348.40000000000003</v>
      </c>
      <c r="K1308" s="22"/>
      <c r="L1308" s="23"/>
      <c r="M1308" s="23">
        <v>0</v>
      </c>
      <c r="N1308" s="19">
        <v>26.8</v>
      </c>
      <c r="O1308" s="19">
        <v>-67</v>
      </c>
      <c r="P1308" s="48">
        <v>67</v>
      </c>
      <c r="Q1308" s="17">
        <v>0</v>
      </c>
      <c r="R1308" s="24">
        <v>348.40000000000003</v>
      </c>
      <c r="S1308" s="18" t="s">
        <v>28</v>
      </c>
      <c r="T1308" s="25">
        <v>26</v>
      </c>
    </row>
    <row r="1309" spans="1:20" s="26" customFormat="1" x14ac:dyDescent="0.25">
      <c r="A1309" s="16">
        <v>228642</v>
      </c>
      <c r="B1309" s="30" t="s">
        <v>503</v>
      </c>
      <c r="C1309" s="20" t="s">
        <v>641</v>
      </c>
      <c r="D1309" s="20" t="s">
        <v>704</v>
      </c>
      <c r="E1309" s="20" t="s">
        <v>4124</v>
      </c>
      <c r="F1309" s="20" t="s">
        <v>4125</v>
      </c>
      <c r="G1309" s="21">
        <v>15.4</v>
      </c>
      <c r="H1309" s="16">
        <v>26</v>
      </c>
      <c r="I1309" s="16"/>
      <c r="J1309" s="17">
        <v>400.40000000000003</v>
      </c>
      <c r="K1309" s="22"/>
      <c r="L1309" s="23"/>
      <c r="M1309" s="23">
        <v>0</v>
      </c>
      <c r="N1309" s="19">
        <v>30.8</v>
      </c>
      <c r="O1309" s="19">
        <v>-77</v>
      </c>
      <c r="P1309" s="48">
        <v>77</v>
      </c>
      <c r="Q1309" s="17">
        <v>0</v>
      </c>
      <c r="R1309" s="24">
        <v>400.40000000000003</v>
      </c>
      <c r="S1309" s="18" t="s">
        <v>28</v>
      </c>
      <c r="T1309" s="25">
        <v>26</v>
      </c>
    </row>
    <row r="1310" spans="1:20" s="26" customFormat="1" x14ac:dyDescent="0.25">
      <c r="A1310" s="16">
        <v>229385</v>
      </c>
      <c r="B1310" s="30" t="s">
        <v>128</v>
      </c>
      <c r="C1310" s="20" t="s">
        <v>641</v>
      </c>
      <c r="D1310" s="20" t="s">
        <v>704</v>
      </c>
      <c r="E1310" s="20" t="s">
        <v>4126</v>
      </c>
      <c r="F1310" s="20" t="s">
        <v>4127</v>
      </c>
      <c r="G1310" s="21">
        <v>18.8</v>
      </c>
      <c r="H1310" s="16">
        <v>26</v>
      </c>
      <c r="I1310" s="16"/>
      <c r="J1310" s="17">
        <v>488.8</v>
      </c>
      <c r="K1310" s="22"/>
      <c r="L1310" s="23"/>
      <c r="M1310" s="23">
        <v>0</v>
      </c>
      <c r="N1310" s="19">
        <v>37.6</v>
      </c>
      <c r="O1310" s="19">
        <v>-94</v>
      </c>
      <c r="P1310" s="48">
        <v>94</v>
      </c>
      <c r="Q1310" s="17">
        <v>0</v>
      </c>
      <c r="R1310" s="24">
        <v>488.8</v>
      </c>
      <c r="S1310" s="18" t="s">
        <v>28</v>
      </c>
      <c r="T1310" s="25">
        <v>26</v>
      </c>
    </row>
    <row r="1311" spans="1:20" s="26" customFormat="1" x14ac:dyDescent="0.25">
      <c r="A1311" s="16">
        <v>229581</v>
      </c>
      <c r="B1311" s="30" t="s">
        <v>455</v>
      </c>
      <c r="C1311" s="20" t="s">
        <v>641</v>
      </c>
      <c r="D1311" s="20" t="s">
        <v>704</v>
      </c>
      <c r="E1311" s="20" t="s">
        <v>4128</v>
      </c>
      <c r="F1311" s="20" t="s">
        <v>4129</v>
      </c>
      <c r="G1311" s="21">
        <v>15.4</v>
      </c>
      <c r="H1311" s="16">
        <v>26</v>
      </c>
      <c r="I1311" s="16"/>
      <c r="J1311" s="17">
        <v>400.40000000000003</v>
      </c>
      <c r="K1311" s="22"/>
      <c r="L1311" s="23"/>
      <c r="M1311" s="23">
        <v>0</v>
      </c>
      <c r="N1311" s="19">
        <v>30.8</v>
      </c>
      <c r="O1311" s="19">
        <v>-77</v>
      </c>
      <c r="P1311" s="48">
        <v>77</v>
      </c>
      <c r="Q1311" s="17">
        <v>0</v>
      </c>
      <c r="R1311" s="24">
        <v>400.40000000000003</v>
      </c>
      <c r="S1311" s="18" t="s">
        <v>28</v>
      </c>
      <c r="T1311" s="25">
        <v>26</v>
      </c>
    </row>
    <row r="1312" spans="1:20" s="26" customFormat="1" x14ac:dyDescent="0.25">
      <c r="A1312" s="16">
        <v>229692</v>
      </c>
      <c r="B1312" s="30" t="s">
        <v>1540</v>
      </c>
      <c r="C1312" s="20" t="s">
        <v>641</v>
      </c>
      <c r="D1312" s="20" t="s">
        <v>704</v>
      </c>
      <c r="E1312" s="20" t="s">
        <v>4130</v>
      </c>
      <c r="F1312" s="20" t="s">
        <v>4131</v>
      </c>
      <c r="G1312" s="21">
        <v>13.4</v>
      </c>
      <c r="H1312" s="16">
        <v>26</v>
      </c>
      <c r="I1312" s="16">
        <v>5</v>
      </c>
      <c r="J1312" s="17">
        <v>281.40000000000003</v>
      </c>
      <c r="K1312" s="22"/>
      <c r="L1312" s="23"/>
      <c r="M1312" s="23">
        <v>0</v>
      </c>
      <c r="N1312" s="19">
        <v>26.8</v>
      </c>
      <c r="O1312" s="19">
        <v>-67</v>
      </c>
      <c r="P1312" s="48">
        <v>67</v>
      </c>
      <c r="Q1312" s="17">
        <v>0</v>
      </c>
      <c r="R1312" s="24">
        <v>281.40000000000003</v>
      </c>
      <c r="S1312" s="18" t="s">
        <v>28</v>
      </c>
      <c r="T1312" s="25">
        <v>26</v>
      </c>
    </row>
    <row r="1313" spans="1:20" s="26" customFormat="1" x14ac:dyDescent="0.25">
      <c r="A1313" s="16">
        <v>230852</v>
      </c>
      <c r="B1313" s="30" t="s">
        <v>1541</v>
      </c>
      <c r="C1313" s="20" t="s">
        <v>641</v>
      </c>
      <c r="D1313" s="20" t="s">
        <v>704</v>
      </c>
      <c r="E1313" s="20" t="s">
        <v>4132</v>
      </c>
      <c r="F1313" s="20" t="s">
        <v>4133</v>
      </c>
      <c r="G1313" s="21">
        <v>13.4</v>
      </c>
      <c r="H1313" s="16">
        <v>26</v>
      </c>
      <c r="I1313" s="16"/>
      <c r="J1313" s="17">
        <v>348.40000000000003</v>
      </c>
      <c r="K1313" s="22"/>
      <c r="L1313" s="23"/>
      <c r="M1313" s="23">
        <v>0</v>
      </c>
      <c r="N1313" s="19">
        <v>26.8</v>
      </c>
      <c r="O1313" s="19">
        <v>-67</v>
      </c>
      <c r="P1313" s="48">
        <v>67</v>
      </c>
      <c r="Q1313" s="17">
        <v>0</v>
      </c>
      <c r="R1313" s="24">
        <v>348.40000000000003</v>
      </c>
      <c r="S1313" s="18" t="s">
        <v>28</v>
      </c>
      <c r="T1313" s="25">
        <v>26</v>
      </c>
    </row>
    <row r="1314" spans="1:20" s="26" customFormat="1" x14ac:dyDescent="0.25">
      <c r="A1314" s="16">
        <v>230853</v>
      </c>
      <c r="B1314" s="30" t="s">
        <v>1542</v>
      </c>
      <c r="C1314" s="20" t="s">
        <v>641</v>
      </c>
      <c r="D1314" s="20" t="s">
        <v>704</v>
      </c>
      <c r="E1314" s="20" t="s">
        <v>4134</v>
      </c>
      <c r="F1314" s="20" t="s">
        <v>4135</v>
      </c>
      <c r="G1314" s="21">
        <v>13.4</v>
      </c>
      <c r="H1314" s="16">
        <v>26</v>
      </c>
      <c r="I1314" s="16"/>
      <c r="J1314" s="17">
        <v>348.40000000000003</v>
      </c>
      <c r="K1314" s="22"/>
      <c r="L1314" s="23"/>
      <c r="M1314" s="23">
        <v>0</v>
      </c>
      <c r="N1314" s="19">
        <v>26.8</v>
      </c>
      <c r="O1314" s="19">
        <v>-67</v>
      </c>
      <c r="P1314" s="48">
        <v>67</v>
      </c>
      <c r="Q1314" s="17">
        <v>0</v>
      </c>
      <c r="R1314" s="24">
        <v>348.40000000000003</v>
      </c>
      <c r="S1314" s="18" t="s">
        <v>28</v>
      </c>
      <c r="T1314" s="25">
        <v>26</v>
      </c>
    </row>
    <row r="1315" spans="1:20" s="26" customFormat="1" x14ac:dyDescent="0.25">
      <c r="A1315" s="16" t="s">
        <v>4191</v>
      </c>
      <c r="B1315" s="30" t="s">
        <v>610</v>
      </c>
      <c r="C1315" s="20" t="s">
        <v>641</v>
      </c>
      <c r="D1315" s="20" t="s">
        <v>704</v>
      </c>
      <c r="E1315" s="20" t="s">
        <v>4189</v>
      </c>
      <c r="F1315" s="20" t="s">
        <v>4190</v>
      </c>
      <c r="G1315" s="21">
        <v>13.4</v>
      </c>
      <c r="H1315" s="16">
        <v>26</v>
      </c>
      <c r="I1315" s="16">
        <v>4</v>
      </c>
      <c r="J1315" s="17">
        <v>294.8</v>
      </c>
      <c r="K1315" s="22"/>
      <c r="L1315" s="23"/>
      <c r="M1315" s="23">
        <v>0</v>
      </c>
      <c r="N1315" s="19">
        <v>26.8</v>
      </c>
      <c r="O1315" s="19">
        <v>-67</v>
      </c>
      <c r="P1315" s="48">
        <v>67</v>
      </c>
      <c r="Q1315" s="17">
        <v>0</v>
      </c>
      <c r="R1315" s="24">
        <v>294.8</v>
      </c>
      <c r="S1315" s="18" t="s">
        <v>28</v>
      </c>
      <c r="T1315" s="25">
        <v>26</v>
      </c>
    </row>
    <row r="1316" spans="1:20" s="26" customFormat="1" x14ac:dyDescent="0.25">
      <c r="A1316" s="16">
        <v>230871</v>
      </c>
      <c r="B1316" s="30" t="s">
        <v>612</v>
      </c>
      <c r="C1316" s="20" t="s">
        <v>641</v>
      </c>
      <c r="D1316" s="20" t="s">
        <v>743</v>
      </c>
      <c r="E1316" s="20" t="s">
        <v>4136</v>
      </c>
      <c r="F1316" s="20" t="s">
        <v>4137</v>
      </c>
      <c r="G1316" s="21">
        <v>13.4</v>
      </c>
      <c r="H1316" s="16">
        <v>26</v>
      </c>
      <c r="I1316" s="16"/>
      <c r="J1316" s="17">
        <v>348.40000000000003</v>
      </c>
      <c r="K1316" s="22"/>
      <c r="L1316" s="23"/>
      <c r="M1316" s="23">
        <v>0</v>
      </c>
      <c r="N1316" s="19">
        <v>26.8</v>
      </c>
      <c r="O1316" s="19">
        <v>-67</v>
      </c>
      <c r="P1316" s="48">
        <v>67</v>
      </c>
      <c r="Q1316" s="17">
        <v>0</v>
      </c>
      <c r="R1316" s="24">
        <v>348.40000000000003</v>
      </c>
      <c r="S1316" s="18" t="s">
        <v>28</v>
      </c>
      <c r="T1316" s="25">
        <v>26</v>
      </c>
    </row>
    <row r="1317" spans="1:20" s="26" customFormat="1" x14ac:dyDescent="0.25">
      <c r="A1317" s="16">
        <v>230996</v>
      </c>
      <c r="B1317" s="30" t="s">
        <v>613</v>
      </c>
      <c r="C1317" s="20" t="s">
        <v>641</v>
      </c>
      <c r="D1317" s="20" t="s">
        <v>704</v>
      </c>
      <c r="E1317" s="20" t="s">
        <v>4138</v>
      </c>
      <c r="F1317" s="20" t="s">
        <v>4139</v>
      </c>
      <c r="G1317" s="21">
        <v>13.4</v>
      </c>
      <c r="H1317" s="16">
        <v>26</v>
      </c>
      <c r="I1317" s="16"/>
      <c r="J1317" s="17">
        <v>348.40000000000003</v>
      </c>
      <c r="K1317" s="22"/>
      <c r="L1317" s="23"/>
      <c r="M1317" s="23">
        <v>0</v>
      </c>
      <c r="N1317" s="19">
        <v>26.8</v>
      </c>
      <c r="O1317" s="19">
        <v>-67</v>
      </c>
      <c r="P1317" s="48">
        <v>67</v>
      </c>
      <c r="Q1317" s="17">
        <v>0</v>
      </c>
      <c r="R1317" s="24">
        <v>348.40000000000003</v>
      </c>
      <c r="S1317" s="18" t="s">
        <v>28</v>
      </c>
      <c r="T1317" s="25">
        <v>26</v>
      </c>
    </row>
    <row r="1318" spans="1:20" s="26" customFormat="1" x14ac:dyDescent="0.25">
      <c r="A1318" s="16">
        <v>231055</v>
      </c>
      <c r="B1318" s="30" t="s">
        <v>614</v>
      </c>
      <c r="C1318" s="20" t="s">
        <v>641</v>
      </c>
      <c r="D1318" s="20" t="s">
        <v>744</v>
      </c>
      <c r="E1318" s="20" t="s">
        <v>4140</v>
      </c>
      <c r="F1318" s="20" t="s">
        <v>4141</v>
      </c>
      <c r="G1318" s="21">
        <v>13.4</v>
      </c>
      <c r="H1318" s="16">
        <v>26</v>
      </c>
      <c r="I1318" s="16">
        <v>8</v>
      </c>
      <c r="J1318" s="17">
        <v>241.20000000000002</v>
      </c>
      <c r="K1318" s="22"/>
      <c r="L1318" s="23"/>
      <c r="M1318" s="23">
        <v>0</v>
      </c>
      <c r="N1318" s="19">
        <v>26.8</v>
      </c>
      <c r="O1318" s="19">
        <v>-67</v>
      </c>
      <c r="P1318" s="48">
        <v>67</v>
      </c>
      <c r="Q1318" s="17">
        <v>0</v>
      </c>
      <c r="R1318" s="24">
        <v>241.20000000000002</v>
      </c>
      <c r="S1318" s="18" t="s">
        <v>28</v>
      </c>
      <c r="T1318" s="25">
        <v>26</v>
      </c>
    </row>
    <row r="1319" spans="1:20" s="26" customFormat="1" x14ac:dyDescent="0.25">
      <c r="A1319" s="16">
        <v>231064</v>
      </c>
      <c r="B1319" s="30" t="s">
        <v>778</v>
      </c>
      <c r="C1319" s="20" t="s">
        <v>641</v>
      </c>
      <c r="D1319" s="20" t="s">
        <v>705</v>
      </c>
      <c r="E1319" s="20" t="s">
        <v>4142</v>
      </c>
      <c r="F1319" s="20" t="s">
        <v>4143</v>
      </c>
      <c r="G1319" s="21">
        <v>13.4</v>
      </c>
      <c r="H1319" s="16">
        <v>26</v>
      </c>
      <c r="I1319" s="16"/>
      <c r="J1319" s="17">
        <v>348.40000000000003</v>
      </c>
      <c r="K1319" s="22"/>
      <c r="L1319" s="23"/>
      <c r="M1319" s="23">
        <v>0</v>
      </c>
      <c r="N1319" s="19">
        <v>26.8</v>
      </c>
      <c r="O1319" s="19">
        <v>-67</v>
      </c>
      <c r="P1319" s="48">
        <v>67</v>
      </c>
      <c r="Q1319" s="17">
        <v>0</v>
      </c>
      <c r="R1319" s="24">
        <v>348.40000000000003</v>
      </c>
      <c r="S1319" s="18" t="s">
        <v>28</v>
      </c>
      <c r="T1319" s="25">
        <v>26</v>
      </c>
    </row>
    <row r="1320" spans="1:20" s="26" customFormat="1" x14ac:dyDescent="0.25">
      <c r="A1320" s="16">
        <v>231740</v>
      </c>
      <c r="B1320" s="30" t="s">
        <v>879</v>
      </c>
      <c r="C1320" s="20" t="s">
        <v>641</v>
      </c>
      <c r="D1320" s="20" t="s">
        <v>704</v>
      </c>
      <c r="E1320" s="20" t="s">
        <v>4144</v>
      </c>
      <c r="F1320" s="20" t="s">
        <v>4145</v>
      </c>
      <c r="G1320" s="21">
        <v>13.4</v>
      </c>
      <c r="H1320" s="16">
        <v>26</v>
      </c>
      <c r="I1320" s="16"/>
      <c r="J1320" s="17">
        <v>348.40000000000003</v>
      </c>
      <c r="K1320" s="22"/>
      <c r="L1320" s="23"/>
      <c r="M1320" s="23">
        <v>0</v>
      </c>
      <c r="N1320" s="19">
        <v>26.8</v>
      </c>
      <c r="O1320" s="19">
        <v>-67</v>
      </c>
      <c r="P1320" s="48">
        <v>67</v>
      </c>
      <c r="Q1320" s="17">
        <v>0</v>
      </c>
      <c r="R1320" s="24">
        <v>348.40000000000003</v>
      </c>
      <c r="S1320" s="18" t="s">
        <v>28</v>
      </c>
      <c r="T1320" s="25">
        <v>26</v>
      </c>
    </row>
    <row r="1321" spans="1:20" s="26" customFormat="1" x14ac:dyDescent="0.25">
      <c r="A1321" s="16">
        <v>232584</v>
      </c>
      <c r="B1321" s="30" t="s">
        <v>924</v>
      </c>
      <c r="C1321" s="20" t="s">
        <v>641</v>
      </c>
      <c r="D1321" s="20" t="s">
        <v>704</v>
      </c>
      <c r="E1321" s="20" t="s">
        <v>4146</v>
      </c>
      <c r="F1321" s="20" t="s">
        <v>4147</v>
      </c>
      <c r="G1321" s="21">
        <v>13.4</v>
      </c>
      <c r="H1321" s="16">
        <v>26</v>
      </c>
      <c r="I1321" s="16">
        <v>1</v>
      </c>
      <c r="J1321" s="17">
        <v>335</v>
      </c>
      <c r="K1321" s="22"/>
      <c r="L1321" s="23"/>
      <c r="M1321" s="23">
        <v>0</v>
      </c>
      <c r="N1321" s="19">
        <v>26.8</v>
      </c>
      <c r="O1321" s="19">
        <v>-67</v>
      </c>
      <c r="P1321" s="48">
        <v>67</v>
      </c>
      <c r="Q1321" s="17">
        <v>0</v>
      </c>
      <c r="R1321" s="24">
        <v>335</v>
      </c>
      <c r="S1321" s="18" t="s">
        <v>28</v>
      </c>
      <c r="T1321" s="25">
        <v>26</v>
      </c>
    </row>
    <row r="1322" spans="1:20" s="26" customFormat="1" x14ac:dyDescent="0.25">
      <c r="A1322" s="16">
        <v>233307</v>
      </c>
      <c r="B1322" s="30" t="s">
        <v>1121</v>
      </c>
      <c r="C1322" s="20" t="s">
        <v>641</v>
      </c>
      <c r="D1322" s="20" t="s">
        <v>743</v>
      </c>
      <c r="E1322" s="20" t="s">
        <v>4148</v>
      </c>
      <c r="F1322" s="20" t="s">
        <v>4149</v>
      </c>
      <c r="G1322" s="21">
        <v>13.4</v>
      </c>
      <c r="H1322" s="16">
        <v>26</v>
      </c>
      <c r="I1322" s="16"/>
      <c r="J1322" s="17">
        <v>348.40000000000003</v>
      </c>
      <c r="K1322" s="22"/>
      <c r="L1322" s="23"/>
      <c r="M1322" s="23">
        <v>0</v>
      </c>
      <c r="N1322" s="19">
        <v>26.8</v>
      </c>
      <c r="O1322" s="19">
        <v>-67</v>
      </c>
      <c r="P1322" s="48">
        <v>67</v>
      </c>
      <c r="Q1322" s="17">
        <v>0</v>
      </c>
      <c r="R1322" s="24">
        <v>348.40000000000003</v>
      </c>
      <c r="S1322" s="18" t="s">
        <v>28</v>
      </c>
      <c r="T1322" s="25">
        <v>26</v>
      </c>
    </row>
    <row r="1323" spans="1:20" s="26" customFormat="1" x14ac:dyDescent="0.25">
      <c r="A1323" s="16">
        <v>233520</v>
      </c>
      <c r="B1323" s="30" t="s">
        <v>1122</v>
      </c>
      <c r="C1323" s="20" t="s">
        <v>641</v>
      </c>
      <c r="D1323" s="20" t="s">
        <v>704</v>
      </c>
      <c r="E1323" s="20" t="s">
        <v>4150</v>
      </c>
      <c r="F1323" s="20" t="s">
        <v>4151</v>
      </c>
      <c r="G1323" s="21">
        <v>13.4</v>
      </c>
      <c r="H1323" s="16">
        <v>26</v>
      </c>
      <c r="I1323" s="16">
        <v>2</v>
      </c>
      <c r="J1323" s="17">
        <v>321.60000000000002</v>
      </c>
      <c r="K1323" s="22"/>
      <c r="L1323" s="23"/>
      <c r="M1323" s="23">
        <v>0</v>
      </c>
      <c r="N1323" s="19">
        <v>26.8</v>
      </c>
      <c r="O1323" s="19">
        <v>-67</v>
      </c>
      <c r="P1323" s="48">
        <v>67</v>
      </c>
      <c r="Q1323" s="17">
        <v>0</v>
      </c>
      <c r="R1323" s="24">
        <v>321.60000000000002</v>
      </c>
      <c r="S1323" s="18" t="s">
        <v>28</v>
      </c>
      <c r="T1323" s="25">
        <v>26</v>
      </c>
    </row>
    <row r="1324" spans="1:20" s="26" customFormat="1" x14ac:dyDescent="0.25">
      <c r="A1324" s="16">
        <v>234075</v>
      </c>
      <c r="B1324" s="30" t="s">
        <v>1253</v>
      </c>
      <c r="C1324" s="20" t="s">
        <v>641</v>
      </c>
      <c r="D1324" s="20" t="s">
        <v>704</v>
      </c>
      <c r="E1324" s="20" t="s">
        <v>4152</v>
      </c>
      <c r="F1324" s="20" t="s">
        <v>4153</v>
      </c>
      <c r="G1324" s="21">
        <v>13.4</v>
      </c>
      <c r="H1324" s="16">
        <v>26</v>
      </c>
      <c r="I1324" s="16">
        <v>1</v>
      </c>
      <c r="J1324" s="17">
        <v>335</v>
      </c>
      <c r="K1324" s="22"/>
      <c r="L1324" s="23"/>
      <c r="M1324" s="23">
        <v>0</v>
      </c>
      <c r="N1324" s="19">
        <v>26.8</v>
      </c>
      <c r="O1324" s="19">
        <v>-67</v>
      </c>
      <c r="P1324" s="48">
        <v>67</v>
      </c>
      <c r="Q1324" s="17">
        <v>0</v>
      </c>
      <c r="R1324" s="24">
        <v>335</v>
      </c>
      <c r="S1324" s="18" t="s">
        <v>28</v>
      </c>
      <c r="T1324" s="25">
        <v>26</v>
      </c>
    </row>
    <row r="1325" spans="1:20" s="26" customFormat="1" x14ac:dyDescent="0.25">
      <c r="A1325" s="16">
        <v>234077</v>
      </c>
      <c r="B1325" s="30" t="s">
        <v>1254</v>
      </c>
      <c r="C1325" s="20" t="s">
        <v>641</v>
      </c>
      <c r="D1325" s="20" t="s">
        <v>704</v>
      </c>
      <c r="E1325" s="20" t="s">
        <v>4154</v>
      </c>
      <c r="F1325" s="20" t="s">
        <v>4155</v>
      </c>
      <c r="G1325" s="21">
        <v>13.4</v>
      </c>
      <c r="H1325" s="16">
        <v>26</v>
      </c>
      <c r="I1325" s="16"/>
      <c r="J1325" s="17">
        <v>348.40000000000003</v>
      </c>
      <c r="K1325" s="22"/>
      <c r="L1325" s="23">
        <v>47.6</v>
      </c>
      <c r="M1325" s="23">
        <v>47.6</v>
      </c>
      <c r="N1325" s="19">
        <v>26.8</v>
      </c>
      <c r="O1325" s="19">
        <v>-19.399999999999999</v>
      </c>
      <c r="P1325" s="48">
        <v>67</v>
      </c>
      <c r="Q1325" s="17">
        <v>0</v>
      </c>
      <c r="R1325" s="24">
        <v>348.40000000000003</v>
      </c>
      <c r="S1325" s="18" t="s">
        <v>28</v>
      </c>
      <c r="T1325" s="25">
        <v>26</v>
      </c>
    </row>
    <row r="1326" spans="1:20" s="26" customFormat="1" x14ac:dyDescent="0.25">
      <c r="A1326" s="16">
        <v>234155</v>
      </c>
      <c r="B1326" s="30" t="s">
        <v>1255</v>
      </c>
      <c r="C1326" s="20" t="s">
        <v>641</v>
      </c>
      <c r="D1326" s="20" t="s">
        <v>704</v>
      </c>
      <c r="E1326" s="20" t="s">
        <v>4156</v>
      </c>
      <c r="F1326" s="20" t="s">
        <v>4157</v>
      </c>
      <c r="G1326" s="21">
        <v>13.4</v>
      </c>
      <c r="H1326" s="16">
        <v>26</v>
      </c>
      <c r="I1326" s="16">
        <v>1</v>
      </c>
      <c r="J1326" s="17">
        <v>335</v>
      </c>
      <c r="K1326" s="22"/>
      <c r="L1326" s="23"/>
      <c r="M1326" s="23">
        <v>0</v>
      </c>
      <c r="N1326" s="19">
        <v>26.8</v>
      </c>
      <c r="O1326" s="19">
        <v>-67</v>
      </c>
      <c r="P1326" s="48">
        <v>67</v>
      </c>
      <c r="Q1326" s="17">
        <v>0</v>
      </c>
      <c r="R1326" s="24">
        <v>335</v>
      </c>
      <c r="S1326" s="18" t="s">
        <v>28</v>
      </c>
      <c r="T1326" s="25">
        <v>26</v>
      </c>
    </row>
    <row r="1327" spans="1:20" s="26" customFormat="1" x14ac:dyDescent="0.25">
      <c r="A1327" s="16">
        <v>234881</v>
      </c>
      <c r="B1327" s="30" t="s">
        <v>1543</v>
      </c>
      <c r="C1327" s="20" t="s">
        <v>641</v>
      </c>
      <c r="D1327" s="20" t="s">
        <v>743</v>
      </c>
      <c r="E1327" s="20" t="s">
        <v>4158</v>
      </c>
      <c r="F1327" s="20" t="s">
        <v>4159</v>
      </c>
      <c r="G1327" s="21">
        <v>13.4</v>
      </c>
      <c r="H1327" s="16">
        <v>26</v>
      </c>
      <c r="I1327" s="16"/>
      <c r="J1327" s="17">
        <v>348.40000000000003</v>
      </c>
      <c r="K1327" s="22"/>
      <c r="L1327" s="23">
        <v>59.5</v>
      </c>
      <c r="M1327" s="23">
        <v>59.5</v>
      </c>
      <c r="N1327" s="19">
        <v>26.8</v>
      </c>
      <c r="O1327" s="19">
        <v>-7.5</v>
      </c>
      <c r="P1327" s="48">
        <v>67</v>
      </c>
      <c r="Q1327" s="17">
        <v>0</v>
      </c>
      <c r="R1327" s="24">
        <v>348.40000000000003</v>
      </c>
      <c r="S1327" s="18" t="s">
        <v>28</v>
      </c>
      <c r="T1327" s="25">
        <v>26</v>
      </c>
    </row>
    <row r="1328" spans="1:20" s="26" customFormat="1" x14ac:dyDescent="0.25">
      <c r="A1328" s="16">
        <v>230708</v>
      </c>
      <c r="B1328" s="30" t="s">
        <v>1544</v>
      </c>
      <c r="C1328" s="20" t="s">
        <v>645</v>
      </c>
      <c r="D1328" s="20" t="s">
        <v>711</v>
      </c>
      <c r="E1328" s="20" t="s">
        <v>4160</v>
      </c>
      <c r="F1328" s="20" t="s">
        <v>4161</v>
      </c>
      <c r="G1328" s="21">
        <v>13.4</v>
      </c>
      <c r="H1328" s="16">
        <v>26</v>
      </c>
      <c r="I1328" s="16"/>
      <c r="J1328" s="17">
        <v>348.40000000000003</v>
      </c>
      <c r="K1328" s="22"/>
      <c r="L1328" s="23"/>
      <c r="M1328" s="23">
        <v>0</v>
      </c>
      <c r="N1328" s="19">
        <v>26.8</v>
      </c>
      <c r="O1328" s="19">
        <v>-67</v>
      </c>
      <c r="P1328" s="48">
        <v>67</v>
      </c>
      <c r="Q1328" s="17">
        <v>0</v>
      </c>
      <c r="R1328" s="24">
        <v>348.40000000000003</v>
      </c>
      <c r="S1328" s="18" t="s">
        <v>28</v>
      </c>
      <c r="T1328" s="25">
        <v>26</v>
      </c>
    </row>
    <row r="1329" spans="1:20" s="26" customFormat="1" x14ac:dyDescent="0.25">
      <c r="A1329" s="16">
        <v>230776</v>
      </c>
      <c r="B1329" s="30" t="s">
        <v>615</v>
      </c>
      <c r="C1329" s="20" t="s">
        <v>645</v>
      </c>
      <c r="D1329" s="20" t="s">
        <v>711</v>
      </c>
      <c r="E1329" s="20" t="s">
        <v>4162</v>
      </c>
      <c r="F1329" s="20" t="s">
        <v>4163</v>
      </c>
      <c r="G1329" s="21">
        <v>13.4</v>
      </c>
      <c r="H1329" s="16">
        <v>26</v>
      </c>
      <c r="I1329" s="16"/>
      <c r="J1329" s="17">
        <v>348.40000000000003</v>
      </c>
      <c r="K1329" s="22"/>
      <c r="L1329" s="23"/>
      <c r="M1329" s="23">
        <v>0</v>
      </c>
      <c r="N1329" s="19">
        <v>26.8</v>
      </c>
      <c r="O1329" s="19">
        <v>-67</v>
      </c>
      <c r="P1329" s="48">
        <v>67</v>
      </c>
      <c r="Q1329" s="17">
        <v>0</v>
      </c>
      <c r="R1329" s="24">
        <v>348.40000000000003</v>
      </c>
      <c r="S1329" s="18" t="s">
        <v>28</v>
      </c>
      <c r="T1329" s="25">
        <v>26</v>
      </c>
    </row>
    <row r="1330" spans="1:20" s="26" customFormat="1" x14ac:dyDescent="0.25">
      <c r="A1330" s="16">
        <v>230829</v>
      </c>
      <c r="B1330" s="30" t="s">
        <v>616</v>
      </c>
      <c r="C1330" s="20" t="s">
        <v>645</v>
      </c>
      <c r="D1330" s="20" t="s">
        <v>711</v>
      </c>
      <c r="E1330" s="20" t="s">
        <v>4164</v>
      </c>
      <c r="F1330" s="20" t="s">
        <v>4165</v>
      </c>
      <c r="G1330" s="21">
        <v>13.4</v>
      </c>
      <c r="H1330" s="16">
        <v>26</v>
      </c>
      <c r="I1330" s="16"/>
      <c r="J1330" s="17">
        <v>348.40000000000003</v>
      </c>
      <c r="K1330" s="22"/>
      <c r="L1330" s="23"/>
      <c r="M1330" s="23">
        <v>0</v>
      </c>
      <c r="N1330" s="19">
        <v>26.8</v>
      </c>
      <c r="O1330" s="19">
        <v>-67</v>
      </c>
      <c r="P1330" s="48">
        <v>67</v>
      </c>
      <c r="Q1330" s="17">
        <v>0</v>
      </c>
      <c r="R1330" s="24">
        <v>348.40000000000003</v>
      </c>
      <c r="S1330" s="18" t="s">
        <v>28</v>
      </c>
      <c r="T1330" s="25">
        <v>26</v>
      </c>
    </row>
    <row r="1331" spans="1:20" s="26" customFormat="1" x14ac:dyDescent="0.25">
      <c r="A1331" s="16">
        <v>231057</v>
      </c>
      <c r="B1331" s="30" t="s">
        <v>617</v>
      </c>
      <c r="C1331" s="20" t="s">
        <v>645</v>
      </c>
      <c r="D1331" s="20" t="s">
        <v>711</v>
      </c>
      <c r="E1331" s="20" t="s">
        <v>4166</v>
      </c>
      <c r="F1331" s="20" t="s">
        <v>4167</v>
      </c>
      <c r="G1331" s="21">
        <v>13.4</v>
      </c>
      <c r="H1331" s="16">
        <v>26</v>
      </c>
      <c r="I1331" s="16"/>
      <c r="J1331" s="17">
        <v>348.40000000000003</v>
      </c>
      <c r="K1331" s="22"/>
      <c r="L1331" s="23"/>
      <c r="M1331" s="23">
        <v>0</v>
      </c>
      <c r="N1331" s="19">
        <v>26.8</v>
      </c>
      <c r="O1331" s="19">
        <v>-67</v>
      </c>
      <c r="P1331" s="48">
        <v>67</v>
      </c>
      <c r="Q1331" s="17">
        <v>0</v>
      </c>
      <c r="R1331" s="24">
        <v>348.40000000000003</v>
      </c>
      <c r="S1331" s="18" t="s">
        <v>28</v>
      </c>
      <c r="T1331" s="25">
        <v>26</v>
      </c>
    </row>
    <row r="1332" spans="1:20" s="26" customFormat="1" x14ac:dyDescent="0.25">
      <c r="A1332" s="16">
        <v>231695</v>
      </c>
      <c r="B1332" s="30" t="s">
        <v>881</v>
      </c>
      <c r="C1332" s="20" t="s">
        <v>645</v>
      </c>
      <c r="D1332" s="20" t="s">
        <v>711</v>
      </c>
      <c r="E1332" s="20" t="s">
        <v>4168</v>
      </c>
      <c r="F1332" s="20" t="s">
        <v>4169</v>
      </c>
      <c r="G1332" s="21">
        <v>13.4</v>
      </c>
      <c r="H1332" s="16">
        <v>26</v>
      </c>
      <c r="I1332" s="16"/>
      <c r="J1332" s="17">
        <v>348.40000000000003</v>
      </c>
      <c r="K1332" s="22"/>
      <c r="L1332" s="23"/>
      <c r="M1332" s="23">
        <v>0</v>
      </c>
      <c r="N1332" s="19">
        <v>26.8</v>
      </c>
      <c r="O1332" s="19">
        <v>-67</v>
      </c>
      <c r="P1332" s="48">
        <v>67</v>
      </c>
      <c r="Q1332" s="17">
        <v>0</v>
      </c>
      <c r="R1332" s="24">
        <v>348.40000000000003</v>
      </c>
      <c r="S1332" s="18" t="s">
        <v>28</v>
      </c>
      <c r="T1332" s="25">
        <v>26</v>
      </c>
    </row>
    <row r="1333" spans="1:20" s="26" customFormat="1" x14ac:dyDescent="0.25">
      <c r="A1333" s="16">
        <v>232753</v>
      </c>
      <c r="B1333" s="30" t="s">
        <v>955</v>
      </c>
      <c r="C1333" s="20" t="s">
        <v>645</v>
      </c>
      <c r="D1333" s="20" t="s">
        <v>711</v>
      </c>
      <c r="E1333" s="20" t="s">
        <v>4170</v>
      </c>
      <c r="F1333" s="20" t="s">
        <v>4171</v>
      </c>
      <c r="G1333" s="21">
        <v>13.4</v>
      </c>
      <c r="H1333" s="16">
        <v>26</v>
      </c>
      <c r="I1333" s="16"/>
      <c r="J1333" s="17">
        <v>348.40000000000003</v>
      </c>
      <c r="K1333" s="22"/>
      <c r="L1333" s="23"/>
      <c r="M1333" s="23">
        <v>0</v>
      </c>
      <c r="N1333" s="19">
        <v>26.8</v>
      </c>
      <c r="O1333" s="19">
        <v>-67</v>
      </c>
      <c r="P1333" s="48">
        <v>67</v>
      </c>
      <c r="Q1333" s="17">
        <v>0</v>
      </c>
      <c r="R1333" s="24">
        <v>348.40000000000003</v>
      </c>
      <c r="S1333" s="18" t="s">
        <v>28</v>
      </c>
      <c r="T1333" s="25">
        <v>26</v>
      </c>
    </row>
    <row r="1334" spans="1:20" s="26" customFormat="1" x14ac:dyDescent="0.25">
      <c r="A1334" s="16">
        <v>232822</v>
      </c>
      <c r="B1334" s="30" t="s">
        <v>956</v>
      </c>
      <c r="C1334" s="20" t="s">
        <v>645</v>
      </c>
      <c r="D1334" s="20" t="s">
        <v>711</v>
      </c>
      <c r="E1334" s="20" t="s">
        <v>4172</v>
      </c>
      <c r="F1334" s="20" t="s">
        <v>4173</v>
      </c>
      <c r="G1334" s="21">
        <v>13.4</v>
      </c>
      <c r="H1334" s="16">
        <v>26</v>
      </c>
      <c r="I1334" s="16"/>
      <c r="J1334" s="17">
        <v>348.40000000000003</v>
      </c>
      <c r="K1334" s="22"/>
      <c r="L1334" s="23"/>
      <c r="M1334" s="23">
        <v>0</v>
      </c>
      <c r="N1334" s="19">
        <v>26.8</v>
      </c>
      <c r="O1334" s="19">
        <v>-67</v>
      </c>
      <c r="P1334" s="48">
        <v>67</v>
      </c>
      <c r="Q1334" s="17">
        <v>0</v>
      </c>
      <c r="R1334" s="24">
        <v>348.40000000000003</v>
      </c>
      <c r="S1334" s="18" t="s">
        <v>28</v>
      </c>
      <c r="T1334" s="25">
        <v>26</v>
      </c>
    </row>
    <row r="1335" spans="1:20" s="26" customFormat="1" x14ac:dyDescent="0.25">
      <c r="A1335" s="16">
        <v>234045</v>
      </c>
      <c r="B1335" s="30" t="s">
        <v>1256</v>
      </c>
      <c r="C1335" s="20" t="s">
        <v>645</v>
      </c>
      <c r="D1335" s="20" t="s">
        <v>711</v>
      </c>
      <c r="E1335" s="20" t="s">
        <v>4174</v>
      </c>
      <c r="F1335" s="20" t="s">
        <v>4175</v>
      </c>
      <c r="G1335" s="21">
        <v>13.4</v>
      </c>
      <c r="H1335" s="16">
        <v>26</v>
      </c>
      <c r="I1335" s="16"/>
      <c r="J1335" s="17">
        <v>348.40000000000003</v>
      </c>
      <c r="K1335" s="22"/>
      <c r="L1335" s="23"/>
      <c r="M1335" s="23">
        <v>0</v>
      </c>
      <c r="N1335" s="19">
        <v>26.8</v>
      </c>
      <c r="O1335" s="19">
        <v>-67</v>
      </c>
      <c r="P1335" s="48">
        <v>67</v>
      </c>
      <c r="Q1335" s="17">
        <v>0</v>
      </c>
      <c r="R1335" s="24">
        <v>348.40000000000003</v>
      </c>
      <c r="S1335" s="18" t="s">
        <v>28</v>
      </c>
      <c r="T1335" s="25">
        <v>26</v>
      </c>
    </row>
    <row r="1336" spans="1:20" s="26" customFormat="1" x14ac:dyDescent="0.25">
      <c r="A1336" s="16">
        <v>234560</v>
      </c>
      <c r="B1336" s="30" t="s">
        <v>1337</v>
      </c>
      <c r="C1336" s="20" t="s">
        <v>645</v>
      </c>
      <c r="D1336" s="20" t="s">
        <v>711</v>
      </c>
      <c r="E1336" s="20" t="s">
        <v>4176</v>
      </c>
      <c r="F1336" s="20" t="s">
        <v>4177</v>
      </c>
      <c r="G1336" s="21">
        <v>13.4</v>
      </c>
      <c r="H1336" s="16">
        <v>26</v>
      </c>
      <c r="I1336" s="16"/>
      <c r="J1336" s="17">
        <v>348.40000000000003</v>
      </c>
      <c r="K1336" s="22"/>
      <c r="L1336" s="23"/>
      <c r="M1336" s="23">
        <v>0</v>
      </c>
      <c r="N1336" s="19">
        <v>26.8</v>
      </c>
      <c r="O1336" s="19">
        <v>-67</v>
      </c>
      <c r="P1336" s="48">
        <v>67</v>
      </c>
      <c r="Q1336" s="17">
        <v>0</v>
      </c>
      <c r="R1336" s="24">
        <v>348.40000000000003</v>
      </c>
      <c r="S1336" s="18" t="s">
        <v>28</v>
      </c>
      <c r="T1336" s="25">
        <v>26</v>
      </c>
    </row>
    <row r="1337" spans="1:20" s="26" customFormat="1" x14ac:dyDescent="0.25">
      <c r="A1337" s="16">
        <v>234688</v>
      </c>
      <c r="B1337" s="30" t="s">
        <v>1387</v>
      </c>
      <c r="C1337" s="20" t="s">
        <v>645</v>
      </c>
      <c r="D1337" s="20" t="s">
        <v>711</v>
      </c>
      <c r="E1337" s="20" t="s">
        <v>4178</v>
      </c>
      <c r="F1337" s="20" t="s">
        <v>4179</v>
      </c>
      <c r="G1337" s="21">
        <v>13.4</v>
      </c>
      <c r="H1337" s="16">
        <v>26</v>
      </c>
      <c r="I1337" s="16"/>
      <c r="J1337" s="17">
        <v>348.40000000000003</v>
      </c>
      <c r="K1337" s="22"/>
      <c r="L1337" s="23"/>
      <c r="M1337" s="23">
        <v>0</v>
      </c>
      <c r="N1337" s="19">
        <v>26.8</v>
      </c>
      <c r="O1337" s="19">
        <v>-67</v>
      </c>
      <c r="P1337" s="48">
        <v>67</v>
      </c>
      <c r="Q1337" s="17">
        <v>0</v>
      </c>
      <c r="R1337" s="24">
        <v>348.40000000000003</v>
      </c>
      <c r="S1337" s="18" t="s">
        <v>28</v>
      </c>
      <c r="T1337" s="25">
        <v>26</v>
      </c>
    </row>
    <row r="1338" spans="1:20" x14ac:dyDescent="0.25">
      <c r="A1338" s="13" t="s">
        <v>13</v>
      </c>
      <c r="B1338" s="13"/>
      <c r="C1338" s="13"/>
      <c r="D1338" s="13"/>
      <c r="E1338" s="20"/>
      <c r="F1338" s="20"/>
      <c r="G1338" s="33"/>
      <c r="H1338" s="13"/>
      <c r="I1338" s="13"/>
      <c r="J1338" s="14">
        <f>SUBTOTAL(109,Tabela17468101214223032268161925273133362421012141618242628303840248101214162022262830323436242681012142461012242624426262826268102628623654[Pedido Inicial])</f>
        <v>451919.90000000322</v>
      </c>
      <c r="K1338" s="15"/>
      <c r="L1338" s="15"/>
      <c r="M1338" s="15"/>
      <c r="N1338" s="15"/>
      <c r="O1338" s="15"/>
      <c r="P1338" s="15"/>
      <c r="Q1338" s="15"/>
      <c r="R1338" s="14">
        <f>SUBTOTAL(109,Tabela17468101214223032268161925273133362421012141618242628303840248101214162022262830323436242681012142461012242624426262826268102628623654[Pedido Final])</f>
        <v>443689.78000000346</v>
      </c>
      <c r="S1338" s="31">
        <f>SUBTOTAL(103,Tabela17468101214223032268161925273133362421012141618242628303840248101214162022262830323436242681012142461012242624426262826268102628623654[Status])</f>
        <v>1334</v>
      </c>
      <c r="T1338" s="13"/>
    </row>
    <row r="1339" spans="1:20" x14ac:dyDescent="0.25">
      <c r="A1339" s="13"/>
      <c r="B1339" s="13"/>
      <c r="C1339" s="13"/>
      <c r="D1339" s="13"/>
      <c r="E1339" s="20"/>
      <c r="F1339" s="20"/>
      <c r="G1339" s="33"/>
      <c r="H1339" s="13"/>
      <c r="I1339" s="13"/>
      <c r="J1339" s="14"/>
      <c r="K1339" s="15"/>
      <c r="L1339" s="15"/>
      <c r="M1339" s="15"/>
      <c r="N1339" s="15"/>
      <c r="O1339" s="15"/>
      <c r="P1339" s="15"/>
      <c r="Q1339" s="15"/>
      <c r="R1339" s="14"/>
      <c r="S1339" s="31"/>
      <c r="T1339" s="13"/>
    </row>
    <row r="1340" spans="1:20" x14ac:dyDescent="0.25">
      <c r="A1340" s="13"/>
      <c r="B1340" s="13"/>
      <c r="C1340" s="13"/>
      <c r="D1340" s="13"/>
      <c r="E1340" s="20"/>
      <c r="F1340" s="20"/>
      <c r="G1340" s="33"/>
      <c r="H1340" s="13"/>
      <c r="I1340" s="13"/>
      <c r="J1340" s="14"/>
      <c r="K1340" s="15"/>
      <c r="L1340" s="15"/>
      <c r="M1340" s="15"/>
      <c r="N1340" s="15"/>
      <c r="O1340" s="15"/>
      <c r="P1340" s="15"/>
      <c r="Q1340" s="15"/>
      <c r="R1340" s="14"/>
      <c r="S1340" s="31"/>
      <c r="T1340" s="13"/>
    </row>
    <row r="1341" spans="1:20" x14ac:dyDescent="0.25">
      <c r="B1341" s="49" t="s">
        <v>14</v>
      </c>
      <c r="C1341" s="44"/>
      <c r="D1341" s="13"/>
      <c r="E1341" s="8"/>
      <c r="F1341" s="37"/>
      <c r="G1341" s="37"/>
      <c r="H1341" s="37"/>
      <c r="I1341" s="37"/>
      <c r="J1341" s="28"/>
      <c r="K1341" s="3"/>
      <c r="R1341" s="4" t="s">
        <v>26</v>
      </c>
      <c r="S1341" s="39" t="s">
        <v>15</v>
      </c>
      <c r="T1341" s="8"/>
    </row>
    <row r="1342" spans="1:20" x14ac:dyDescent="0.25">
      <c r="B1342" s="50" t="s">
        <v>24</v>
      </c>
      <c r="C1342" s="60">
        <f>Tabela17468101214223032268161925273133362421012141618242628303840248101214162022262830323436242681012142461012242624426262826268102628623654[[#Totals],[Pedido Inicial]]</f>
        <v>451919.90000000322</v>
      </c>
      <c r="D1342" s="13"/>
      <c r="E1342" s="8"/>
      <c r="F1342" s="41"/>
      <c r="G1342" s="41"/>
      <c r="H1342" s="34"/>
      <c r="I1342" s="34"/>
      <c r="J1342" s="34"/>
      <c r="K1342" s="5"/>
      <c r="R1342" s="58" t="s">
        <v>28</v>
      </c>
      <c r="S1342" s="67">
        <f>COUNTIF(Tabela17468101214223032268161925273133362421012141618242628303840248101214162022262830323436242681012142461012242624426262826268102628623654[Status],Tabela2579111315233133379172026283234373531113151719252729313941359111315172123272931333537353791113153571113353734537373937379113739733755[[#This Row],[STATUS]])</f>
        <v>1266</v>
      </c>
      <c r="T1342" s="8"/>
    </row>
    <row r="1343" spans="1:20" x14ac:dyDescent="0.25">
      <c r="B1343" s="50" t="s">
        <v>25</v>
      </c>
      <c r="C1343" s="60">
        <f>Tabela17468101214223032268161925273133362421012141618242628303840248101214162022262830323436242681012142461012242624426262826268102628623654[[#Totals],[Pedido Final]]</f>
        <v>443689.78000000346</v>
      </c>
      <c r="D1343" s="13"/>
      <c r="E1343" s="8"/>
      <c r="F1343" s="41"/>
      <c r="G1343" s="41"/>
      <c r="H1343" s="34"/>
      <c r="I1343" s="34"/>
      <c r="J1343" s="34"/>
      <c r="K1343" s="5"/>
      <c r="Q1343" s="8"/>
      <c r="R1343" s="58" t="s">
        <v>11</v>
      </c>
      <c r="S1343" s="68">
        <f>COUNTIF(Tabela17468101214223032268161925273133362421012141618242628303840248101214162022262830323436242681012142461012242624426262826268102628623654[Status],Tabela2579111315233133379172026283234373531113151719252729313941359111315172123272931333537353791113153571113353734537373937379113739733755[[#This Row],[STATUS]])</f>
        <v>44</v>
      </c>
      <c r="T1343" s="8"/>
    </row>
    <row r="1344" spans="1:20" x14ac:dyDescent="0.25">
      <c r="B1344" s="51" t="str">
        <f>_xlfn.CONCAT("ECONOMIA"," ",ROUND(C1344/C1342,2)*100,"%")</f>
        <v>ECONOMIA 2%</v>
      </c>
      <c r="C1344" s="61">
        <f>SUM(C1342-C1343)</f>
        <v>8230.1199999997625</v>
      </c>
      <c r="D1344" s="13"/>
      <c r="E1344" s="8"/>
      <c r="F1344" s="41"/>
      <c r="G1344" s="41"/>
      <c r="H1344" s="36"/>
      <c r="I1344" s="36"/>
      <c r="J1344" s="38"/>
      <c r="K1344" s="36"/>
      <c r="Q1344" s="35"/>
      <c r="R1344" s="58" t="s">
        <v>12</v>
      </c>
      <c r="S1344" s="68">
        <f>COUNTIF(Tabela17468101214223032268161925273133362421012141618242628303840248101214162022262830323436242681012142461012242624426262826268102628623654[Status],Tabela2579111315233133379172026283234373531113151719252729313941359111315172123272931333537353791113153571113353734537373937379113739733755[[#This Row],[STATUS]])</f>
        <v>24</v>
      </c>
      <c r="T1344" s="8"/>
    </row>
    <row r="1345" spans="1:20" x14ac:dyDescent="0.25">
      <c r="B1345" s="51" t="str">
        <f>_xlfn.CONCAT("HPOD"," ",ROUND(C1345/C1344,2)*100,"%")</f>
        <v>HPOD 12%</v>
      </c>
      <c r="C1345" s="61">
        <f>C1344*12%</f>
        <v>987.61439999997151</v>
      </c>
      <c r="D1345" s="13"/>
      <c r="E1345" s="8"/>
      <c r="F1345" s="41"/>
      <c r="G1345" s="41"/>
      <c r="H1345" s="36"/>
      <c r="I1345" s="36"/>
      <c r="J1345" s="38"/>
      <c r="K1345" s="36"/>
      <c r="R1345" s="6" t="s">
        <v>27</v>
      </c>
      <c r="S1345" s="40">
        <f>SUBTOTAL(109,Tabela2579111315233133379172026283234373531113151719252729313941359111315172123272931333537353791113153571113353734537373937379113739733755[Coluna1])</f>
        <v>1334</v>
      </c>
      <c r="T1345" s="8"/>
    </row>
    <row r="1346" spans="1:20" x14ac:dyDescent="0.25">
      <c r="B1346" s="52" t="s">
        <v>1269</v>
      </c>
      <c r="C1346" s="62">
        <v>0</v>
      </c>
      <c r="D1346" s="13"/>
      <c r="T1346" s="6"/>
    </row>
    <row r="1347" spans="1:20" x14ac:dyDescent="0.25">
      <c r="B1347" s="53" t="s">
        <v>29</v>
      </c>
      <c r="C1347" s="63">
        <f>C1345-C1346</f>
        <v>987.61439999997151</v>
      </c>
      <c r="O1347" s="35"/>
    </row>
    <row r="1348" spans="1:20" x14ac:dyDescent="0.25">
      <c r="A1348" s="26"/>
      <c r="B1348" s="12"/>
      <c r="C1348" s="12"/>
      <c r="D1348" s="12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</row>
    <row r="1349" spans="1:20" x14ac:dyDescent="0.25">
      <c r="A1349" s="26"/>
      <c r="B1349" s="12"/>
      <c r="C1349" s="12"/>
      <c r="D1349" s="12"/>
      <c r="E1349" s="27"/>
      <c r="F1349" s="27"/>
      <c r="G1349" s="27"/>
      <c r="H1349" s="27"/>
      <c r="I1349" s="27"/>
      <c r="J1349" s="27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</row>
    <row r="1350" spans="1:20" x14ac:dyDescent="0.25">
      <c r="A1350" s="26"/>
      <c r="B1350" s="12"/>
      <c r="C1350" s="12"/>
      <c r="D1350" s="12"/>
      <c r="E1350" s="28"/>
      <c r="F1350" s="28"/>
      <c r="G1350" s="28"/>
      <c r="H1350" s="28"/>
      <c r="I1350" s="28"/>
      <c r="J1350" s="28"/>
      <c r="K1350" s="27"/>
      <c r="L1350" s="26"/>
      <c r="M1350" s="26"/>
      <c r="N1350" s="26"/>
      <c r="O1350" s="26"/>
      <c r="P1350" s="26"/>
      <c r="Q1350" s="26"/>
      <c r="R1350" s="26"/>
      <c r="S1350" s="26"/>
      <c r="T1350" s="26"/>
    </row>
    <row r="1351" spans="1:20" x14ac:dyDescent="0.25">
      <c r="A1351" s="26"/>
      <c r="B1351" s="12"/>
      <c r="C1351" s="12"/>
      <c r="D1351" s="12"/>
      <c r="E1351" s="28"/>
      <c r="F1351" s="28"/>
      <c r="G1351" s="28"/>
      <c r="H1351" s="28"/>
      <c r="I1351" s="28"/>
      <c r="J1351" s="28"/>
      <c r="K1351" s="27"/>
      <c r="L1351" s="26"/>
      <c r="M1351" s="26"/>
      <c r="N1351" s="26"/>
      <c r="O1351" s="26"/>
      <c r="P1351" s="26"/>
      <c r="Q1351" s="26"/>
      <c r="R1351" s="26"/>
      <c r="S1351" s="26"/>
      <c r="T1351" s="26"/>
    </row>
    <row r="1352" spans="1:20" x14ac:dyDescent="0.25">
      <c r="A1352" s="26"/>
      <c r="B1352" s="12"/>
      <c r="C1352" s="12"/>
      <c r="D1352" s="12"/>
      <c r="E1352" s="28"/>
      <c r="F1352" s="28"/>
      <c r="G1352" s="28"/>
      <c r="H1352" s="28"/>
      <c r="I1352" s="28"/>
      <c r="J1352" s="28"/>
      <c r="K1352" s="27"/>
      <c r="L1352" s="26"/>
      <c r="M1352" s="26"/>
      <c r="N1352" s="26"/>
      <c r="O1352" s="26"/>
      <c r="P1352" s="29"/>
      <c r="Q1352" s="26"/>
      <c r="R1352" s="26"/>
      <c r="S1352" s="26"/>
      <c r="T1352" s="26"/>
    </row>
    <row r="1353" spans="1:20" x14ac:dyDescent="0.25">
      <c r="A1353" s="26"/>
      <c r="B1353" s="12"/>
      <c r="C1353" s="12"/>
      <c r="D1353" s="12"/>
      <c r="E1353" s="26"/>
      <c r="F1353" s="26"/>
      <c r="G1353" s="26"/>
      <c r="H1353" s="26"/>
      <c r="I1353" s="26"/>
      <c r="J1353" s="26"/>
      <c r="K1353" s="27"/>
      <c r="L1353" s="26"/>
      <c r="M1353" s="26"/>
      <c r="N1353" s="26"/>
      <c r="O1353" s="26"/>
      <c r="P1353" s="26"/>
      <c r="Q1353" s="26"/>
      <c r="R1353" s="26"/>
      <c r="S1353" s="26"/>
      <c r="T1353" s="26"/>
    </row>
    <row r="1354" spans="1:20" x14ac:dyDescent="0.25">
      <c r="A1354" s="26"/>
      <c r="B1354" s="12"/>
      <c r="C1354" s="12"/>
      <c r="D1354" s="12"/>
      <c r="E1354" s="28"/>
      <c r="F1354" s="28"/>
      <c r="G1354" s="28"/>
      <c r="H1354" s="28"/>
      <c r="I1354" s="28"/>
      <c r="J1354" s="28"/>
      <c r="K1354" s="29"/>
      <c r="L1354" s="26"/>
      <c r="M1354" s="26"/>
      <c r="N1354" s="26"/>
      <c r="O1354" s="26"/>
      <c r="P1354" s="26"/>
      <c r="Q1354" s="26"/>
      <c r="R1354" s="26"/>
      <c r="S1354" s="26"/>
      <c r="T1354" s="26"/>
    </row>
    <row r="1355" spans="1:20" x14ac:dyDescent="0.25">
      <c r="A1355" s="26"/>
      <c r="B1355" s="12"/>
      <c r="C1355" s="12"/>
      <c r="D1355" s="12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</row>
    <row r="1356" spans="1:20" x14ac:dyDescent="0.25">
      <c r="A1356" s="26"/>
      <c r="B1356" s="12"/>
      <c r="C1356" s="12"/>
      <c r="D1356" s="12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9"/>
    </row>
    <row r="1357" spans="1:20" x14ac:dyDescent="0.25">
      <c r="A1357" s="26"/>
      <c r="B1357" s="12"/>
      <c r="C1357" s="12"/>
      <c r="D1357" s="12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</row>
    <row r="1358" spans="1:20" x14ac:dyDescent="0.25">
      <c r="A1358" s="26"/>
      <c r="B1358" s="12"/>
      <c r="C1358" s="12"/>
      <c r="D1358" s="12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</row>
    <row r="1359" spans="1:20" x14ac:dyDescent="0.25">
      <c r="A1359" s="26"/>
      <c r="B1359" s="12"/>
      <c r="C1359" s="12"/>
      <c r="D1359" s="12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</row>
    <row r="1360" spans="1:20" x14ac:dyDescent="0.25">
      <c r="A1360" s="26"/>
      <c r="B1360" s="12"/>
      <c r="C1360" s="12"/>
      <c r="D1360" s="12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</row>
    <row r="1361" spans="1:20" x14ac:dyDescent="0.25">
      <c r="A1361" s="26"/>
      <c r="B1361" s="12"/>
      <c r="C1361" s="12"/>
      <c r="D1361" s="12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</row>
    <row r="1362" spans="1:20" x14ac:dyDescent="0.25">
      <c r="T1362" s="26"/>
    </row>
    <row r="1363" spans="1:20" x14ac:dyDescent="0.25">
      <c r="E1363" s="32"/>
      <c r="F1363" s="32"/>
      <c r="G1363" s="32"/>
      <c r="H1363" s="32"/>
      <c r="I1363" s="32"/>
      <c r="J1363" s="32"/>
    </row>
    <row r="1364" spans="1:20" x14ac:dyDescent="0.25">
      <c r="E1364" s="32"/>
      <c r="F1364" s="32"/>
      <c r="G1364" s="32"/>
      <c r="H1364" s="32"/>
      <c r="I1364" s="32"/>
      <c r="J1364" s="32"/>
    </row>
  </sheetData>
  <mergeCells count="1">
    <mergeCell ref="A2:T2"/>
  </mergeCells>
  <conditionalFormatting sqref="A1338:A1048576 A1:A3">
    <cfRule type="duplicateValues" dxfId="74" priority="7"/>
    <cfRule type="duplicateValues" dxfId="73" priority="8"/>
  </conditionalFormatting>
  <conditionalFormatting sqref="B1348:B1048576 B1338:B1340 B1 B3">
    <cfRule type="duplicateValues" dxfId="72" priority="9"/>
  </conditionalFormatting>
  <conditionalFormatting sqref="C1342:C134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{DA37EA1C-FFEC-438D-86F9-2DF49EFBF5B3}</x14:id>
        </ext>
      </extLst>
    </cfRule>
  </conditionalFormatting>
  <conditionalFormatting sqref="C1342:C13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{11835E5D-2A35-4666-A38E-40349DCD437F}</x14:id>
        </ext>
      </extLst>
    </cfRule>
  </conditionalFormatting>
  <conditionalFormatting sqref="C1346:C13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{9546F0EF-F64D-45FD-A825-4E1BA62C881C}</x14:id>
        </ext>
      </extLst>
    </cfRule>
  </conditionalFormatting>
  <conditionalFormatting sqref="H1342:J1343 F1342:G134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{B3F2DB03-6E15-4620-A296-C0597D7BA2CA}</x14:id>
        </ext>
      </extLst>
    </cfRule>
  </conditionalFormatting>
  <conditionalFormatting sqref="R1342:S134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{3997CE1C-13CF-4410-9B1C-54414563FCC8}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57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37EA1C-FFEC-438D-86F9-2DF49EFBF5B3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C1342:C1345</xm:sqref>
        </x14:conditionalFormatting>
        <x14:conditionalFormatting xmlns:xm="http://schemas.microsoft.com/office/excel/2006/main">
          <x14:cfRule type="dataBar" id="{11835E5D-2A35-4666-A38E-40349DCD43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C1342:C1347</xm:sqref>
        </x14:conditionalFormatting>
        <x14:conditionalFormatting xmlns:xm="http://schemas.microsoft.com/office/excel/2006/main">
          <x14:cfRule type="dataBar" id="{9546F0EF-F64D-45FD-A825-4E1BA62C8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C1346:C1347</xm:sqref>
        </x14:conditionalFormatting>
        <x14:conditionalFormatting xmlns:xm="http://schemas.microsoft.com/office/excel/2006/main">
          <x14:cfRule type="dataBar" id="{B3F2DB03-6E15-4620-A296-C0597D7BA2CA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H1342:J1343 F1342:G1345</xm:sqref>
        </x14:conditionalFormatting>
        <x14:conditionalFormatting xmlns:xm="http://schemas.microsoft.com/office/excel/2006/main">
          <x14:cfRule type="dataBar" id="{3997CE1C-13CF-4410-9B1C-54414563FC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R1342:S1344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71FA-58E8-4DBC-A2A0-77CEC9D07168}">
  <sheetPr>
    <pageSetUpPr fitToPage="1"/>
  </sheetPr>
  <dimension ref="A1:BF304"/>
  <sheetViews>
    <sheetView topLeftCell="A267" zoomScaleNormal="100" workbookViewId="0">
      <selection activeCell="A288" sqref="A288"/>
    </sheetView>
  </sheetViews>
  <sheetFormatPr defaultColWidth="9.140625" defaultRowHeight="15" x14ac:dyDescent="0.25"/>
  <cols>
    <col min="1" max="1" width="6.85546875" style="1" bestFit="1" customWidth="1"/>
    <col min="2" max="2" width="32.85546875" style="3" bestFit="1" customWidth="1"/>
    <col min="3" max="3" width="22.7109375" style="3" customWidth="1"/>
    <col min="4" max="4" width="33.140625" style="3" customWidth="1"/>
    <col min="5" max="5" width="11.7109375" style="1" bestFit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hidden="1" customWidth="1"/>
    <col min="12" max="12" width="8" style="1" hidden="1" customWidth="1"/>
    <col min="13" max="13" width="10.5703125" style="1" customWidth="1"/>
    <col min="14" max="14" width="7" style="1" hidden="1" customWidth="1"/>
    <col min="15" max="15" width="8.140625" style="1" hidden="1" customWidth="1"/>
    <col min="16" max="16" width="15.140625" style="1" hidden="1" customWidth="1"/>
    <col min="17" max="17" width="10.28515625" style="1" bestFit="1" customWidth="1"/>
    <col min="18" max="18" width="13.7109375" style="1" customWidth="1"/>
    <col min="19" max="19" width="15.28515625" style="1" customWidth="1"/>
    <col min="20" max="20" width="4.140625" style="1" customWidth="1"/>
    <col min="21" max="58" width="8.7109375" style="8" customWidth="1"/>
    <col min="59" max="233" width="8.7109375" style="7" customWidth="1"/>
    <col min="234" max="16384" width="9.140625" style="7"/>
  </cols>
  <sheetData>
    <row r="1" spans="1:58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58" s="1" customFormat="1" ht="38.450000000000003" customHeight="1" x14ac:dyDescent="0.25">
      <c r="A2" s="69" t="s">
        <v>4193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8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spans="1:58" s="26" customFormat="1" x14ac:dyDescent="0.25">
      <c r="A4" s="16">
        <v>223380</v>
      </c>
      <c r="B4" s="43" t="s">
        <v>1129</v>
      </c>
      <c r="C4" s="20" t="s">
        <v>1257</v>
      </c>
      <c r="D4" s="20" t="s">
        <v>1260</v>
      </c>
      <c r="E4" s="17" t="s">
        <v>1547</v>
      </c>
      <c r="F4" s="17" t="s">
        <v>1548</v>
      </c>
      <c r="G4" s="21">
        <v>18.8</v>
      </c>
      <c r="H4" s="16">
        <v>22</v>
      </c>
      <c r="I4" s="16">
        <v>5</v>
      </c>
      <c r="J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319.60000000000002</v>
      </c>
      <c r="K4" s="57"/>
      <c r="L4" s="57"/>
      <c r="M4" s="23">
        <f>SUM(Tabela1746810121422303226816192527313336242101214161824262830384024810121416202226283032343624268101214246101224262442626282626810262862366[[#This Row],[Saldo no cartão]:[Recarga Pendente]])</f>
        <v>0</v>
      </c>
      <c r="N4" s="19">
        <f>Tabela1746810121422303226816192527313336242101214161824262830384024810121416202226283032343624268101214246101224262442626282626810262862366[[#This Row],[Uso diário]]*2</f>
        <v>37.6</v>
      </c>
      <c r="O4" s="19">
        <f>Tabela1746810121422303226816192527313336242101214161824262830384024810121416202226283032343624268101214246101224262442626282626810262862366[[#This Row],[Total Acumulado]]-P4</f>
        <v>-94</v>
      </c>
      <c r="P4" s="48">
        <f>Tabela1746810121422303226816192527313336242101214161824262830384024810121416202226283032343624268101214246101224262442626282626810262862366[[#This Row],[Uso diário]]*5</f>
        <v>94</v>
      </c>
      <c r="Q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319.60000000000002</v>
      </c>
      <c r="S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" s="25">
        <v>1</v>
      </c>
    </row>
    <row r="5" spans="1:58" s="26" customFormat="1" x14ac:dyDescent="0.25">
      <c r="A5" s="16">
        <v>226767</v>
      </c>
      <c r="B5" s="30" t="s">
        <v>31</v>
      </c>
      <c r="C5" s="20" t="s">
        <v>618</v>
      </c>
      <c r="D5" s="20" t="s">
        <v>666</v>
      </c>
      <c r="E5" s="56" t="s">
        <v>1549</v>
      </c>
      <c r="F5" s="56" t="s">
        <v>1550</v>
      </c>
      <c r="G5" s="21">
        <v>18.8</v>
      </c>
      <c r="H5" s="16">
        <v>22</v>
      </c>
      <c r="I5" s="16"/>
      <c r="J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5" s="22"/>
      <c r="L5" s="23"/>
      <c r="M5" s="23">
        <f>SUM(Tabela1746810121422303226816192527313336242101214161824262830384024810121416202226283032343624268101214246101224262442626282626810262862366[[#This Row],[Saldo no cartão]:[Recarga Pendente]])</f>
        <v>0</v>
      </c>
      <c r="N5" s="19">
        <f>Tabela1746810121422303226816192527313336242101214161824262830384024810121416202226283032343624268101214246101224262442626282626810262862366[[#This Row],[Uso diário]]*2</f>
        <v>37.6</v>
      </c>
      <c r="O5" s="19">
        <f>Tabela1746810121422303226816192527313336242101214161824262830384024810121416202226283032343624268101214246101224262442626282626810262862366[[#This Row],[Total Acumulado]]-P5</f>
        <v>-94</v>
      </c>
      <c r="P5" s="48">
        <f>Tabela1746810121422303226816192527313336242101214161824262830384024810121416202226283032343624268101214246101224262442626282626810262862366[[#This Row],[Uso diário]]*5</f>
        <v>94</v>
      </c>
      <c r="Q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" s="25">
        <v>1</v>
      </c>
    </row>
    <row r="6" spans="1:58" s="26" customFormat="1" x14ac:dyDescent="0.25">
      <c r="A6" s="16">
        <v>234666</v>
      </c>
      <c r="B6" s="30" t="s">
        <v>1339</v>
      </c>
      <c r="C6" s="20" t="s">
        <v>618</v>
      </c>
      <c r="D6" s="20" t="s">
        <v>666</v>
      </c>
      <c r="E6" s="56" t="s">
        <v>1551</v>
      </c>
      <c r="F6" s="20" t="s">
        <v>4182</v>
      </c>
      <c r="G6" s="21">
        <v>18.8</v>
      </c>
      <c r="H6" s="16">
        <v>22</v>
      </c>
      <c r="I6" s="16"/>
      <c r="J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6" s="22"/>
      <c r="L6" s="23"/>
      <c r="M6" s="23">
        <f>SUM(Tabela1746810121422303226816192527313336242101214161824262830384024810121416202226283032343624268101214246101224262442626282626810262862366[[#This Row],[Saldo no cartão]:[Recarga Pendente]])</f>
        <v>0</v>
      </c>
      <c r="N6" s="19">
        <f>Tabela1746810121422303226816192527313336242101214161824262830384024810121416202226283032343624268101214246101224262442626282626810262862366[[#This Row],[Uso diário]]*2</f>
        <v>37.6</v>
      </c>
      <c r="O6" s="19">
        <f>Tabela1746810121422303226816192527313336242101214161824262830384024810121416202226283032343624268101214246101224262442626282626810262862366[[#This Row],[Total Acumulado]]-P6</f>
        <v>-94</v>
      </c>
      <c r="P6" s="48">
        <f>Tabela1746810121422303226816192527313336242101214161824262830384024810121416202226283032343624268101214246101224262442626282626810262862366[[#This Row],[Uso diário]]*5</f>
        <v>94</v>
      </c>
      <c r="Q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" s="25">
        <v>1</v>
      </c>
    </row>
    <row r="7" spans="1:58" s="26" customFormat="1" x14ac:dyDescent="0.25">
      <c r="A7" s="16">
        <v>219159</v>
      </c>
      <c r="B7" s="30" t="s">
        <v>1130</v>
      </c>
      <c r="C7" s="20" t="s">
        <v>619</v>
      </c>
      <c r="D7" s="20" t="s">
        <v>667</v>
      </c>
      <c r="E7" s="56" t="s">
        <v>1552</v>
      </c>
      <c r="F7" s="17" t="s">
        <v>1553</v>
      </c>
      <c r="G7" s="21">
        <v>18.8</v>
      </c>
      <c r="H7" s="16">
        <v>15</v>
      </c>
      <c r="I7" s="16"/>
      <c r="J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282</v>
      </c>
      <c r="K7" s="22"/>
      <c r="L7" s="23"/>
      <c r="M7" s="23">
        <f>SUM(Tabela1746810121422303226816192527313336242101214161824262830384024810121416202226283032343624268101214246101224262442626282626810262862366[[#This Row],[Saldo no cartão]:[Recarga Pendente]])</f>
        <v>0</v>
      </c>
      <c r="N7" s="19">
        <f>Tabela1746810121422303226816192527313336242101214161824262830384024810121416202226283032343624268101214246101224262442626282626810262862366[[#This Row],[Uso diário]]*2</f>
        <v>37.6</v>
      </c>
      <c r="O7" s="19">
        <f>Tabela1746810121422303226816192527313336242101214161824262830384024810121416202226283032343624268101214246101224262442626282626810262862366[[#This Row],[Total Acumulado]]-P7</f>
        <v>-94</v>
      </c>
      <c r="P7" s="48">
        <f>Tabela1746810121422303226816192527313336242101214161824262830384024810121416202226283032343624268101214246101224262442626282626810262862366[[#This Row],[Uso diário]]*5</f>
        <v>94</v>
      </c>
      <c r="Q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282</v>
      </c>
      <c r="S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" s="25">
        <v>1</v>
      </c>
    </row>
    <row r="8" spans="1:58" s="26" customFormat="1" x14ac:dyDescent="0.25">
      <c r="A8" s="16">
        <v>222999</v>
      </c>
      <c r="B8" s="30" t="s">
        <v>32</v>
      </c>
      <c r="C8" s="20" t="s">
        <v>619</v>
      </c>
      <c r="D8" s="20" t="s">
        <v>667</v>
      </c>
      <c r="E8" s="56" t="s">
        <v>1554</v>
      </c>
      <c r="F8" s="17" t="s">
        <v>1555</v>
      </c>
      <c r="G8" s="21">
        <v>13.4</v>
      </c>
      <c r="H8" s="16">
        <v>15</v>
      </c>
      <c r="I8" s="16"/>
      <c r="J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201</v>
      </c>
      <c r="K8" s="22"/>
      <c r="L8" s="23"/>
      <c r="M8" s="23">
        <f>SUM(Tabela1746810121422303226816192527313336242101214161824262830384024810121416202226283032343624268101214246101224262442626282626810262862366[[#This Row],[Saldo no cartão]:[Recarga Pendente]])</f>
        <v>0</v>
      </c>
      <c r="N8" s="19">
        <f>Tabela1746810121422303226816192527313336242101214161824262830384024810121416202226283032343624268101214246101224262442626282626810262862366[[#This Row],[Uso diário]]*2</f>
        <v>26.8</v>
      </c>
      <c r="O8" s="19">
        <f>Tabela1746810121422303226816192527313336242101214161824262830384024810121416202226283032343624268101214246101224262442626282626810262862366[[#This Row],[Total Acumulado]]-P8</f>
        <v>-67</v>
      </c>
      <c r="P8" s="48">
        <f>Tabela1746810121422303226816192527313336242101214161824262830384024810121416202226283032343624268101214246101224262442626282626810262862366[[#This Row],[Uso diário]]*5</f>
        <v>67</v>
      </c>
      <c r="Q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201</v>
      </c>
      <c r="S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" s="25">
        <v>1</v>
      </c>
    </row>
    <row r="9" spans="1:58" s="26" customFormat="1" x14ac:dyDescent="0.25">
      <c r="A9" s="16">
        <v>209079</v>
      </c>
      <c r="B9" s="30" t="s">
        <v>362</v>
      </c>
      <c r="C9" s="20" t="s">
        <v>620</v>
      </c>
      <c r="D9" s="20" t="s">
        <v>668</v>
      </c>
      <c r="E9" s="56" t="s">
        <v>1556</v>
      </c>
      <c r="F9" s="17" t="s">
        <v>1557</v>
      </c>
      <c r="G9" s="21">
        <v>13.4</v>
      </c>
      <c r="H9" s="16">
        <v>26</v>
      </c>
      <c r="I9" s="16"/>
      <c r="J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9" s="22"/>
      <c r="L9" s="23"/>
      <c r="M9" s="23">
        <f>SUM(Tabela1746810121422303226816192527313336242101214161824262830384024810121416202226283032343624268101214246101224262442626282626810262862366[[#This Row],[Saldo no cartão]:[Recarga Pendente]])</f>
        <v>0</v>
      </c>
      <c r="N9" s="19">
        <f>Tabela1746810121422303226816192527313336242101214161824262830384024810121416202226283032343624268101214246101224262442626282626810262862366[[#This Row],[Uso diário]]*2</f>
        <v>26.8</v>
      </c>
      <c r="O9" s="19">
        <f>Tabela1746810121422303226816192527313336242101214161824262830384024810121416202226283032343624268101214246101224262442626282626810262862366[[#This Row],[Total Acumulado]]-P9</f>
        <v>-67</v>
      </c>
      <c r="P9" s="48">
        <f>Tabela1746810121422303226816192527313336242101214161824262830384024810121416202226283032343624268101214246101224262442626282626810262862366[[#This Row],[Uso diário]]*5</f>
        <v>67</v>
      </c>
      <c r="Q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" s="25">
        <v>1</v>
      </c>
    </row>
    <row r="10" spans="1:58" s="26" customFormat="1" x14ac:dyDescent="0.25">
      <c r="A10" s="16">
        <v>210066</v>
      </c>
      <c r="B10" s="30" t="s">
        <v>34</v>
      </c>
      <c r="C10" s="20" t="s">
        <v>620</v>
      </c>
      <c r="D10" s="20" t="s">
        <v>668</v>
      </c>
      <c r="E10" s="56" t="s">
        <v>1558</v>
      </c>
      <c r="F10" s="17" t="s">
        <v>1559</v>
      </c>
      <c r="G10" s="21">
        <v>13.4</v>
      </c>
      <c r="H10" s="16">
        <v>26</v>
      </c>
      <c r="I10" s="16"/>
      <c r="J1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0" s="22"/>
      <c r="L10" s="23"/>
      <c r="M10" s="23">
        <f>SUM(Tabela1746810121422303226816192527313336242101214161824262830384024810121416202226283032343624268101214246101224262442626282626810262862366[[#This Row],[Saldo no cartão]:[Recarga Pendente]])</f>
        <v>0</v>
      </c>
      <c r="N10" s="19">
        <f>Tabela1746810121422303226816192527313336242101214161824262830384024810121416202226283032343624268101214246101224262442626282626810262862366[[#This Row],[Uso diário]]*2</f>
        <v>26.8</v>
      </c>
      <c r="O10" s="19">
        <f>Tabela1746810121422303226816192527313336242101214161824262830384024810121416202226283032343624268101214246101224262442626282626810262862366[[#This Row],[Total Acumulado]]-P10</f>
        <v>-67</v>
      </c>
      <c r="P10" s="48">
        <f>Tabela1746810121422303226816192527313336242101214161824262830384024810121416202226283032343624268101214246101224262442626282626810262862366[[#This Row],[Uso diário]]*5</f>
        <v>67</v>
      </c>
      <c r="Q1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1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" s="25">
        <v>1</v>
      </c>
    </row>
    <row r="11" spans="1:58" s="26" customFormat="1" x14ac:dyDescent="0.25">
      <c r="A11" s="16">
        <v>204017</v>
      </c>
      <c r="B11" s="30" t="s">
        <v>35</v>
      </c>
      <c r="C11" s="20" t="s">
        <v>621</v>
      </c>
      <c r="D11" s="20" t="s">
        <v>669</v>
      </c>
      <c r="E11" s="56" t="s">
        <v>1560</v>
      </c>
      <c r="F11" s="17" t="s">
        <v>1561</v>
      </c>
      <c r="G11" s="21">
        <v>13.4</v>
      </c>
      <c r="H11" s="16">
        <v>26</v>
      </c>
      <c r="I11" s="16"/>
      <c r="J1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1" s="22"/>
      <c r="L11" s="23"/>
      <c r="M11" s="23">
        <f>SUM(Tabela1746810121422303226816192527313336242101214161824262830384024810121416202226283032343624268101214246101224262442626282626810262862366[[#This Row],[Saldo no cartão]:[Recarga Pendente]])</f>
        <v>0</v>
      </c>
      <c r="N11" s="19">
        <f>Tabela1746810121422303226816192527313336242101214161824262830384024810121416202226283032343624268101214246101224262442626282626810262862366[[#This Row],[Uso diário]]*2</f>
        <v>26.8</v>
      </c>
      <c r="O11" s="19">
        <f>Tabela1746810121422303226816192527313336242101214161824262830384024810121416202226283032343624268101214246101224262442626282626810262862366[[#This Row],[Total Acumulado]]-P11</f>
        <v>-67</v>
      </c>
      <c r="P11" s="48">
        <f>Tabela1746810121422303226816192527313336242101214161824262830384024810121416202226283032343624268101214246101224262442626282626810262862366[[#This Row],[Uso diário]]*5</f>
        <v>67</v>
      </c>
      <c r="Q1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1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" s="25">
        <v>1</v>
      </c>
    </row>
    <row r="12" spans="1:58" s="26" customFormat="1" x14ac:dyDescent="0.25">
      <c r="A12" s="16">
        <v>208586</v>
      </c>
      <c r="B12" s="30" t="s">
        <v>36</v>
      </c>
      <c r="C12" s="20" t="s">
        <v>621</v>
      </c>
      <c r="D12" s="20" t="s">
        <v>669</v>
      </c>
      <c r="E12" s="56" t="s">
        <v>1562</v>
      </c>
      <c r="F12" s="17" t="s">
        <v>1563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SUM(Tabela1746810121422303226816192527313336242101214161824262830384024810121416202226283032343624268101214246101224262442626282626810262862366[[#This Row],[Saldo no cartão]:[Recarga Pendente]])</f>
        <v>0</v>
      </c>
      <c r="N12" s="19">
        <f>Tabela1746810121422303226816192527313336242101214161824262830384024810121416202226283032343624268101214246101224262442626282626810262862366[[#This Row],[Uso diário]]*2</f>
        <v>26.8</v>
      </c>
      <c r="O12" s="19">
        <f>Tabela1746810121422303226816192527313336242101214161824262830384024810121416202226283032343624268101214246101224262442626282626810262862366[[#This Row],[Total Acumulado]]-P12</f>
        <v>-67</v>
      </c>
      <c r="P12" s="48">
        <f>Tabela1746810121422303226816192527313336242101214161824262830384024810121416202226283032343624268101214246101224262442626282626810262862366[[#This Row],[Uso diário]]*5</f>
        <v>67</v>
      </c>
      <c r="Q1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1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" s="25">
        <v>1</v>
      </c>
    </row>
    <row r="13" spans="1:58" s="26" customFormat="1" x14ac:dyDescent="0.25">
      <c r="A13" s="16">
        <v>215074</v>
      </c>
      <c r="B13" s="30" t="s">
        <v>37</v>
      </c>
      <c r="C13" s="20" t="s">
        <v>621</v>
      </c>
      <c r="D13" s="20" t="s">
        <v>670</v>
      </c>
      <c r="E13" s="56" t="s">
        <v>1564</v>
      </c>
      <c r="F13" s="17" t="s">
        <v>1565</v>
      </c>
      <c r="G13" s="21">
        <v>13.4</v>
      </c>
      <c r="H13" s="16">
        <v>22</v>
      </c>
      <c r="I13" s="16"/>
      <c r="J1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13" s="22"/>
      <c r="L13" s="23"/>
      <c r="M13" s="23">
        <f>SUM(Tabela1746810121422303226816192527313336242101214161824262830384024810121416202226283032343624268101214246101224262442626282626810262862366[[#This Row],[Saldo no cartão]:[Recarga Pendente]])</f>
        <v>0</v>
      </c>
      <c r="N13" s="19">
        <f>Tabela1746810121422303226816192527313336242101214161824262830384024810121416202226283032343624268101214246101224262442626282626810262862366[[#This Row],[Uso diário]]*2</f>
        <v>26.8</v>
      </c>
      <c r="O13" s="19">
        <f>Tabela1746810121422303226816192527313336242101214161824262830384024810121416202226283032343624268101214246101224262442626282626810262862366[[#This Row],[Total Acumulado]]-P13</f>
        <v>-67</v>
      </c>
      <c r="P13" s="48">
        <f>Tabela1746810121422303226816192527313336242101214161824262830384024810121416202226283032343624268101214246101224262442626282626810262862366[[#This Row],[Uso diário]]*5</f>
        <v>67</v>
      </c>
      <c r="Q1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1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" s="25">
        <v>1</v>
      </c>
    </row>
    <row r="14" spans="1:58" s="26" customFormat="1" x14ac:dyDescent="0.25">
      <c r="A14" s="16">
        <v>217049</v>
      </c>
      <c r="B14" s="30" t="s">
        <v>1131</v>
      </c>
      <c r="C14" s="20" t="s">
        <v>621</v>
      </c>
      <c r="D14" s="20" t="s">
        <v>669</v>
      </c>
      <c r="E14" s="56" t="s">
        <v>1566</v>
      </c>
      <c r="F14" s="17" t="s">
        <v>1567</v>
      </c>
      <c r="G14" s="21">
        <v>13.4</v>
      </c>
      <c r="H14" s="16">
        <v>26</v>
      </c>
      <c r="I14" s="16"/>
      <c r="J1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4" s="22"/>
      <c r="L14" s="23">
        <v>217.85</v>
      </c>
      <c r="M14" s="23">
        <f>SUM(Tabela1746810121422303226816192527313336242101214161824262830384024810121416202226283032343624268101214246101224262442626282626810262862366[[#This Row],[Saldo no cartão]:[Recarga Pendente]])</f>
        <v>217.85</v>
      </c>
      <c r="N14" s="19">
        <f>Tabela1746810121422303226816192527313336242101214161824262830384024810121416202226283032343624268101214246101224262442626282626810262862366[[#This Row],[Uso diário]]*2</f>
        <v>26.8</v>
      </c>
      <c r="O14" s="19">
        <f>Tabela1746810121422303226816192527313336242101214161824262830384024810121416202226283032343624268101214246101224262442626282626810262862366[[#This Row],[Total Acumulado]]-P14</f>
        <v>150.85</v>
      </c>
      <c r="P14" s="48">
        <f>Tabela1746810121422303226816192527313336242101214161824262830384024810121416202226283032343624268101214246101224262442626282626810262862366[[#This Row],[Uso diário]]*5</f>
        <v>67</v>
      </c>
      <c r="Q1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150.85</v>
      </c>
      <c r="R1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197.55000000000004</v>
      </c>
      <c r="S14" s="18" t="s">
        <v>11</v>
      </c>
      <c r="T14" s="25">
        <v>1</v>
      </c>
    </row>
    <row r="15" spans="1:58" s="26" customFormat="1" x14ac:dyDescent="0.25">
      <c r="A15" s="16">
        <v>218058</v>
      </c>
      <c r="B15" s="30" t="s">
        <v>1021</v>
      </c>
      <c r="C15" s="20" t="s">
        <v>621</v>
      </c>
      <c r="D15" s="20" t="s">
        <v>669</v>
      </c>
      <c r="E15" s="56" t="s">
        <v>1568</v>
      </c>
      <c r="F15" s="17" t="s">
        <v>1569</v>
      </c>
      <c r="G15" s="21">
        <v>13.4</v>
      </c>
      <c r="H15" s="16">
        <v>26</v>
      </c>
      <c r="I15" s="16"/>
      <c r="J1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5" s="22"/>
      <c r="L15" s="23"/>
      <c r="M15" s="23">
        <f>SUM(Tabela1746810121422303226816192527313336242101214161824262830384024810121416202226283032343624268101214246101224262442626282626810262862366[[#This Row],[Saldo no cartão]:[Recarga Pendente]])</f>
        <v>0</v>
      </c>
      <c r="N15" s="19">
        <f>Tabela1746810121422303226816192527313336242101214161824262830384024810121416202226283032343624268101214246101224262442626282626810262862366[[#This Row],[Uso diário]]*2</f>
        <v>26.8</v>
      </c>
      <c r="O15" s="19">
        <f>Tabela1746810121422303226816192527313336242101214161824262830384024810121416202226283032343624268101214246101224262442626282626810262862366[[#This Row],[Total Acumulado]]-P15</f>
        <v>-67</v>
      </c>
      <c r="P15" s="48">
        <f>Tabela1746810121422303226816192527313336242101214161824262830384024810121416202226283032343624268101214246101224262442626282626810262862366[[#This Row],[Uso diário]]*5</f>
        <v>67</v>
      </c>
      <c r="Q1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1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" s="25">
        <v>1</v>
      </c>
    </row>
    <row r="16" spans="1:58" s="26" customFormat="1" x14ac:dyDescent="0.25">
      <c r="A16" s="16">
        <v>100154</v>
      </c>
      <c r="B16" s="30" t="s">
        <v>38</v>
      </c>
      <c r="C16" s="20" t="s">
        <v>622</v>
      </c>
      <c r="D16" s="20" t="s">
        <v>671</v>
      </c>
      <c r="E16" s="56" t="s">
        <v>1570</v>
      </c>
      <c r="F16" s="17" t="s">
        <v>1571</v>
      </c>
      <c r="G16" s="21">
        <v>18.8</v>
      </c>
      <c r="H16" s="16">
        <v>26</v>
      </c>
      <c r="I16" s="16"/>
      <c r="J1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16" s="22"/>
      <c r="L16" s="23">
        <v>18.8</v>
      </c>
      <c r="M16" s="23">
        <f>SUM(Tabela1746810121422303226816192527313336242101214161824262830384024810121416202226283032343624268101214246101224262442626282626810262862366[[#This Row],[Saldo no cartão]:[Recarga Pendente]])</f>
        <v>18.8</v>
      </c>
      <c r="N16" s="19">
        <f>Tabela1746810121422303226816192527313336242101214161824262830384024810121416202226283032343624268101214246101224262442626282626810262862366[[#This Row],[Uso diário]]*2</f>
        <v>37.6</v>
      </c>
      <c r="O16" s="19">
        <f>Tabela1746810121422303226816192527313336242101214161824262830384024810121416202226283032343624268101214246101224262442626282626810262862366[[#This Row],[Total Acumulado]]-P16</f>
        <v>-75.2</v>
      </c>
      <c r="P16" s="48">
        <f>Tabela1746810121422303226816192527313336242101214161824262830384024810121416202226283032343624268101214246101224262442626282626810262862366[[#This Row],[Uso diário]]*5</f>
        <v>94</v>
      </c>
      <c r="Q1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1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" s="25">
        <v>1</v>
      </c>
    </row>
    <row r="17" spans="1:20" s="26" customFormat="1" x14ac:dyDescent="0.25">
      <c r="A17" s="16">
        <v>100182</v>
      </c>
      <c r="B17" s="30" t="s">
        <v>39</v>
      </c>
      <c r="C17" s="20" t="s">
        <v>622</v>
      </c>
      <c r="D17" s="20" t="s">
        <v>671</v>
      </c>
      <c r="E17" s="56" t="s">
        <v>1572</v>
      </c>
      <c r="F17" s="17" t="s">
        <v>1573</v>
      </c>
      <c r="G17" s="21">
        <v>13.4</v>
      </c>
      <c r="H17" s="16">
        <v>26</v>
      </c>
      <c r="I17" s="16"/>
      <c r="J1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7" s="22"/>
      <c r="L17" s="23"/>
      <c r="M17" s="23">
        <f>SUM(Tabela1746810121422303226816192527313336242101214161824262830384024810121416202226283032343624268101214246101224262442626282626810262862366[[#This Row],[Saldo no cartão]:[Recarga Pendente]])</f>
        <v>0</v>
      </c>
      <c r="N17" s="19">
        <f>Tabela1746810121422303226816192527313336242101214161824262830384024810121416202226283032343624268101214246101224262442626282626810262862366[[#This Row],[Uso diário]]*2</f>
        <v>26.8</v>
      </c>
      <c r="O17" s="19">
        <f>Tabela1746810121422303226816192527313336242101214161824262830384024810121416202226283032343624268101214246101224262442626282626810262862366[[#This Row],[Total Acumulado]]-P17</f>
        <v>-67</v>
      </c>
      <c r="P17" s="48">
        <f>Tabela1746810121422303226816192527313336242101214161824262830384024810121416202226283032343624268101214246101224262442626282626810262862366[[#This Row],[Uso diário]]*5</f>
        <v>67</v>
      </c>
      <c r="Q1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1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" s="25">
        <v>1</v>
      </c>
    </row>
    <row r="18" spans="1:20" s="26" customFormat="1" x14ac:dyDescent="0.25">
      <c r="A18" s="16">
        <v>207946</v>
      </c>
      <c r="B18" s="30" t="s">
        <v>288</v>
      </c>
      <c r="C18" s="20" t="s">
        <v>622</v>
      </c>
      <c r="D18" s="20" t="s">
        <v>671</v>
      </c>
      <c r="E18" s="56" t="s">
        <v>1574</v>
      </c>
      <c r="F18" s="17" t="s">
        <v>1575</v>
      </c>
      <c r="G18" s="21">
        <v>13.4</v>
      </c>
      <c r="H18" s="16">
        <v>26</v>
      </c>
      <c r="I18" s="16"/>
      <c r="J1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8" s="22"/>
      <c r="L18" s="23"/>
      <c r="M18" s="23">
        <f>SUM(Tabela1746810121422303226816192527313336242101214161824262830384024810121416202226283032343624268101214246101224262442626282626810262862366[[#This Row],[Saldo no cartão]:[Recarga Pendente]])</f>
        <v>0</v>
      </c>
      <c r="N18" s="19">
        <f>Tabela1746810121422303226816192527313336242101214161824262830384024810121416202226283032343624268101214246101224262442626282626810262862366[[#This Row],[Uso diário]]*2</f>
        <v>26.8</v>
      </c>
      <c r="O18" s="19">
        <f>Tabela1746810121422303226816192527313336242101214161824262830384024810121416202226283032343624268101214246101224262442626282626810262862366[[#This Row],[Total Acumulado]]-P18</f>
        <v>-67</v>
      </c>
      <c r="P18" s="48">
        <f>Tabela1746810121422303226816192527313336242101214161824262830384024810121416202226283032343624268101214246101224262442626282626810262862366[[#This Row],[Uso diário]]*5</f>
        <v>67</v>
      </c>
      <c r="Q1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1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" s="25">
        <v>1</v>
      </c>
    </row>
    <row r="19" spans="1:20" s="26" customFormat="1" ht="22.5" x14ac:dyDescent="0.25">
      <c r="A19" s="16">
        <v>5260</v>
      </c>
      <c r="B19" s="30" t="s">
        <v>40</v>
      </c>
      <c r="C19" s="20" t="s">
        <v>623</v>
      </c>
      <c r="D19" s="20" t="s">
        <v>672</v>
      </c>
      <c r="E19" s="56" t="s">
        <v>1576</v>
      </c>
      <c r="F19" s="17" t="s">
        <v>1577</v>
      </c>
      <c r="G19" s="21">
        <v>13.4</v>
      </c>
      <c r="H19" s="16">
        <v>26</v>
      </c>
      <c r="I19" s="16"/>
      <c r="J1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19" s="22"/>
      <c r="L19" s="23">
        <v>600</v>
      </c>
      <c r="M19" s="23">
        <f>SUM(Tabela1746810121422303226816192527313336242101214161824262830384024810121416202226283032343624268101214246101224262442626282626810262862366[[#This Row],[Saldo no cartão]:[Recarga Pendente]])</f>
        <v>600</v>
      </c>
      <c r="N19" s="19">
        <f>Tabela1746810121422303226816192527313336242101214161824262830384024810121416202226283032343624268101214246101224262442626282626810262862366[[#This Row],[Uso diário]]*2</f>
        <v>26.8</v>
      </c>
      <c r="O19" s="19">
        <f>Tabela1746810121422303226816192527313336242101214161824262830384024810121416202226283032343624268101214246101224262442626282626810262862366[[#This Row],[Total Acumulado]]-P19</f>
        <v>533</v>
      </c>
      <c r="P19" s="48">
        <f>Tabela1746810121422303226816192527313336242101214161824262830384024810121416202226283032343624268101214246101224262442626282626810262862366[[#This Row],[Uso diário]]*5</f>
        <v>67</v>
      </c>
      <c r="Q1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533</v>
      </c>
      <c r="R1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0</v>
      </c>
      <c r="S19" s="18" t="str">
        <f>IF(Tabela1746810121422303226816192527313336242101214161824262830384024810121416202226283032343624268101214246101224262442626282626810262862366[[#This Row],[Pedido Final]]=0,"NÃO EFETUAR RECARGA","RECARGA NORMAL")</f>
        <v>NÃO EFETUAR RECARGA</v>
      </c>
      <c r="T19" s="25">
        <v>1</v>
      </c>
    </row>
    <row r="20" spans="1:20" s="26" customFormat="1" x14ac:dyDescent="0.25">
      <c r="A20" s="16">
        <v>210151</v>
      </c>
      <c r="B20" s="30" t="s">
        <v>1391</v>
      </c>
      <c r="C20" s="20" t="s">
        <v>623</v>
      </c>
      <c r="D20" s="20" t="s">
        <v>672</v>
      </c>
      <c r="E20" s="20" t="s">
        <v>1578</v>
      </c>
      <c r="F20" s="20" t="s">
        <v>1579</v>
      </c>
      <c r="G20" s="21">
        <v>13.4</v>
      </c>
      <c r="H20" s="16">
        <v>26</v>
      </c>
      <c r="I20" s="16"/>
      <c r="J2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348.40000000000003</v>
      </c>
      <c r="K20" s="22"/>
      <c r="L20" s="23"/>
      <c r="M20" s="23">
        <f>SUM(Tabela1746810121422303226816192527313336242101214161824262830384024810121416202226283032343624268101214246101224262442626282626810262862366[[#This Row],[Saldo no cartão]:[Recarga Pendente]])</f>
        <v>0</v>
      </c>
      <c r="N20" s="19">
        <f>Tabela1746810121422303226816192527313336242101214161824262830384024810121416202226283032343624268101214246101224262442626282626810262862366[[#This Row],[Uso diário]]*2</f>
        <v>26.8</v>
      </c>
      <c r="O20" s="19">
        <f>Tabela1746810121422303226816192527313336242101214161824262830384024810121416202226283032343624268101214246101224262442626282626810262862366[[#This Row],[Total Acumulado]]-P20</f>
        <v>-67</v>
      </c>
      <c r="P20" s="48">
        <f>Tabela1746810121422303226816192527313336242101214161824262830384024810121416202226283032343624268101214246101224262442626282626810262862366[[#This Row],[Uso diário]]*5</f>
        <v>67</v>
      </c>
      <c r="Q2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348.40000000000003</v>
      </c>
      <c r="S2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" s="25">
        <v>1</v>
      </c>
    </row>
    <row r="21" spans="1:20" s="26" customFormat="1" x14ac:dyDescent="0.25">
      <c r="A21" s="16">
        <v>209118</v>
      </c>
      <c r="B21" s="30" t="s">
        <v>41</v>
      </c>
      <c r="C21" s="20" t="s">
        <v>624</v>
      </c>
      <c r="D21" s="20" t="s">
        <v>673</v>
      </c>
      <c r="E21" s="20" t="s">
        <v>1580</v>
      </c>
      <c r="F21" s="20" t="s">
        <v>1581</v>
      </c>
      <c r="G21" s="21">
        <v>13.4</v>
      </c>
      <c r="H21" s="16">
        <v>26</v>
      </c>
      <c r="I21" s="16">
        <v>1</v>
      </c>
      <c r="J2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335</v>
      </c>
      <c r="K21" s="22"/>
      <c r="L21" s="23"/>
      <c r="M21" s="23">
        <f>SUM(Tabela1746810121422303226816192527313336242101214161824262830384024810121416202226283032343624268101214246101224262442626282626810262862366[[#This Row],[Saldo no cartão]:[Recarga Pendente]])</f>
        <v>0</v>
      </c>
      <c r="N21" s="19">
        <f>Tabela1746810121422303226816192527313336242101214161824262830384024810121416202226283032343624268101214246101224262442626282626810262862366[[#This Row],[Uso diário]]*2</f>
        <v>26.8</v>
      </c>
      <c r="O21" s="19">
        <f>Tabela1746810121422303226816192527313336242101214161824262830384024810121416202226283032343624268101214246101224262442626282626810262862366[[#This Row],[Total Acumulado]]-P21</f>
        <v>-67</v>
      </c>
      <c r="P21" s="48">
        <f>Tabela1746810121422303226816192527313336242101214161824262830384024810121416202226283032343624268101214246101224262442626282626810262862366[[#This Row],[Uso diário]]*5</f>
        <v>67</v>
      </c>
      <c r="Q2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335</v>
      </c>
      <c r="S2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" s="25">
        <v>1</v>
      </c>
    </row>
    <row r="22" spans="1:20" s="26" customFormat="1" ht="22.5" x14ac:dyDescent="0.25">
      <c r="A22" s="16">
        <v>208951</v>
      </c>
      <c r="B22" s="30" t="s">
        <v>42</v>
      </c>
      <c r="C22" s="20" t="s">
        <v>625</v>
      </c>
      <c r="D22" s="20" t="s">
        <v>674</v>
      </c>
      <c r="E22" s="20" t="s">
        <v>4187</v>
      </c>
      <c r="F22" s="20" t="s">
        <v>4183</v>
      </c>
      <c r="G22" s="21">
        <v>18.8</v>
      </c>
      <c r="H22" s="16">
        <v>0</v>
      </c>
      <c r="I22" s="16"/>
      <c r="J2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0</v>
      </c>
      <c r="K22" s="22"/>
      <c r="L22" s="23"/>
      <c r="M22" s="23">
        <f>SUM(Tabela1746810121422303226816192527313336242101214161824262830384024810121416202226283032343624268101214246101224262442626282626810262862366[[#This Row],[Saldo no cartão]:[Recarga Pendente]])</f>
        <v>0</v>
      </c>
      <c r="N22" s="19">
        <f>Tabela1746810121422303226816192527313336242101214161824262830384024810121416202226283032343624268101214246101224262442626282626810262862366[[#This Row],[Uso diário]]*2</f>
        <v>37.6</v>
      </c>
      <c r="O22" s="19">
        <f>Tabela1746810121422303226816192527313336242101214161824262830384024810121416202226283032343624268101214246101224262442626282626810262862366[[#This Row],[Total Acumulado]]-P22</f>
        <v>-94</v>
      </c>
      <c r="P22" s="48">
        <f>Tabela1746810121422303226816192527313336242101214161824262830384024810121416202226283032343624268101214246101224262442626282626810262862366[[#This Row],[Uso diário]]*5</f>
        <v>94</v>
      </c>
      <c r="Q2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0</v>
      </c>
      <c r="S22" s="18" t="str">
        <f>IF(Tabela1746810121422303226816192527313336242101214161824262830384024810121416202226283032343624268101214246101224262442626282626810262862366[[#This Row],[Pedido Final]]=0,"NÃO EFETUAR RECARGA","RECARGA NORMAL")</f>
        <v>NÃO EFETUAR RECARGA</v>
      </c>
      <c r="T22" s="25">
        <v>1</v>
      </c>
    </row>
    <row r="23" spans="1:20" s="26" customFormat="1" x14ac:dyDescent="0.25">
      <c r="A23" s="16">
        <v>209761</v>
      </c>
      <c r="B23" s="30" t="s">
        <v>1022</v>
      </c>
      <c r="C23" s="20" t="s">
        <v>625</v>
      </c>
      <c r="D23" s="20" t="s">
        <v>676</v>
      </c>
      <c r="E23" s="20" t="s">
        <v>1582</v>
      </c>
      <c r="F23" s="20" t="s">
        <v>1583</v>
      </c>
      <c r="G23" s="21">
        <v>18.8</v>
      </c>
      <c r="H23" s="16">
        <v>24</v>
      </c>
      <c r="I23" s="16">
        <v>2</v>
      </c>
      <c r="J2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3" s="22"/>
      <c r="L23" s="23"/>
      <c r="M23" s="23">
        <f>SUM(Tabela1746810121422303226816192527313336242101214161824262830384024810121416202226283032343624268101214246101224262442626282626810262862366[[#This Row],[Saldo no cartão]:[Recarga Pendente]])</f>
        <v>0</v>
      </c>
      <c r="N23" s="19">
        <f>Tabela1746810121422303226816192527313336242101214161824262830384024810121416202226283032343624268101214246101224262442626282626810262862366[[#This Row],[Uso diário]]*2</f>
        <v>37.6</v>
      </c>
      <c r="O23" s="19">
        <f>Tabela1746810121422303226816192527313336242101214161824262830384024810121416202226283032343624268101214246101224262442626282626810262862366[[#This Row],[Total Acumulado]]-P23</f>
        <v>-94</v>
      </c>
      <c r="P23" s="48">
        <f>Tabela1746810121422303226816192527313336242101214161824262830384024810121416202226283032343624268101214246101224262442626282626810262862366[[#This Row],[Uso diário]]*5</f>
        <v>94</v>
      </c>
      <c r="Q2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" s="25">
        <v>1</v>
      </c>
    </row>
    <row r="24" spans="1:20" s="26" customFormat="1" x14ac:dyDescent="0.25">
      <c r="A24" s="16">
        <v>212221</v>
      </c>
      <c r="B24" s="30" t="s">
        <v>43</v>
      </c>
      <c r="C24" s="20" t="s">
        <v>625</v>
      </c>
      <c r="D24" s="20" t="s">
        <v>677</v>
      </c>
      <c r="E24" s="20" t="s">
        <v>1584</v>
      </c>
      <c r="F24" s="20" t="s">
        <v>1585</v>
      </c>
      <c r="G24" s="21">
        <v>18.8</v>
      </c>
      <c r="H24" s="16">
        <v>24</v>
      </c>
      <c r="I24" s="16">
        <v>3</v>
      </c>
      <c r="J2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24" s="22"/>
      <c r="L24" s="23"/>
      <c r="M24" s="23">
        <f>SUM(Tabela1746810121422303226816192527313336242101214161824262830384024810121416202226283032343624268101214246101224262442626282626810262862366[[#This Row],[Saldo no cartão]:[Recarga Pendente]])</f>
        <v>0</v>
      </c>
      <c r="N24" s="19">
        <f>Tabela1746810121422303226816192527313336242101214161824262830384024810121416202226283032343624268101214246101224262442626282626810262862366[[#This Row],[Uso diário]]*2</f>
        <v>37.6</v>
      </c>
      <c r="O24" s="19">
        <f>Tabela1746810121422303226816192527313336242101214161824262830384024810121416202226283032343624268101214246101224262442626282626810262862366[[#This Row],[Total Acumulado]]-P24</f>
        <v>-94</v>
      </c>
      <c r="P24" s="48">
        <f>Tabela1746810121422303226816192527313336242101214161824262830384024810121416202226283032343624268101214246101224262442626282626810262862366[[#This Row],[Uso diário]]*5</f>
        <v>94</v>
      </c>
      <c r="Q2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2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" s="25">
        <v>1</v>
      </c>
    </row>
    <row r="25" spans="1:20" s="26" customFormat="1" x14ac:dyDescent="0.25">
      <c r="A25" s="16">
        <v>215364</v>
      </c>
      <c r="B25" s="30" t="s">
        <v>44</v>
      </c>
      <c r="C25" s="20" t="s">
        <v>625</v>
      </c>
      <c r="D25" s="20" t="s">
        <v>675</v>
      </c>
      <c r="E25" s="20" t="s">
        <v>1586</v>
      </c>
      <c r="F25" s="20" t="s">
        <v>1587</v>
      </c>
      <c r="G25" s="21">
        <v>18.8</v>
      </c>
      <c r="H25" s="16">
        <v>24</v>
      </c>
      <c r="I25" s="16">
        <v>1</v>
      </c>
      <c r="J2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25" s="22"/>
      <c r="L25" s="23"/>
      <c r="M25" s="23">
        <f>SUM(Tabela1746810121422303226816192527313336242101214161824262830384024810121416202226283032343624268101214246101224262442626282626810262862366[[#This Row],[Saldo no cartão]:[Recarga Pendente]])</f>
        <v>0</v>
      </c>
      <c r="N25" s="19">
        <f>Tabela1746810121422303226816192527313336242101214161824262830384024810121416202226283032343624268101214246101224262442626282626810262862366[[#This Row],[Uso diário]]*2</f>
        <v>37.6</v>
      </c>
      <c r="O25" s="19">
        <f>Tabela1746810121422303226816192527313336242101214161824262830384024810121416202226283032343624268101214246101224262442626282626810262862366[[#This Row],[Total Acumulado]]-P25</f>
        <v>-94</v>
      </c>
      <c r="P25" s="48">
        <f>Tabela1746810121422303226816192527313336242101214161824262830384024810121416202226283032343624268101214246101224262442626282626810262862366[[#This Row],[Uso diário]]*5</f>
        <v>94</v>
      </c>
      <c r="Q2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2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" s="25">
        <v>1</v>
      </c>
    </row>
    <row r="26" spans="1:20" s="26" customFormat="1" x14ac:dyDescent="0.25">
      <c r="A26" s="16">
        <v>215805</v>
      </c>
      <c r="B26" s="30" t="s">
        <v>1132</v>
      </c>
      <c r="C26" s="20" t="s">
        <v>625</v>
      </c>
      <c r="D26" s="20" t="s">
        <v>675</v>
      </c>
      <c r="E26" s="20" t="s">
        <v>1588</v>
      </c>
      <c r="F26" s="20" t="s">
        <v>1589</v>
      </c>
      <c r="G26" s="21">
        <v>18.8</v>
      </c>
      <c r="H26" s="16">
        <v>24</v>
      </c>
      <c r="I26" s="16">
        <v>2</v>
      </c>
      <c r="J2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6" s="22"/>
      <c r="L26" s="23"/>
      <c r="M26" s="23">
        <f>SUM(Tabela1746810121422303226816192527313336242101214161824262830384024810121416202226283032343624268101214246101224262442626282626810262862366[[#This Row],[Saldo no cartão]:[Recarga Pendente]])</f>
        <v>0</v>
      </c>
      <c r="N26" s="19">
        <f>Tabela1746810121422303226816192527313336242101214161824262830384024810121416202226283032343624268101214246101224262442626282626810262862366[[#This Row],[Uso diário]]*2</f>
        <v>37.6</v>
      </c>
      <c r="O26" s="19">
        <f>Tabela1746810121422303226816192527313336242101214161824262830384024810121416202226283032343624268101214246101224262442626282626810262862366[[#This Row],[Total Acumulado]]-P26</f>
        <v>-94</v>
      </c>
      <c r="P26" s="48">
        <f>Tabela1746810121422303226816192527313336242101214161824262830384024810121416202226283032343624268101214246101224262442626282626810262862366[[#This Row],[Uso diário]]*5</f>
        <v>94</v>
      </c>
      <c r="Q2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" s="25">
        <v>1</v>
      </c>
    </row>
    <row r="27" spans="1:20" s="26" customFormat="1" x14ac:dyDescent="0.25">
      <c r="A27" s="16">
        <v>218138</v>
      </c>
      <c r="B27" s="30" t="s">
        <v>1023</v>
      </c>
      <c r="C27" s="20" t="s">
        <v>625</v>
      </c>
      <c r="D27" s="20" t="s">
        <v>677</v>
      </c>
      <c r="E27" s="20" t="s">
        <v>1590</v>
      </c>
      <c r="F27" s="20" t="s">
        <v>1591</v>
      </c>
      <c r="G27" s="21">
        <v>18.8</v>
      </c>
      <c r="H27" s="16">
        <v>24</v>
      </c>
      <c r="I27" s="16">
        <v>1</v>
      </c>
      <c r="J2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27" s="22"/>
      <c r="L27" s="23">
        <v>18.8</v>
      </c>
      <c r="M27" s="23">
        <f>SUM(Tabela1746810121422303226816192527313336242101214161824262830384024810121416202226283032343624268101214246101224262442626282626810262862366[[#This Row],[Saldo no cartão]:[Recarga Pendente]])</f>
        <v>18.8</v>
      </c>
      <c r="N27" s="19">
        <f>Tabela1746810121422303226816192527313336242101214161824262830384024810121416202226283032343624268101214246101224262442626282626810262862366[[#This Row],[Uso diário]]*2</f>
        <v>37.6</v>
      </c>
      <c r="O27" s="19">
        <f>Tabela1746810121422303226816192527313336242101214161824262830384024810121416202226283032343624268101214246101224262442626282626810262862366[[#This Row],[Total Acumulado]]-P27</f>
        <v>-75.2</v>
      </c>
      <c r="P27" s="48">
        <f>Tabela1746810121422303226816192527313336242101214161824262830384024810121416202226283032343624268101214246101224262442626282626810262862366[[#This Row],[Uso diário]]*5</f>
        <v>94</v>
      </c>
      <c r="Q2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2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" s="25">
        <v>1</v>
      </c>
    </row>
    <row r="28" spans="1:20" s="26" customFormat="1" x14ac:dyDescent="0.25">
      <c r="A28" s="16">
        <v>218175</v>
      </c>
      <c r="B28" s="30" t="s">
        <v>45</v>
      </c>
      <c r="C28" s="20" t="s">
        <v>625</v>
      </c>
      <c r="D28" s="20" t="s">
        <v>677</v>
      </c>
      <c r="E28" s="20" t="s">
        <v>1592</v>
      </c>
      <c r="F28" s="20" t="s">
        <v>1593</v>
      </c>
      <c r="G28" s="21">
        <v>18.8</v>
      </c>
      <c r="H28" s="16">
        <v>22</v>
      </c>
      <c r="I28" s="16">
        <v>1</v>
      </c>
      <c r="J2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28" s="22"/>
      <c r="L28" s="23"/>
      <c r="M28" s="23">
        <f>SUM(Tabela1746810121422303226816192527313336242101214161824262830384024810121416202226283032343624268101214246101224262442626282626810262862366[[#This Row],[Saldo no cartão]:[Recarga Pendente]])</f>
        <v>0</v>
      </c>
      <c r="N28" s="19">
        <f>Tabela1746810121422303226816192527313336242101214161824262830384024810121416202226283032343624268101214246101224262442626282626810262862366[[#This Row],[Uso diário]]*2</f>
        <v>37.6</v>
      </c>
      <c r="O28" s="19">
        <f>Tabela1746810121422303226816192527313336242101214161824262830384024810121416202226283032343624268101214246101224262442626282626810262862366[[#This Row],[Total Acumulado]]-P28</f>
        <v>-94</v>
      </c>
      <c r="P28" s="48">
        <f>Tabela1746810121422303226816192527313336242101214161824262830384024810121416202226283032343624268101214246101224262442626282626810262862366[[#This Row],[Uso diário]]*5</f>
        <v>94</v>
      </c>
      <c r="Q2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2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8" s="25">
        <v>1</v>
      </c>
    </row>
    <row r="29" spans="1:20" s="26" customFormat="1" x14ac:dyDescent="0.25">
      <c r="A29" s="16">
        <v>219135</v>
      </c>
      <c r="B29" s="30" t="s">
        <v>46</v>
      </c>
      <c r="C29" s="20" t="s">
        <v>625</v>
      </c>
      <c r="D29" s="20" t="s">
        <v>808</v>
      </c>
      <c r="E29" s="20" t="s">
        <v>1594</v>
      </c>
      <c r="F29" s="20" t="s">
        <v>1595</v>
      </c>
      <c r="G29" s="21">
        <v>18.8</v>
      </c>
      <c r="H29" s="16">
        <v>22</v>
      </c>
      <c r="I29" s="16"/>
      <c r="J2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9" s="22"/>
      <c r="L29" s="23">
        <v>18.8</v>
      </c>
      <c r="M29" s="23">
        <f>SUM(Tabela1746810121422303226816192527313336242101214161824262830384024810121416202226283032343624268101214246101224262442626282626810262862366[[#This Row],[Saldo no cartão]:[Recarga Pendente]])</f>
        <v>18.8</v>
      </c>
      <c r="N29" s="19">
        <f>Tabela1746810121422303226816192527313336242101214161824262830384024810121416202226283032343624268101214246101224262442626282626810262862366[[#This Row],[Uso diário]]*2</f>
        <v>37.6</v>
      </c>
      <c r="O29" s="19">
        <f>Tabela1746810121422303226816192527313336242101214161824262830384024810121416202226283032343624268101214246101224262442626282626810262862366[[#This Row],[Total Acumulado]]-P29</f>
        <v>-75.2</v>
      </c>
      <c r="P29" s="48">
        <f>Tabela1746810121422303226816192527313336242101214161824262830384024810121416202226283032343624268101214246101224262442626282626810262862366[[#This Row],[Uso diário]]*5</f>
        <v>94</v>
      </c>
      <c r="Q2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9" s="25">
        <v>1</v>
      </c>
    </row>
    <row r="30" spans="1:20" s="26" customFormat="1" x14ac:dyDescent="0.25">
      <c r="A30" s="16">
        <v>220932</v>
      </c>
      <c r="B30" s="30" t="s">
        <v>47</v>
      </c>
      <c r="C30" s="20" t="s">
        <v>625</v>
      </c>
      <c r="D30" s="20" t="s">
        <v>675</v>
      </c>
      <c r="E30" s="20" t="s">
        <v>1596</v>
      </c>
      <c r="F30" s="20" t="s">
        <v>1597</v>
      </c>
      <c r="G30" s="21">
        <v>18.8</v>
      </c>
      <c r="H30" s="16">
        <v>22</v>
      </c>
      <c r="I30" s="16"/>
      <c r="J3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30" s="22"/>
      <c r="L30" s="23">
        <v>18.8</v>
      </c>
      <c r="M30" s="23">
        <f>SUM(Tabela1746810121422303226816192527313336242101214161824262830384024810121416202226283032343624268101214246101224262442626282626810262862366[[#This Row],[Saldo no cartão]:[Recarga Pendente]])</f>
        <v>18.8</v>
      </c>
      <c r="N30" s="19">
        <f>Tabela1746810121422303226816192527313336242101214161824262830384024810121416202226283032343624268101214246101224262442626282626810262862366[[#This Row],[Uso diário]]*2</f>
        <v>37.6</v>
      </c>
      <c r="O30" s="19">
        <f>Tabela1746810121422303226816192527313336242101214161824262830384024810121416202226283032343624268101214246101224262442626282626810262862366[[#This Row],[Total Acumulado]]-P30</f>
        <v>-75.2</v>
      </c>
      <c r="P30" s="48">
        <f>Tabela1746810121422303226816192527313336242101214161824262830384024810121416202226283032343624268101214246101224262442626282626810262862366[[#This Row],[Uso diário]]*5</f>
        <v>94</v>
      </c>
      <c r="Q3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3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0" s="25">
        <v>1</v>
      </c>
    </row>
    <row r="31" spans="1:20" s="26" customFormat="1" x14ac:dyDescent="0.25">
      <c r="A31" s="16">
        <v>221493</v>
      </c>
      <c r="B31" s="30" t="s">
        <v>48</v>
      </c>
      <c r="C31" s="20" t="s">
        <v>625</v>
      </c>
      <c r="D31" s="20" t="s">
        <v>676</v>
      </c>
      <c r="E31" s="20" t="s">
        <v>1598</v>
      </c>
      <c r="F31" s="20" t="s">
        <v>1599</v>
      </c>
      <c r="G31" s="21">
        <v>18.8</v>
      </c>
      <c r="H31" s="16">
        <v>24</v>
      </c>
      <c r="I31" s="16"/>
      <c r="J3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31" s="22"/>
      <c r="L31" s="23"/>
      <c r="M31" s="23">
        <f>SUM(Tabela1746810121422303226816192527313336242101214161824262830384024810121416202226283032343624268101214246101224262442626282626810262862366[[#This Row],[Saldo no cartão]:[Recarga Pendente]])</f>
        <v>0</v>
      </c>
      <c r="N31" s="19">
        <f>Tabela1746810121422303226816192527313336242101214161824262830384024810121416202226283032343624268101214246101224262442626282626810262862366[[#This Row],[Uso diário]]*2</f>
        <v>37.6</v>
      </c>
      <c r="O31" s="19">
        <f>Tabela1746810121422303226816192527313336242101214161824262830384024810121416202226283032343624268101214246101224262442626282626810262862366[[#This Row],[Total Acumulado]]-P31</f>
        <v>-94</v>
      </c>
      <c r="P31" s="48">
        <f>Tabela1746810121422303226816192527313336242101214161824262830384024810121416202226283032343624268101214246101224262442626282626810262862366[[#This Row],[Uso diário]]*5</f>
        <v>94</v>
      </c>
      <c r="Q3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3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1" s="25">
        <v>1</v>
      </c>
    </row>
    <row r="32" spans="1:20" s="26" customFormat="1" x14ac:dyDescent="0.25">
      <c r="A32" s="16">
        <v>222506</v>
      </c>
      <c r="B32" s="30" t="s">
        <v>49</v>
      </c>
      <c r="C32" s="20" t="s">
        <v>625</v>
      </c>
      <c r="D32" s="20" t="s">
        <v>677</v>
      </c>
      <c r="E32" s="20" t="s">
        <v>1600</v>
      </c>
      <c r="F32" s="20" t="s">
        <v>1601</v>
      </c>
      <c r="G32" s="21">
        <v>18.8</v>
      </c>
      <c r="H32" s="16">
        <v>22</v>
      </c>
      <c r="I32" s="16"/>
      <c r="J3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32" s="22"/>
      <c r="L32" s="23"/>
      <c r="M32" s="23">
        <f>SUM(Tabela1746810121422303226816192527313336242101214161824262830384024810121416202226283032343624268101214246101224262442626282626810262862366[[#This Row],[Saldo no cartão]:[Recarga Pendente]])</f>
        <v>0</v>
      </c>
      <c r="N32" s="19">
        <f>Tabela1746810121422303226816192527313336242101214161824262830384024810121416202226283032343624268101214246101224262442626282626810262862366[[#This Row],[Uso diário]]*2</f>
        <v>37.6</v>
      </c>
      <c r="O32" s="19">
        <f>Tabela1746810121422303226816192527313336242101214161824262830384024810121416202226283032343624268101214246101224262442626282626810262862366[[#This Row],[Total Acumulado]]-P32</f>
        <v>-94</v>
      </c>
      <c r="P32" s="48">
        <f>Tabela1746810121422303226816192527313336242101214161824262830384024810121416202226283032343624268101214246101224262442626282626810262862366[[#This Row],[Uso diário]]*5</f>
        <v>94</v>
      </c>
      <c r="Q3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3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2" s="25">
        <v>1</v>
      </c>
    </row>
    <row r="33" spans="1:20" s="26" customFormat="1" x14ac:dyDescent="0.25">
      <c r="A33" s="16">
        <v>222853</v>
      </c>
      <c r="B33" s="30" t="s">
        <v>50</v>
      </c>
      <c r="C33" s="20" t="s">
        <v>625</v>
      </c>
      <c r="D33" s="20" t="s">
        <v>675</v>
      </c>
      <c r="E33" s="20" t="s">
        <v>1602</v>
      </c>
      <c r="F33" s="20" t="s">
        <v>1603</v>
      </c>
      <c r="G33" s="21">
        <v>13.7</v>
      </c>
      <c r="H33" s="16">
        <v>24</v>
      </c>
      <c r="I33" s="16"/>
      <c r="J3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328.79999999999995</v>
      </c>
      <c r="K33" s="22"/>
      <c r="L33" s="23">
        <v>13.7</v>
      </c>
      <c r="M33" s="23">
        <f>SUM(Tabela1746810121422303226816192527313336242101214161824262830384024810121416202226283032343624268101214246101224262442626282626810262862366[[#This Row],[Saldo no cartão]:[Recarga Pendente]])</f>
        <v>13.7</v>
      </c>
      <c r="N33" s="19">
        <f>Tabela1746810121422303226816192527313336242101214161824262830384024810121416202226283032343624268101214246101224262442626282626810262862366[[#This Row],[Uso diário]]*2</f>
        <v>27.4</v>
      </c>
      <c r="O33" s="19">
        <f>Tabela1746810121422303226816192527313336242101214161824262830384024810121416202226283032343624268101214246101224262442626282626810262862366[[#This Row],[Total Acumulado]]-P33</f>
        <v>-54.8</v>
      </c>
      <c r="P33" s="48">
        <f>Tabela1746810121422303226816192527313336242101214161824262830384024810121416202226283032343624268101214246101224262442626282626810262862366[[#This Row],[Uso diário]]*5</f>
        <v>68.5</v>
      </c>
      <c r="Q3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328.79999999999995</v>
      </c>
      <c r="S3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3" s="25">
        <v>1</v>
      </c>
    </row>
    <row r="34" spans="1:20" s="26" customFormat="1" x14ac:dyDescent="0.25">
      <c r="A34" s="16">
        <v>222855</v>
      </c>
      <c r="B34" s="30" t="s">
        <v>51</v>
      </c>
      <c r="C34" s="20" t="s">
        <v>625</v>
      </c>
      <c r="D34" s="20" t="s">
        <v>677</v>
      </c>
      <c r="E34" s="20" t="s">
        <v>1604</v>
      </c>
      <c r="F34" s="20" t="s">
        <v>1605</v>
      </c>
      <c r="G34" s="21">
        <v>13.4</v>
      </c>
      <c r="H34" s="16">
        <v>22</v>
      </c>
      <c r="I34" s="16">
        <v>1</v>
      </c>
      <c r="J3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281.40000000000003</v>
      </c>
      <c r="K34" s="22"/>
      <c r="L34" s="23"/>
      <c r="M34" s="23">
        <f>SUM(Tabela1746810121422303226816192527313336242101214161824262830384024810121416202226283032343624268101214246101224262442626282626810262862366[[#This Row],[Saldo no cartão]:[Recarga Pendente]])</f>
        <v>0</v>
      </c>
      <c r="N34" s="19">
        <f>Tabela1746810121422303226816192527313336242101214161824262830384024810121416202226283032343624268101214246101224262442626282626810262862366[[#This Row],[Uso diário]]*2</f>
        <v>26.8</v>
      </c>
      <c r="O34" s="19">
        <f>Tabela1746810121422303226816192527313336242101214161824262830384024810121416202226283032343624268101214246101224262442626282626810262862366[[#This Row],[Total Acumulado]]-P34</f>
        <v>-67</v>
      </c>
      <c r="P34" s="48">
        <f>Tabela1746810121422303226816192527313336242101214161824262830384024810121416202226283032343624268101214246101224262442626282626810262862366[[#This Row],[Uso diário]]*5</f>
        <v>67</v>
      </c>
      <c r="Q3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281.40000000000003</v>
      </c>
      <c r="S3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4" s="25">
        <v>1</v>
      </c>
    </row>
    <row r="35" spans="1:20" s="26" customFormat="1" x14ac:dyDescent="0.25">
      <c r="A35" s="16">
        <v>222857</v>
      </c>
      <c r="B35" s="30" t="s">
        <v>1392</v>
      </c>
      <c r="C35" s="20" t="s">
        <v>625</v>
      </c>
      <c r="D35" s="20" t="s">
        <v>675</v>
      </c>
      <c r="E35" s="20" t="s">
        <v>1606</v>
      </c>
      <c r="F35" s="20" t="s">
        <v>1607</v>
      </c>
      <c r="G35" s="21">
        <v>18.8</v>
      </c>
      <c r="H35" s="16">
        <v>24</v>
      </c>
      <c r="I35" s="16"/>
      <c r="J3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35" s="22"/>
      <c r="L35" s="23">
        <v>18.8</v>
      </c>
      <c r="M35" s="23">
        <f>SUM(Tabela1746810121422303226816192527313336242101214161824262830384024810121416202226283032343624268101214246101224262442626282626810262862366[[#This Row],[Saldo no cartão]:[Recarga Pendente]])</f>
        <v>18.8</v>
      </c>
      <c r="N35" s="19">
        <f>Tabela1746810121422303226816192527313336242101214161824262830384024810121416202226283032343624268101214246101224262442626282626810262862366[[#This Row],[Uso diário]]*2</f>
        <v>37.6</v>
      </c>
      <c r="O35" s="19">
        <f>Tabela1746810121422303226816192527313336242101214161824262830384024810121416202226283032343624268101214246101224262442626282626810262862366[[#This Row],[Total Acumulado]]-P35</f>
        <v>-75.2</v>
      </c>
      <c r="P35" s="48">
        <f>Tabela1746810121422303226816192527313336242101214161824262830384024810121416202226283032343624268101214246101224262442626282626810262862366[[#This Row],[Uso diário]]*5</f>
        <v>94</v>
      </c>
      <c r="Q3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3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5" s="25">
        <v>1</v>
      </c>
    </row>
    <row r="36" spans="1:20" s="26" customFormat="1" x14ac:dyDescent="0.25">
      <c r="A36" s="16">
        <v>222858</v>
      </c>
      <c r="B36" s="30" t="s">
        <v>1024</v>
      </c>
      <c r="C36" s="20" t="s">
        <v>625</v>
      </c>
      <c r="D36" s="20" t="s">
        <v>677</v>
      </c>
      <c r="E36" s="20" t="s">
        <v>1608</v>
      </c>
      <c r="F36" s="20" t="s">
        <v>1609</v>
      </c>
      <c r="G36" s="21">
        <v>18.8</v>
      </c>
      <c r="H36" s="16">
        <v>22</v>
      </c>
      <c r="I36" s="16">
        <v>1</v>
      </c>
      <c r="J3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36" s="22"/>
      <c r="L36" s="23"/>
      <c r="M36" s="23">
        <f>SUM(Tabela1746810121422303226816192527313336242101214161824262830384024810121416202226283032343624268101214246101224262442626282626810262862366[[#This Row],[Saldo no cartão]:[Recarga Pendente]])</f>
        <v>0</v>
      </c>
      <c r="N36" s="19">
        <f>Tabela1746810121422303226816192527313336242101214161824262830384024810121416202226283032343624268101214246101224262442626282626810262862366[[#This Row],[Uso diário]]*2</f>
        <v>37.6</v>
      </c>
      <c r="O36" s="19">
        <f>Tabela1746810121422303226816192527313336242101214161824262830384024810121416202226283032343624268101214246101224262442626282626810262862366[[#This Row],[Total Acumulado]]-P36</f>
        <v>-94</v>
      </c>
      <c r="P36" s="48">
        <f>Tabela1746810121422303226816192527313336242101214161824262830384024810121416202226283032343624268101214246101224262442626282626810262862366[[#This Row],[Uso diário]]*5</f>
        <v>94</v>
      </c>
      <c r="Q3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3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6" s="25">
        <v>1</v>
      </c>
    </row>
    <row r="37" spans="1:20" s="26" customFormat="1" x14ac:dyDescent="0.25">
      <c r="A37" s="16">
        <v>223106</v>
      </c>
      <c r="B37" s="30" t="s">
        <v>52</v>
      </c>
      <c r="C37" s="20" t="s">
        <v>625</v>
      </c>
      <c r="D37" s="20" t="s">
        <v>808</v>
      </c>
      <c r="E37" s="20" t="s">
        <v>1610</v>
      </c>
      <c r="F37" s="20" t="s">
        <v>1611</v>
      </c>
      <c r="G37" s="21">
        <v>18.8</v>
      </c>
      <c r="H37" s="16">
        <v>24</v>
      </c>
      <c r="I37" s="16">
        <v>1</v>
      </c>
      <c r="J3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37" s="22"/>
      <c r="L37" s="23"/>
      <c r="M37" s="23">
        <f>SUM(Tabela1746810121422303226816192527313336242101214161824262830384024810121416202226283032343624268101214246101224262442626282626810262862366[[#This Row],[Saldo no cartão]:[Recarga Pendente]])</f>
        <v>0</v>
      </c>
      <c r="N37" s="19">
        <f>Tabela1746810121422303226816192527313336242101214161824262830384024810121416202226283032343624268101214246101224262442626282626810262862366[[#This Row],[Uso diário]]*2</f>
        <v>37.6</v>
      </c>
      <c r="O37" s="19">
        <f>Tabela1746810121422303226816192527313336242101214161824262830384024810121416202226283032343624268101214246101224262442626282626810262862366[[#This Row],[Total Acumulado]]-P37</f>
        <v>-94</v>
      </c>
      <c r="P37" s="48">
        <f>Tabela1746810121422303226816192527313336242101214161824262830384024810121416202226283032343624268101214246101224262442626282626810262862366[[#This Row],[Uso diário]]*5</f>
        <v>94</v>
      </c>
      <c r="Q3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3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7" s="25">
        <v>1</v>
      </c>
    </row>
    <row r="38" spans="1:20" s="26" customFormat="1" x14ac:dyDescent="0.25">
      <c r="A38" s="16">
        <v>223699</v>
      </c>
      <c r="B38" s="30" t="s">
        <v>53</v>
      </c>
      <c r="C38" s="20" t="s">
        <v>625</v>
      </c>
      <c r="D38" s="20" t="s">
        <v>676</v>
      </c>
      <c r="E38" s="20" t="s">
        <v>1612</v>
      </c>
      <c r="F38" s="20" t="s">
        <v>1613</v>
      </c>
      <c r="G38" s="21">
        <v>18.8</v>
      </c>
      <c r="H38" s="16">
        <v>24</v>
      </c>
      <c r="I38" s="16"/>
      <c r="J3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38" s="22"/>
      <c r="L38" s="23"/>
      <c r="M38" s="23">
        <f>SUM(Tabela1746810121422303226816192527313336242101214161824262830384024810121416202226283032343624268101214246101224262442626282626810262862366[[#This Row],[Saldo no cartão]:[Recarga Pendente]])</f>
        <v>0</v>
      </c>
      <c r="N38" s="19">
        <f>Tabela1746810121422303226816192527313336242101214161824262830384024810121416202226283032343624268101214246101224262442626282626810262862366[[#This Row],[Uso diário]]*2</f>
        <v>37.6</v>
      </c>
      <c r="O38" s="19">
        <f>Tabela1746810121422303226816192527313336242101214161824262830384024810121416202226283032343624268101214246101224262442626282626810262862366[[#This Row],[Total Acumulado]]-P38</f>
        <v>-94</v>
      </c>
      <c r="P38" s="48">
        <f>Tabela1746810121422303226816192527313336242101214161824262830384024810121416202226283032343624268101214246101224262442626282626810262862366[[#This Row],[Uso diário]]*5</f>
        <v>94</v>
      </c>
      <c r="Q3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3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8" s="25">
        <v>1</v>
      </c>
    </row>
    <row r="39" spans="1:20" s="26" customFormat="1" x14ac:dyDescent="0.25">
      <c r="A39" s="16">
        <v>224577</v>
      </c>
      <c r="B39" s="30" t="s">
        <v>55</v>
      </c>
      <c r="C39" s="20" t="s">
        <v>625</v>
      </c>
      <c r="D39" s="20" t="s">
        <v>676</v>
      </c>
      <c r="E39" s="20" t="s">
        <v>1614</v>
      </c>
      <c r="F39" s="20" t="s">
        <v>1615</v>
      </c>
      <c r="G39" s="21">
        <v>18.8</v>
      </c>
      <c r="H39" s="16">
        <v>24</v>
      </c>
      <c r="I39" s="16">
        <v>2</v>
      </c>
      <c r="J3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39" s="22"/>
      <c r="L39" s="23">
        <v>18.8</v>
      </c>
      <c r="M39" s="23">
        <f>SUM(Tabela1746810121422303226816192527313336242101214161824262830384024810121416202226283032343624268101214246101224262442626282626810262862366[[#This Row],[Saldo no cartão]:[Recarga Pendente]])</f>
        <v>18.8</v>
      </c>
      <c r="N39" s="19">
        <f>Tabela1746810121422303226816192527313336242101214161824262830384024810121416202226283032343624268101214246101224262442626282626810262862366[[#This Row],[Uso diário]]*2</f>
        <v>37.6</v>
      </c>
      <c r="O39" s="19">
        <f>Tabela1746810121422303226816192527313336242101214161824262830384024810121416202226283032343624268101214246101224262442626282626810262862366[[#This Row],[Total Acumulado]]-P39</f>
        <v>-75.2</v>
      </c>
      <c r="P39" s="48">
        <f>Tabela1746810121422303226816192527313336242101214161824262830384024810121416202226283032343624268101214246101224262442626282626810262862366[[#This Row],[Uso diário]]*5</f>
        <v>94</v>
      </c>
      <c r="Q3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3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3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39" s="25">
        <v>1</v>
      </c>
    </row>
    <row r="40" spans="1:20" s="26" customFormat="1" x14ac:dyDescent="0.25">
      <c r="A40" s="16">
        <v>224889</v>
      </c>
      <c r="B40" s="30" t="s">
        <v>56</v>
      </c>
      <c r="C40" s="20" t="s">
        <v>625</v>
      </c>
      <c r="D40" s="20" t="s">
        <v>677</v>
      </c>
      <c r="E40" s="20" t="s">
        <v>1616</v>
      </c>
      <c r="F40" s="20" t="s">
        <v>1617</v>
      </c>
      <c r="G40" s="21">
        <v>18.8</v>
      </c>
      <c r="H40" s="16">
        <v>22</v>
      </c>
      <c r="I40" s="16"/>
      <c r="J4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40" s="22"/>
      <c r="L40" s="23"/>
      <c r="M40" s="23">
        <f>SUM(Tabela1746810121422303226816192527313336242101214161824262830384024810121416202226283032343624268101214246101224262442626282626810262862366[[#This Row],[Saldo no cartão]:[Recarga Pendente]])</f>
        <v>0</v>
      </c>
      <c r="N40" s="19">
        <f>Tabela1746810121422303226816192527313336242101214161824262830384024810121416202226283032343624268101214246101224262442626282626810262862366[[#This Row],[Uso diário]]*2</f>
        <v>37.6</v>
      </c>
      <c r="O40" s="19">
        <f>Tabela1746810121422303226816192527313336242101214161824262830384024810121416202226283032343624268101214246101224262442626282626810262862366[[#This Row],[Total Acumulado]]-P40</f>
        <v>-94</v>
      </c>
      <c r="P40" s="48">
        <f>Tabela1746810121422303226816192527313336242101214161824262830384024810121416202226283032343624268101214246101224262442626282626810262862366[[#This Row],[Uso diário]]*5</f>
        <v>94</v>
      </c>
      <c r="Q4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4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0" s="25">
        <v>1</v>
      </c>
    </row>
    <row r="41" spans="1:20" s="26" customFormat="1" x14ac:dyDescent="0.25">
      <c r="A41" s="16">
        <v>224980</v>
      </c>
      <c r="B41" s="30" t="s">
        <v>57</v>
      </c>
      <c r="C41" s="20" t="s">
        <v>625</v>
      </c>
      <c r="D41" s="20" t="s">
        <v>677</v>
      </c>
      <c r="E41" s="20" t="s">
        <v>1618</v>
      </c>
      <c r="F41" s="20" t="s">
        <v>1619</v>
      </c>
      <c r="G41" s="21">
        <v>18.8</v>
      </c>
      <c r="H41" s="16">
        <v>24</v>
      </c>
      <c r="I41" s="16"/>
      <c r="J4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41" s="22"/>
      <c r="L41" s="23">
        <v>18.8</v>
      </c>
      <c r="M41" s="23">
        <f>SUM(Tabela1746810121422303226816192527313336242101214161824262830384024810121416202226283032343624268101214246101224262442626282626810262862366[[#This Row],[Saldo no cartão]:[Recarga Pendente]])</f>
        <v>18.8</v>
      </c>
      <c r="N41" s="19">
        <f>Tabela1746810121422303226816192527313336242101214161824262830384024810121416202226283032343624268101214246101224262442626282626810262862366[[#This Row],[Uso diário]]*2</f>
        <v>37.6</v>
      </c>
      <c r="O41" s="19">
        <f>Tabela1746810121422303226816192527313336242101214161824262830384024810121416202226283032343624268101214246101224262442626282626810262862366[[#This Row],[Total Acumulado]]-P41</f>
        <v>-75.2</v>
      </c>
      <c r="P41" s="48">
        <f>Tabela1746810121422303226816192527313336242101214161824262830384024810121416202226283032343624268101214246101224262442626282626810262862366[[#This Row],[Uso diário]]*5</f>
        <v>94</v>
      </c>
      <c r="Q4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4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1" s="25">
        <v>1</v>
      </c>
    </row>
    <row r="42" spans="1:20" s="26" customFormat="1" x14ac:dyDescent="0.25">
      <c r="A42" s="16">
        <v>225864</v>
      </c>
      <c r="B42" s="30" t="s">
        <v>1133</v>
      </c>
      <c r="C42" s="20" t="s">
        <v>625</v>
      </c>
      <c r="D42" s="20" t="s">
        <v>677</v>
      </c>
      <c r="E42" s="20" t="s">
        <v>1620</v>
      </c>
      <c r="F42" s="20" t="s">
        <v>1621</v>
      </c>
      <c r="G42" s="21">
        <v>18.8</v>
      </c>
      <c r="H42" s="16">
        <v>24</v>
      </c>
      <c r="I42" s="16">
        <v>1</v>
      </c>
      <c r="J4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42" s="22"/>
      <c r="L42" s="23">
        <v>18.8</v>
      </c>
      <c r="M42" s="23">
        <f>SUM(Tabela1746810121422303226816192527313336242101214161824262830384024810121416202226283032343624268101214246101224262442626282626810262862366[[#This Row],[Saldo no cartão]:[Recarga Pendente]])</f>
        <v>18.8</v>
      </c>
      <c r="N42" s="19">
        <f>Tabela1746810121422303226816192527313336242101214161824262830384024810121416202226283032343624268101214246101224262442626282626810262862366[[#This Row],[Uso diário]]*2</f>
        <v>37.6</v>
      </c>
      <c r="O42" s="19">
        <f>Tabela1746810121422303226816192527313336242101214161824262830384024810121416202226283032343624268101214246101224262442626282626810262862366[[#This Row],[Total Acumulado]]-P42</f>
        <v>-75.2</v>
      </c>
      <c r="P42" s="48">
        <f>Tabela1746810121422303226816192527313336242101214161824262830384024810121416202226283032343624268101214246101224262442626282626810262862366[[#This Row],[Uso diário]]*5</f>
        <v>94</v>
      </c>
      <c r="Q4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4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2" s="25">
        <v>1</v>
      </c>
    </row>
    <row r="43" spans="1:20" s="26" customFormat="1" x14ac:dyDescent="0.25">
      <c r="A43" s="16">
        <v>226871</v>
      </c>
      <c r="B43" s="30" t="s">
        <v>58</v>
      </c>
      <c r="C43" s="20" t="s">
        <v>625</v>
      </c>
      <c r="D43" s="20" t="s">
        <v>677</v>
      </c>
      <c r="E43" s="20" t="s">
        <v>1622</v>
      </c>
      <c r="F43" s="20" t="s">
        <v>1623</v>
      </c>
      <c r="G43" s="21">
        <v>18.8</v>
      </c>
      <c r="H43" s="16">
        <v>22</v>
      </c>
      <c r="I43" s="16">
        <v>1</v>
      </c>
      <c r="J4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43" s="22"/>
      <c r="L43" s="23">
        <v>110.6</v>
      </c>
      <c r="M43" s="23">
        <f>SUM(Tabela1746810121422303226816192527313336242101214161824262830384024810121416202226283032343624268101214246101224262442626282626810262862366[[#This Row],[Saldo no cartão]:[Recarga Pendente]])</f>
        <v>110.6</v>
      </c>
      <c r="N43" s="19">
        <f>Tabela1746810121422303226816192527313336242101214161824262830384024810121416202226283032343624268101214246101224262442626282626810262862366[[#This Row],[Uso diário]]*2</f>
        <v>37.6</v>
      </c>
      <c r="O43" s="19">
        <f>Tabela1746810121422303226816192527313336242101214161824262830384024810121416202226283032343624268101214246101224262442626282626810262862366[[#This Row],[Total Acumulado]]-P43</f>
        <v>16.599999999999994</v>
      </c>
      <c r="P43" s="48">
        <f>Tabela1746810121422303226816192527313336242101214161824262830384024810121416202226283032343624268101214246101224262442626282626810262862366[[#This Row],[Uso diário]]*5</f>
        <v>94</v>
      </c>
      <c r="Q4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4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3" s="25">
        <v>1</v>
      </c>
    </row>
    <row r="44" spans="1:20" s="26" customFormat="1" x14ac:dyDescent="0.25">
      <c r="A44" s="16">
        <v>228926</v>
      </c>
      <c r="B44" s="30" t="s">
        <v>59</v>
      </c>
      <c r="C44" s="20" t="s">
        <v>625</v>
      </c>
      <c r="D44" s="20" t="s">
        <v>676</v>
      </c>
      <c r="E44" s="20" t="s">
        <v>1624</v>
      </c>
      <c r="F44" s="20" t="s">
        <v>1625</v>
      </c>
      <c r="G44" s="21">
        <v>18.8</v>
      </c>
      <c r="H44" s="16">
        <v>24</v>
      </c>
      <c r="I44" s="16">
        <v>2</v>
      </c>
      <c r="J4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44" s="22"/>
      <c r="L44" s="23"/>
      <c r="M44" s="23">
        <f>SUM(Tabela1746810121422303226816192527313336242101214161824262830384024810121416202226283032343624268101214246101224262442626282626810262862366[[#This Row],[Saldo no cartão]:[Recarga Pendente]])</f>
        <v>0</v>
      </c>
      <c r="N44" s="19">
        <f>Tabela1746810121422303226816192527313336242101214161824262830384024810121416202226283032343624268101214246101224262442626282626810262862366[[#This Row],[Uso diário]]*2</f>
        <v>37.6</v>
      </c>
      <c r="O44" s="19">
        <f>Tabela1746810121422303226816192527313336242101214161824262830384024810121416202226283032343624268101214246101224262442626282626810262862366[[#This Row],[Total Acumulado]]-P44</f>
        <v>-94</v>
      </c>
      <c r="P44" s="48">
        <f>Tabela1746810121422303226816192527313336242101214161824262830384024810121416202226283032343624268101214246101224262442626282626810262862366[[#This Row],[Uso diário]]*5</f>
        <v>94</v>
      </c>
      <c r="Q4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4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4" s="25">
        <v>1</v>
      </c>
    </row>
    <row r="45" spans="1:20" s="26" customFormat="1" x14ac:dyDescent="0.25">
      <c r="A45" s="16">
        <v>229458</v>
      </c>
      <c r="B45" s="30" t="s">
        <v>129</v>
      </c>
      <c r="C45" s="20" t="s">
        <v>625</v>
      </c>
      <c r="D45" s="20" t="s">
        <v>677</v>
      </c>
      <c r="E45" s="20" t="s">
        <v>1626</v>
      </c>
      <c r="F45" s="20" t="s">
        <v>1627</v>
      </c>
      <c r="G45" s="21">
        <v>18.8</v>
      </c>
      <c r="H45" s="16">
        <v>22</v>
      </c>
      <c r="I45" s="16">
        <v>3</v>
      </c>
      <c r="J4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45" s="22"/>
      <c r="L45" s="23"/>
      <c r="M45" s="23">
        <f>SUM(Tabela1746810121422303226816192527313336242101214161824262830384024810121416202226283032343624268101214246101224262442626282626810262862366[[#This Row],[Saldo no cartão]:[Recarga Pendente]])</f>
        <v>0</v>
      </c>
      <c r="N45" s="19">
        <f>Tabela1746810121422303226816192527313336242101214161824262830384024810121416202226283032343624268101214246101224262442626282626810262862366[[#This Row],[Uso diário]]*2</f>
        <v>37.6</v>
      </c>
      <c r="O45" s="19">
        <f>Tabela1746810121422303226816192527313336242101214161824262830384024810121416202226283032343624268101214246101224262442626282626810262862366[[#This Row],[Total Acumulado]]-P45</f>
        <v>-94</v>
      </c>
      <c r="P45" s="48">
        <f>Tabela1746810121422303226816192527313336242101214161824262830384024810121416202226283032343624268101214246101224262442626282626810262862366[[#This Row],[Uso diário]]*5</f>
        <v>94</v>
      </c>
      <c r="Q4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357.2</v>
      </c>
      <c r="S4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5" s="25">
        <v>1</v>
      </c>
    </row>
    <row r="46" spans="1:20" s="26" customFormat="1" x14ac:dyDescent="0.25">
      <c r="A46" s="16">
        <v>231204</v>
      </c>
      <c r="B46" s="30" t="s">
        <v>764</v>
      </c>
      <c r="C46" s="20" t="s">
        <v>625</v>
      </c>
      <c r="D46" s="20" t="s">
        <v>677</v>
      </c>
      <c r="E46" s="20" t="s">
        <v>1628</v>
      </c>
      <c r="F46" s="20" t="s">
        <v>1629</v>
      </c>
      <c r="G46" s="21">
        <v>18.8</v>
      </c>
      <c r="H46" s="16">
        <v>24</v>
      </c>
      <c r="I46" s="16"/>
      <c r="J4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46" s="22"/>
      <c r="L46" s="23"/>
      <c r="M46" s="23">
        <f>SUM(Tabela1746810121422303226816192527313336242101214161824262830384024810121416202226283032343624268101214246101224262442626282626810262862366[[#This Row],[Saldo no cartão]:[Recarga Pendente]])</f>
        <v>0</v>
      </c>
      <c r="N46" s="19">
        <f>Tabela1746810121422303226816192527313336242101214161824262830384024810121416202226283032343624268101214246101224262442626282626810262862366[[#This Row],[Uso diário]]*2</f>
        <v>37.6</v>
      </c>
      <c r="O46" s="19">
        <f>Tabela1746810121422303226816192527313336242101214161824262830384024810121416202226283032343624268101214246101224262442626282626810262862366[[#This Row],[Total Acumulado]]-P46</f>
        <v>-94</v>
      </c>
      <c r="P46" s="48">
        <f>Tabela1746810121422303226816192527313336242101214161824262830384024810121416202226283032343624268101214246101224262442626282626810262862366[[#This Row],[Uso diário]]*5</f>
        <v>94</v>
      </c>
      <c r="Q4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4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6" s="25">
        <v>1</v>
      </c>
    </row>
    <row r="47" spans="1:20" s="26" customFormat="1" x14ac:dyDescent="0.25">
      <c r="A47" s="16">
        <v>231317</v>
      </c>
      <c r="B47" s="30" t="s">
        <v>783</v>
      </c>
      <c r="C47" s="20" t="s">
        <v>625</v>
      </c>
      <c r="D47" s="20" t="s">
        <v>677</v>
      </c>
      <c r="E47" s="20" t="s">
        <v>1630</v>
      </c>
      <c r="F47" s="20" t="s">
        <v>1631</v>
      </c>
      <c r="G47" s="21">
        <v>18.8</v>
      </c>
      <c r="H47" s="16">
        <v>16</v>
      </c>
      <c r="I47" s="16">
        <v>8</v>
      </c>
      <c r="J4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150.4</v>
      </c>
      <c r="K47" s="22"/>
      <c r="L47" s="23"/>
      <c r="M47" s="23">
        <f>SUM(Tabela1746810121422303226816192527313336242101214161824262830384024810121416202226283032343624268101214246101224262442626282626810262862366[[#This Row],[Saldo no cartão]:[Recarga Pendente]])</f>
        <v>0</v>
      </c>
      <c r="N47" s="19">
        <f>Tabela1746810121422303226816192527313336242101214161824262830384024810121416202226283032343624268101214246101224262442626282626810262862366[[#This Row],[Uso diário]]*2</f>
        <v>37.6</v>
      </c>
      <c r="O47" s="19">
        <f>Tabela1746810121422303226816192527313336242101214161824262830384024810121416202226283032343624268101214246101224262442626282626810262862366[[#This Row],[Total Acumulado]]-P47</f>
        <v>-94</v>
      </c>
      <c r="P47" s="48">
        <f>Tabela1746810121422303226816192527313336242101214161824262830384024810121416202226283032343624268101214246101224262442626282626810262862366[[#This Row],[Uso diário]]*5</f>
        <v>94</v>
      </c>
      <c r="Q4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150.4</v>
      </c>
      <c r="S4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7" s="25">
        <v>1</v>
      </c>
    </row>
    <row r="48" spans="1:20" s="26" customFormat="1" x14ac:dyDescent="0.25">
      <c r="A48" s="16">
        <v>232037</v>
      </c>
      <c r="B48" s="30" t="s">
        <v>815</v>
      </c>
      <c r="C48" s="20" t="s">
        <v>625</v>
      </c>
      <c r="D48" s="20" t="s">
        <v>677</v>
      </c>
      <c r="E48" s="20" t="s">
        <v>1632</v>
      </c>
      <c r="F48" s="20" t="s">
        <v>1633</v>
      </c>
      <c r="G48" s="21">
        <v>18.8</v>
      </c>
      <c r="H48" s="16">
        <v>24</v>
      </c>
      <c r="I48" s="16">
        <v>2</v>
      </c>
      <c r="J4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48" s="22"/>
      <c r="L48" s="23"/>
      <c r="M48" s="23">
        <f>SUM(Tabela1746810121422303226816192527313336242101214161824262830384024810121416202226283032343624268101214246101224262442626282626810262862366[[#This Row],[Saldo no cartão]:[Recarga Pendente]])</f>
        <v>0</v>
      </c>
      <c r="N48" s="19">
        <f>Tabela1746810121422303226816192527313336242101214161824262830384024810121416202226283032343624268101214246101224262442626282626810262862366[[#This Row],[Uso diário]]*2</f>
        <v>37.6</v>
      </c>
      <c r="O48" s="19">
        <f>Tabela1746810121422303226816192527313336242101214161824262830384024810121416202226283032343624268101214246101224262442626282626810262862366[[#This Row],[Total Acumulado]]-P48</f>
        <v>-94</v>
      </c>
      <c r="P48" s="48">
        <f>Tabela1746810121422303226816192527313336242101214161824262830384024810121416202226283032343624268101214246101224262442626282626810262862366[[#This Row],[Uso diário]]*5</f>
        <v>94</v>
      </c>
      <c r="Q4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4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8" s="25">
        <v>1</v>
      </c>
    </row>
    <row r="49" spans="1:20" s="26" customFormat="1" x14ac:dyDescent="0.25">
      <c r="A49" s="16">
        <v>232315</v>
      </c>
      <c r="B49" s="30" t="s">
        <v>883</v>
      </c>
      <c r="C49" s="20" t="s">
        <v>625</v>
      </c>
      <c r="D49" s="20" t="s">
        <v>677</v>
      </c>
      <c r="E49" s="20" t="s">
        <v>1634</v>
      </c>
      <c r="F49" s="20" t="s">
        <v>1635</v>
      </c>
      <c r="G49" s="21">
        <v>10</v>
      </c>
      <c r="H49" s="16">
        <v>24</v>
      </c>
      <c r="I49" s="16"/>
      <c r="J4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240</v>
      </c>
      <c r="K49" s="22"/>
      <c r="L49" s="23"/>
      <c r="M49" s="23">
        <f>SUM(Tabela1746810121422303226816192527313336242101214161824262830384024810121416202226283032343624268101214246101224262442626282626810262862366[[#This Row],[Saldo no cartão]:[Recarga Pendente]])</f>
        <v>0</v>
      </c>
      <c r="N49" s="19">
        <f>Tabela1746810121422303226816192527313336242101214161824262830384024810121416202226283032343624268101214246101224262442626282626810262862366[[#This Row],[Uso diário]]*2</f>
        <v>20</v>
      </c>
      <c r="O49" s="19">
        <f>Tabela1746810121422303226816192527313336242101214161824262830384024810121416202226283032343624268101214246101224262442626282626810262862366[[#This Row],[Total Acumulado]]-P49</f>
        <v>-50</v>
      </c>
      <c r="P49" s="48">
        <f>Tabela1746810121422303226816192527313336242101214161824262830384024810121416202226283032343624268101214246101224262442626282626810262862366[[#This Row],[Uso diário]]*5</f>
        <v>50</v>
      </c>
      <c r="Q4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4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240</v>
      </c>
      <c r="S4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49" s="25">
        <v>1</v>
      </c>
    </row>
    <row r="50" spans="1:20" s="26" customFormat="1" x14ac:dyDescent="0.25">
      <c r="A50" s="16">
        <v>234366</v>
      </c>
      <c r="B50" s="30" t="s">
        <v>1273</v>
      </c>
      <c r="C50" s="20" t="s">
        <v>625</v>
      </c>
      <c r="D50" s="20" t="s">
        <v>677</v>
      </c>
      <c r="E50" s="20" t="s">
        <v>1636</v>
      </c>
      <c r="F50" s="20" t="s">
        <v>1637</v>
      </c>
      <c r="G50" s="21">
        <v>18.8</v>
      </c>
      <c r="H50" s="16">
        <v>24</v>
      </c>
      <c r="I50" s="16">
        <v>2</v>
      </c>
      <c r="J5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50" s="22"/>
      <c r="L50" s="23"/>
      <c r="M50" s="23">
        <f>SUM(Tabela1746810121422303226816192527313336242101214161824262830384024810121416202226283032343624268101214246101224262442626282626810262862366[[#This Row],[Saldo no cartão]:[Recarga Pendente]])</f>
        <v>0</v>
      </c>
      <c r="N50" s="19">
        <f>Tabela1746810121422303226816192527313336242101214161824262830384024810121416202226283032343624268101214246101224262442626282626810262862366[[#This Row],[Uso diário]]*2</f>
        <v>37.6</v>
      </c>
      <c r="O50" s="19">
        <f>Tabela1746810121422303226816192527313336242101214161824262830384024810121416202226283032343624268101214246101224262442626282626810262862366[[#This Row],[Total Acumulado]]-P50</f>
        <v>-94</v>
      </c>
      <c r="P50" s="48">
        <f>Tabela1746810121422303226816192527313336242101214161824262830384024810121416202226283032343624268101214246101224262442626282626810262862366[[#This Row],[Uso diário]]*5</f>
        <v>94</v>
      </c>
      <c r="Q5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5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0" s="25">
        <v>1</v>
      </c>
    </row>
    <row r="51" spans="1:20" s="26" customFormat="1" x14ac:dyDescent="0.25">
      <c r="A51" s="16">
        <v>225352</v>
      </c>
      <c r="B51" s="30" t="s">
        <v>80</v>
      </c>
      <c r="C51" s="20" t="s">
        <v>626</v>
      </c>
      <c r="D51" s="20" t="s">
        <v>678</v>
      </c>
      <c r="E51" s="20" t="s">
        <v>1638</v>
      </c>
      <c r="F51" s="20" t="s">
        <v>1639</v>
      </c>
      <c r="G51" s="21">
        <v>10</v>
      </c>
      <c r="H51" s="16">
        <v>22</v>
      </c>
      <c r="I51" s="16"/>
      <c r="J5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51" s="22"/>
      <c r="L51" s="23"/>
      <c r="M51" s="23">
        <f>SUM(Tabela1746810121422303226816192527313336242101214161824262830384024810121416202226283032343624268101214246101224262442626282626810262862366[[#This Row],[Saldo no cartão]:[Recarga Pendente]])</f>
        <v>0</v>
      </c>
      <c r="N51" s="19">
        <f>Tabela1746810121422303226816192527313336242101214161824262830384024810121416202226283032343624268101214246101224262442626282626810262862366[[#This Row],[Uso diário]]*2</f>
        <v>20</v>
      </c>
      <c r="O51" s="19">
        <f>Tabela1746810121422303226816192527313336242101214161824262830384024810121416202226283032343624268101214246101224262442626282626810262862366[[#This Row],[Total Acumulado]]-P51</f>
        <v>-50</v>
      </c>
      <c r="P51" s="48">
        <f>Tabela1746810121422303226816192527313336242101214161824262830384024810121416202226283032343624268101214246101224262442626282626810262862366[[#This Row],[Uso diário]]*5</f>
        <v>50</v>
      </c>
      <c r="Q5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5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1" s="25">
        <v>1</v>
      </c>
    </row>
    <row r="52" spans="1:20" s="26" customFormat="1" x14ac:dyDescent="0.25">
      <c r="A52" s="16">
        <v>211071</v>
      </c>
      <c r="B52" s="30" t="s">
        <v>1026</v>
      </c>
      <c r="C52" s="20" t="s">
        <v>627</v>
      </c>
      <c r="D52" s="20" t="s">
        <v>679</v>
      </c>
      <c r="E52" s="20" t="s">
        <v>1640</v>
      </c>
      <c r="F52" s="20" t="s">
        <v>1641</v>
      </c>
      <c r="G52" s="21">
        <v>18.8</v>
      </c>
      <c r="H52" s="16">
        <v>26</v>
      </c>
      <c r="I52" s="16">
        <v>1</v>
      </c>
      <c r="J5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52" s="22"/>
      <c r="L52" s="23"/>
      <c r="M52" s="23">
        <f>SUM(Tabela1746810121422303226816192527313336242101214161824262830384024810121416202226283032343624268101214246101224262442626282626810262862366[[#This Row],[Saldo no cartão]:[Recarga Pendente]])</f>
        <v>0</v>
      </c>
      <c r="N52" s="19">
        <f>Tabela1746810121422303226816192527313336242101214161824262830384024810121416202226283032343624268101214246101224262442626282626810262862366[[#This Row],[Uso diário]]*2</f>
        <v>37.6</v>
      </c>
      <c r="O52" s="19">
        <f>Tabela1746810121422303226816192527313336242101214161824262830384024810121416202226283032343624268101214246101224262442626282626810262862366[[#This Row],[Total Acumulado]]-P52</f>
        <v>-94</v>
      </c>
      <c r="P52" s="48">
        <f>Tabela1746810121422303226816192527313336242101214161824262830384024810121416202226283032343624268101214246101224262442626282626810262862366[[#This Row],[Uso diário]]*5</f>
        <v>94</v>
      </c>
      <c r="Q5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5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2" s="25">
        <v>1</v>
      </c>
    </row>
    <row r="53" spans="1:20" s="26" customFormat="1" x14ac:dyDescent="0.25">
      <c r="A53" s="16">
        <v>224863</v>
      </c>
      <c r="B53" s="30" t="s">
        <v>62</v>
      </c>
      <c r="C53" s="20" t="s">
        <v>627</v>
      </c>
      <c r="D53" s="20" t="s">
        <v>679</v>
      </c>
      <c r="E53" s="20" t="s">
        <v>1642</v>
      </c>
      <c r="F53" s="20" t="s">
        <v>1643</v>
      </c>
      <c r="G53" s="21">
        <v>18.8</v>
      </c>
      <c r="H53" s="16">
        <v>26</v>
      </c>
      <c r="I53" s="16"/>
      <c r="J5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53" s="22"/>
      <c r="L53" s="23"/>
      <c r="M53" s="23">
        <f>SUM(Tabela1746810121422303226816192527313336242101214161824262830384024810121416202226283032343624268101214246101224262442626282626810262862366[[#This Row],[Saldo no cartão]:[Recarga Pendente]])</f>
        <v>0</v>
      </c>
      <c r="N53" s="19">
        <f>Tabela1746810121422303226816192527313336242101214161824262830384024810121416202226283032343624268101214246101224262442626282626810262862366[[#This Row],[Uso diário]]*2</f>
        <v>37.6</v>
      </c>
      <c r="O53" s="19">
        <f>Tabela1746810121422303226816192527313336242101214161824262830384024810121416202226283032343624268101214246101224262442626282626810262862366[[#This Row],[Total Acumulado]]-P53</f>
        <v>-94</v>
      </c>
      <c r="P53" s="48">
        <f>Tabela1746810121422303226816192527313336242101214161824262830384024810121416202226283032343624268101214246101224262442626282626810262862366[[#This Row],[Uso diário]]*5</f>
        <v>94</v>
      </c>
      <c r="Q5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5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3" s="25">
        <v>1</v>
      </c>
    </row>
    <row r="54" spans="1:20" s="26" customFormat="1" x14ac:dyDescent="0.25">
      <c r="A54" s="16">
        <v>233451</v>
      </c>
      <c r="B54" s="30" t="s">
        <v>1042</v>
      </c>
      <c r="C54" s="20" t="s">
        <v>627</v>
      </c>
      <c r="D54" s="20" t="s">
        <v>679</v>
      </c>
      <c r="E54" s="20" t="s">
        <v>1644</v>
      </c>
      <c r="F54" s="20" t="s">
        <v>1645</v>
      </c>
      <c r="G54" s="21">
        <v>13.4</v>
      </c>
      <c r="H54" s="16">
        <v>26</v>
      </c>
      <c r="I54" s="16">
        <v>1</v>
      </c>
      <c r="J5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335</v>
      </c>
      <c r="K54" s="22"/>
      <c r="L54" s="23"/>
      <c r="M54" s="23">
        <f>SUM(Tabela1746810121422303226816192527313336242101214161824262830384024810121416202226283032343624268101214246101224262442626282626810262862366[[#This Row],[Saldo no cartão]:[Recarga Pendente]])</f>
        <v>0</v>
      </c>
      <c r="N54" s="19">
        <f>Tabela1746810121422303226816192527313336242101214161824262830384024810121416202226283032343624268101214246101224262442626282626810262862366[[#This Row],[Uso diário]]*2</f>
        <v>26.8</v>
      </c>
      <c r="O54" s="19">
        <f>Tabela1746810121422303226816192527313336242101214161824262830384024810121416202226283032343624268101214246101224262442626282626810262862366[[#This Row],[Total Acumulado]]-P54</f>
        <v>-67</v>
      </c>
      <c r="P54" s="48">
        <f>Tabela1746810121422303226816192527313336242101214161824262830384024810121416202226283032343624268101214246101224262442626282626810262862366[[#This Row],[Uso diário]]*5</f>
        <v>67</v>
      </c>
      <c r="Q5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335</v>
      </c>
      <c r="S5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4" s="25">
        <v>1</v>
      </c>
    </row>
    <row r="55" spans="1:20" s="26" customFormat="1" x14ac:dyDescent="0.25">
      <c r="A55" s="16">
        <v>5286</v>
      </c>
      <c r="B55" s="30" t="s">
        <v>64</v>
      </c>
      <c r="C55" s="20" t="s">
        <v>628</v>
      </c>
      <c r="D55" s="20" t="s">
        <v>681</v>
      </c>
      <c r="E55" s="20" t="s">
        <v>1646</v>
      </c>
      <c r="F55" s="20" t="s">
        <v>1647</v>
      </c>
      <c r="G55" s="21">
        <v>18.8</v>
      </c>
      <c r="H55" s="16">
        <v>22</v>
      </c>
      <c r="I55" s="16">
        <v>2</v>
      </c>
      <c r="J5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55" s="22"/>
      <c r="L55" s="23"/>
      <c r="M55" s="23">
        <f>SUM(Tabela1746810121422303226816192527313336242101214161824262830384024810121416202226283032343624268101214246101224262442626282626810262862366[[#This Row],[Saldo no cartão]:[Recarga Pendente]])</f>
        <v>0</v>
      </c>
      <c r="N55" s="19">
        <f>Tabela1746810121422303226816192527313336242101214161824262830384024810121416202226283032343624268101214246101224262442626282626810262862366[[#This Row],[Uso diário]]*2</f>
        <v>37.6</v>
      </c>
      <c r="O55" s="19">
        <f>Tabela1746810121422303226816192527313336242101214161824262830384024810121416202226283032343624268101214246101224262442626282626810262862366[[#This Row],[Total Acumulado]]-P55</f>
        <v>-94</v>
      </c>
      <c r="P55" s="48">
        <f>Tabela1746810121422303226816192527313336242101214161824262830384024810121416202226283032343624268101214246101224262442626282626810262862366[[#This Row],[Uso diário]]*5</f>
        <v>94</v>
      </c>
      <c r="Q5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5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5" s="25">
        <v>1</v>
      </c>
    </row>
    <row r="56" spans="1:20" s="26" customFormat="1" x14ac:dyDescent="0.25">
      <c r="A56" s="16">
        <v>213535</v>
      </c>
      <c r="B56" s="30" t="s">
        <v>1393</v>
      </c>
      <c r="C56" s="20" t="s">
        <v>628</v>
      </c>
      <c r="D56" s="20" t="s">
        <v>681</v>
      </c>
      <c r="E56" s="20" t="s">
        <v>1648</v>
      </c>
      <c r="F56" s="20" t="s">
        <v>1649</v>
      </c>
      <c r="G56" s="21">
        <v>18.8</v>
      </c>
      <c r="H56" s="16">
        <v>22</v>
      </c>
      <c r="I56" s="16"/>
      <c r="J5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56" s="22"/>
      <c r="L56" s="23"/>
      <c r="M56" s="23">
        <f>SUM(Tabela1746810121422303226816192527313336242101214161824262830384024810121416202226283032343624268101214246101224262442626282626810262862366[[#This Row],[Saldo no cartão]:[Recarga Pendente]])</f>
        <v>0</v>
      </c>
      <c r="N56" s="19">
        <f>Tabela1746810121422303226816192527313336242101214161824262830384024810121416202226283032343624268101214246101224262442626282626810262862366[[#This Row],[Uso diário]]*2</f>
        <v>37.6</v>
      </c>
      <c r="O56" s="19">
        <f>Tabela1746810121422303226816192527313336242101214161824262830384024810121416202226283032343624268101214246101224262442626282626810262862366[[#This Row],[Total Acumulado]]-P56</f>
        <v>-94</v>
      </c>
      <c r="P56" s="48">
        <f>Tabela1746810121422303226816192527313336242101214161824262830384024810121416202226283032343624268101214246101224262442626282626810262862366[[#This Row],[Uso diário]]*5</f>
        <v>94</v>
      </c>
      <c r="Q5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5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6" s="25">
        <v>1</v>
      </c>
    </row>
    <row r="57" spans="1:20" s="26" customFormat="1" x14ac:dyDescent="0.25">
      <c r="A57" s="16">
        <v>213858</v>
      </c>
      <c r="B57" s="30" t="s">
        <v>65</v>
      </c>
      <c r="C57" s="20" t="s">
        <v>628</v>
      </c>
      <c r="D57" s="20" t="s">
        <v>680</v>
      </c>
      <c r="E57" s="20" t="s">
        <v>1650</v>
      </c>
      <c r="F57" s="20" t="s">
        <v>1651</v>
      </c>
      <c r="G57" s="21">
        <v>18.8</v>
      </c>
      <c r="H57" s="16">
        <v>22</v>
      </c>
      <c r="I57" s="16"/>
      <c r="J5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57" s="22"/>
      <c r="L57" s="23"/>
      <c r="M57" s="23">
        <f>SUM(Tabela1746810121422303226816192527313336242101214161824262830384024810121416202226283032343624268101214246101224262442626282626810262862366[[#This Row],[Saldo no cartão]:[Recarga Pendente]])</f>
        <v>0</v>
      </c>
      <c r="N57" s="19">
        <f>Tabela1746810121422303226816192527313336242101214161824262830384024810121416202226283032343624268101214246101224262442626282626810262862366[[#This Row],[Uso diário]]*2</f>
        <v>37.6</v>
      </c>
      <c r="O57" s="19">
        <f>Tabela1746810121422303226816192527313336242101214161824262830384024810121416202226283032343624268101214246101224262442626282626810262862366[[#This Row],[Total Acumulado]]-P57</f>
        <v>-94</v>
      </c>
      <c r="P57" s="48">
        <f>Tabela1746810121422303226816192527313336242101214161824262830384024810121416202226283032343624268101214246101224262442626282626810262862366[[#This Row],[Uso diário]]*5</f>
        <v>94</v>
      </c>
      <c r="Q5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5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7" s="25">
        <v>1</v>
      </c>
    </row>
    <row r="58" spans="1:20" s="26" customFormat="1" x14ac:dyDescent="0.25">
      <c r="A58" s="16">
        <v>216259</v>
      </c>
      <c r="B58" s="30" t="s">
        <v>319</v>
      </c>
      <c r="C58" s="20" t="s">
        <v>628</v>
      </c>
      <c r="D58" s="20" t="s">
        <v>681</v>
      </c>
      <c r="E58" s="20" t="s">
        <v>1652</v>
      </c>
      <c r="F58" s="20" t="s">
        <v>1653</v>
      </c>
      <c r="G58" s="21">
        <v>10</v>
      </c>
      <c r="H58" s="16">
        <v>22</v>
      </c>
      <c r="I58" s="16"/>
      <c r="J5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58" s="22"/>
      <c r="L58" s="23"/>
      <c r="M58" s="23">
        <f>SUM(Tabela1746810121422303226816192527313336242101214161824262830384024810121416202226283032343624268101214246101224262442626282626810262862366[[#This Row],[Saldo no cartão]:[Recarga Pendente]])</f>
        <v>0</v>
      </c>
      <c r="N58" s="19">
        <f>Tabela1746810121422303226816192527313336242101214161824262830384024810121416202226283032343624268101214246101224262442626282626810262862366[[#This Row],[Uso diário]]*2</f>
        <v>20</v>
      </c>
      <c r="O58" s="19">
        <f>Tabela1746810121422303226816192527313336242101214161824262830384024810121416202226283032343624268101214246101224262442626282626810262862366[[#This Row],[Total Acumulado]]-P58</f>
        <v>-50</v>
      </c>
      <c r="P58" s="48">
        <f>Tabela1746810121422303226816192527313336242101214161824262830384024810121416202226283032343624268101214246101224262442626282626810262862366[[#This Row],[Uso diário]]*5</f>
        <v>50</v>
      </c>
      <c r="Q5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5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8" s="25">
        <v>1</v>
      </c>
    </row>
    <row r="59" spans="1:20" s="26" customFormat="1" x14ac:dyDescent="0.25">
      <c r="A59" s="16">
        <v>216302</v>
      </c>
      <c r="B59" s="30" t="s">
        <v>392</v>
      </c>
      <c r="C59" s="20" t="s">
        <v>628</v>
      </c>
      <c r="D59" s="20" t="s">
        <v>681</v>
      </c>
      <c r="E59" s="20" t="s">
        <v>1654</v>
      </c>
      <c r="F59" s="20" t="s">
        <v>1655</v>
      </c>
      <c r="G59" s="21">
        <v>18.8</v>
      </c>
      <c r="H59" s="16">
        <v>22</v>
      </c>
      <c r="I59" s="16"/>
      <c r="J5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59" s="22"/>
      <c r="L59" s="23"/>
      <c r="M59" s="23">
        <f>SUM(Tabela1746810121422303226816192527313336242101214161824262830384024810121416202226283032343624268101214246101224262442626282626810262862366[[#This Row],[Saldo no cartão]:[Recarga Pendente]])</f>
        <v>0</v>
      </c>
      <c r="N59" s="19">
        <f>Tabela1746810121422303226816192527313336242101214161824262830384024810121416202226283032343624268101214246101224262442626282626810262862366[[#This Row],[Uso diário]]*2</f>
        <v>37.6</v>
      </c>
      <c r="O59" s="19">
        <f>Tabela1746810121422303226816192527313336242101214161824262830384024810121416202226283032343624268101214246101224262442626282626810262862366[[#This Row],[Total Acumulado]]-P59</f>
        <v>-94</v>
      </c>
      <c r="P59" s="48">
        <f>Tabela1746810121422303226816192527313336242101214161824262830384024810121416202226283032343624268101214246101224262442626282626810262862366[[#This Row],[Uso diário]]*5</f>
        <v>94</v>
      </c>
      <c r="Q5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5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5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59" s="25">
        <v>1</v>
      </c>
    </row>
    <row r="60" spans="1:20" s="26" customFormat="1" x14ac:dyDescent="0.25">
      <c r="A60" s="16">
        <v>221475</v>
      </c>
      <c r="B60" s="30" t="s">
        <v>1394</v>
      </c>
      <c r="C60" s="20" t="s">
        <v>628</v>
      </c>
      <c r="D60" s="20" t="s">
        <v>681</v>
      </c>
      <c r="E60" s="20" t="s">
        <v>1656</v>
      </c>
      <c r="F60" s="20" t="s">
        <v>1657</v>
      </c>
      <c r="G60" s="21">
        <v>18.8</v>
      </c>
      <c r="H60" s="16">
        <v>22</v>
      </c>
      <c r="I60" s="16"/>
      <c r="J6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60" s="22"/>
      <c r="L60" s="23"/>
      <c r="M60" s="23">
        <f>SUM(Tabela1746810121422303226816192527313336242101214161824262830384024810121416202226283032343624268101214246101224262442626282626810262862366[[#This Row],[Saldo no cartão]:[Recarga Pendente]])</f>
        <v>0</v>
      </c>
      <c r="N60" s="19">
        <f>Tabela1746810121422303226816192527313336242101214161824262830384024810121416202226283032343624268101214246101224262442626282626810262862366[[#This Row],[Uso diário]]*2</f>
        <v>37.6</v>
      </c>
      <c r="O60" s="19">
        <f>Tabela1746810121422303226816192527313336242101214161824262830384024810121416202226283032343624268101214246101224262442626282626810262862366[[#This Row],[Total Acumulado]]-P60</f>
        <v>-94</v>
      </c>
      <c r="P60" s="48">
        <f>Tabela1746810121422303226816192527313336242101214161824262830384024810121416202226283032343624268101214246101224262442626282626810262862366[[#This Row],[Uso diário]]*5</f>
        <v>94</v>
      </c>
      <c r="Q6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6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0" s="25">
        <v>1</v>
      </c>
    </row>
    <row r="61" spans="1:20" s="26" customFormat="1" x14ac:dyDescent="0.25">
      <c r="A61" s="16">
        <v>221585</v>
      </c>
      <c r="B61" s="30" t="s">
        <v>66</v>
      </c>
      <c r="C61" s="20" t="s">
        <v>628</v>
      </c>
      <c r="D61" s="20" t="s">
        <v>681</v>
      </c>
      <c r="E61" s="20" t="s">
        <v>1658</v>
      </c>
      <c r="F61" s="20" t="s">
        <v>1659</v>
      </c>
      <c r="G61" s="21">
        <v>18.8</v>
      </c>
      <c r="H61" s="16">
        <v>22</v>
      </c>
      <c r="I61" s="16">
        <v>1</v>
      </c>
      <c r="J6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61" s="22"/>
      <c r="L61" s="23"/>
      <c r="M61" s="23">
        <f>SUM(Tabela1746810121422303226816192527313336242101214161824262830384024810121416202226283032343624268101214246101224262442626282626810262862366[[#This Row],[Saldo no cartão]:[Recarga Pendente]])</f>
        <v>0</v>
      </c>
      <c r="N61" s="19">
        <f>Tabela1746810121422303226816192527313336242101214161824262830384024810121416202226283032343624268101214246101224262442626282626810262862366[[#This Row],[Uso diário]]*2</f>
        <v>37.6</v>
      </c>
      <c r="O61" s="19">
        <f>Tabela1746810121422303226816192527313336242101214161824262830384024810121416202226283032343624268101214246101224262442626282626810262862366[[#This Row],[Total Acumulado]]-P61</f>
        <v>-94</v>
      </c>
      <c r="P61" s="48">
        <f>Tabela1746810121422303226816192527313336242101214161824262830384024810121416202226283032343624268101214246101224262442626282626810262862366[[#This Row],[Uso diário]]*5</f>
        <v>94</v>
      </c>
      <c r="Q6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6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1" s="25">
        <v>1</v>
      </c>
    </row>
    <row r="62" spans="1:20" s="26" customFormat="1" x14ac:dyDescent="0.25">
      <c r="A62" s="16">
        <v>223493</v>
      </c>
      <c r="B62" s="30" t="s">
        <v>1134</v>
      </c>
      <c r="C62" s="20" t="s">
        <v>628</v>
      </c>
      <c r="D62" s="20" t="s">
        <v>681</v>
      </c>
      <c r="E62" s="20" t="s">
        <v>1660</v>
      </c>
      <c r="F62" s="20" t="s">
        <v>1661</v>
      </c>
      <c r="G62" s="21">
        <v>18.8</v>
      </c>
      <c r="H62" s="16">
        <v>22</v>
      </c>
      <c r="I62" s="16"/>
      <c r="J6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62" s="22"/>
      <c r="L62" s="23"/>
      <c r="M62" s="23">
        <f>SUM(Tabela1746810121422303226816192527313336242101214161824262830384024810121416202226283032343624268101214246101224262442626282626810262862366[[#This Row],[Saldo no cartão]:[Recarga Pendente]])</f>
        <v>0</v>
      </c>
      <c r="N62" s="19">
        <f>Tabela1746810121422303226816192527313336242101214161824262830384024810121416202226283032343624268101214246101224262442626282626810262862366[[#This Row],[Uso diário]]*2</f>
        <v>37.6</v>
      </c>
      <c r="O62" s="19">
        <f>Tabela1746810121422303226816192527313336242101214161824262830384024810121416202226283032343624268101214246101224262442626282626810262862366[[#This Row],[Total Acumulado]]-P62</f>
        <v>-94</v>
      </c>
      <c r="P62" s="48">
        <f>Tabela1746810121422303226816192527313336242101214161824262830384024810121416202226283032343624268101214246101224262442626282626810262862366[[#This Row],[Uso diário]]*5</f>
        <v>94</v>
      </c>
      <c r="Q6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6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2" s="25">
        <v>1</v>
      </c>
    </row>
    <row r="63" spans="1:20" s="26" customFormat="1" x14ac:dyDescent="0.25">
      <c r="A63" s="16">
        <v>224758</v>
      </c>
      <c r="B63" s="30" t="s">
        <v>1027</v>
      </c>
      <c r="C63" s="20" t="s">
        <v>628</v>
      </c>
      <c r="D63" s="20" t="s">
        <v>681</v>
      </c>
      <c r="E63" s="20" t="s">
        <v>1662</v>
      </c>
      <c r="F63" s="20" t="s">
        <v>1663</v>
      </c>
      <c r="G63" s="21">
        <v>10</v>
      </c>
      <c r="H63" s="16">
        <v>22</v>
      </c>
      <c r="I63" s="16"/>
      <c r="J6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63" s="22"/>
      <c r="L63" s="23"/>
      <c r="M63" s="23">
        <f>SUM(Tabela1746810121422303226816192527313336242101214161824262830384024810121416202226283032343624268101214246101224262442626282626810262862366[[#This Row],[Saldo no cartão]:[Recarga Pendente]])</f>
        <v>0</v>
      </c>
      <c r="N63" s="19">
        <f>Tabela1746810121422303226816192527313336242101214161824262830384024810121416202226283032343624268101214246101224262442626282626810262862366[[#This Row],[Uso diário]]*2</f>
        <v>20</v>
      </c>
      <c r="O63" s="19">
        <f>Tabela1746810121422303226816192527313336242101214161824262830384024810121416202226283032343624268101214246101224262442626282626810262862366[[#This Row],[Total Acumulado]]-P63</f>
        <v>-50</v>
      </c>
      <c r="P63" s="48">
        <f>Tabela1746810121422303226816192527313336242101214161824262830384024810121416202226283032343624268101214246101224262442626282626810262862366[[#This Row],[Uso diário]]*5</f>
        <v>50</v>
      </c>
      <c r="Q6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6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3" s="25">
        <v>1</v>
      </c>
    </row>
    <row r="64" spans="1:20" s="26" customFormat="1" x14ac:dyDescent="0.25">
      <c r="A64" s="16">
        <v>218860</v>
      </c>
      <c r="B64" s="30" t="s">
        <v>1028</v>
      </c>
      <c r="C64" s="20" t="s">
        <v>629</v>
      </c>
      <c r="D64" s="20" t="s">
        <v>1125</v>
      </c>
      <c r="E64" s="20" t="s">
        <v>1664</v>
      </c>
      <c r="F64" s="20" t="s">
        <v>1665</v>
      </c>
      <c r="G64" s="21">
        <v>18.8</v>
      </c>
      <c r="H64" s="16">
        <v>26</v>
      </c>
      <c r="I64" s="16">
        <v>1</v>
      </c>
      <c r="J6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64" s="22"/>
      <c r="L64" s="23"/>
      <c r="M64" s="23">
        <f>SUM(Tabela1746810121422303226816192527313336242101214161824262830384024810121416202226283032343624268101214246101224262442626282626810262862366[[#This Row],[Saldo no cartão]:[Recarga Pendente]])</f>
        <v>0</v>
      </c>
      <c r="N64" s="19">
        <f>Tabela1746810121422303226816192527313336242101214161824262830384024810121416202226283032343624268101214246101224262442626282626810262862366[[#This Row],[Uso diário]]*2</f>
        <v>37.6</v>
      </c>
      <c r="O64" s="19">
        <f>Tabela1746810121422303226816192527313336242101214161824262830384024810121416202226283032343624268101214246101224262442626282626810262862366[[#This Row],[Total Acumulado]]-P64</f>
        <v>-94</v>
      </c>
      <c r="P64" s="48">
        <f>Tabela1746810121422303226816192527313336242101214161824262830384024810121416202226283032343624268101214246101224262442626282626810262862366[[#This Row],[Uso diário]]*5</f>
        <v>94</v>
      </c>
      <c r="Q6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6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4" s="25">
        <v>1</v>
      </c>
    </row>
    <row r="65" spans="1:20" s="26" customFormat="1" x14ac:dyDescent="0.25">
      <c r="A65" s="16">
        <v>219905</v>
      </c>
      <c r="B65" s="30" t="s">
        <v>68</v>
      </c>
      <c r="C65" s="20" t="s">
        <v>629</v>
      </c>
      <c r="D65" s="20" t="s">
        <v>925</v>
      </c>
      <c r="E65" s="20" t="s">
        <v>1666</v>
      </c>
      <c r="F65" s="20" t="s">
        <v>1667</v>
      </c>
      <c r="G65" s="21">
        <v>18.8</v>
      </c>
      <c r="H65" s="16">
        <v>22</v>
      </c>
      <c r="I65" s="16">
        <v>2</v>
      </c>
      <c r="J6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65" s="22"/>
      <c r="L65" s="23"/>
      <c r="M65" s="23">
        <f>SUM(Tabela1746810121422303226816192527313336242101214161824262830384024810121416202226283032343624268101214246101224262442626282626810262862366[[#This Row],[Saldo no cartão]:[Recarga Pendente]])</f>
        <v>0</v>
      </c>
      <c r="N65" s="19">
        <f>Tabela1746810121422303226816192527313336242101214161824262830384024810121416202226283032343624268101214246101224262442626282626810262862366[[#This Row],[Uso diário]]*2</f>
        <v>37.6</v>
      </c>
      <c r="O65" s="19">
        <f>Tabela1746810121422303226816192527313336242101214161824262830384024810121416202226283032343624268101214246101224262442626282626810262862366[[#This Row],[Total Acumulado]]-P65</f>
        <v>-94</v>
      </c>
      <c r="P65" s="48">
        <f>Tabela1746810121422303226816192527313336242101214161824262830384024810121416202226283032343624268101214246101224262442626282626810262862366[[#This Row],[Uso diário]]*5</f>
        <v>94</v>
      </c>
      <c r="Q6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6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5" s="25">
        <v>1</v>
      </c>
    </row>
    <row r="66" spans="1:20" s="26" customFormat="1" x14ac:dyDescent="0.25">
      <c r="A66" s="16">
        <v>210024</v>
      </c>
      <c r="B66" s="30" t="s">
        <v>338</v>
      </c>
      <c r="C66" s="20" t="s">
        <v>630</v>
      </c>
      <c r="D66" s="20" t="s">
        <v>809</v>
      </c>
      <c r="E66" s="20" t="s">
        <v>1668</v>
      </c>
      <c r="F66" s="20" t="s">
        <v>1669</v>
      </c>
      <c r="G66" s="21">
        <v>10</v>
      </c>
      <c r="H66" s="16">
        <v>22</v>
      </c>
      <c r="I66" s="16"/>
      <c r="J6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66" s="22"/>
      <c r="L66" s="23"/>
      <c r="M66" s="23">
        <f>SUM(Tabela1746810121422303226816192527313336242101214161824262830384024810121416202226283032343624268101214246101224262442626282626810262862366[[#This Row],[Saldo no cartão]:[Recarga Pendente]])</f>
        <v>0</v>
      </c>
      <c r="N66" s="19">
        <f>Tabela1746810121422303226816192527313336242101214161824262830384024810121416202226283032343624268101214246101224262442626282626810262862366[[#This Row],[Uso diário]]*2</f>
        <v>20</v>
      </c>
      <c r="O66" s="19">
        <f>Tabela1746810121422303226816192527313336242101214161824262830384024810121416202226283032343624268101214246101224262442626282626810262862366[[#This Row],[Total Acumulado]]-P66</f>
        <v>-50</v>
      </c>
      <c r="P66" s="48">
        <f>Tabela1746810121422303226816192527313336242101214161824262830384024810121416202226283032343624268101214246101224262442626282626810262862366[[#This Row],[Uso diário]]*5</f>
        <v>50</v>
      </c>
      <c r="Q6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6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6" s="25">
        <v>1</v>
      </c>
    </row>
    <row r="67" spans="1:20" s="26" customFormat="1" x14ac:dyDescent="0.25">
      <c r="A67" s="16">
        <v>211412</v>
      </c>
      <c r="B67" s="30" t="s">
        <v>1135</v>
      </c>
      <c r="C67" s="20" t="s">
        <v>630</v>
      </c>
      <c r="D67" s="20" t="s">
        <v>1261</v>
      </c>
      <c r="E67" s="20" t="s">
        <v>1670</v>
      </c>
      <c r="F67" s="20" t="s">
        <v>1671</v>
      </c>
      <c r="G67" s="21">
        <v>18.8</v>
      </c>
      <c r="H67" s="16">
        <v>22</v>
      </c>
      <c r="I67" s="16">
        <v>1</v>
      </c>
      <c r="J6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67" s="22"/>
      <c r="L67" s="23"/>
      <c r="M67" s="23">
        <f>SUM(Tabela1746810121422303226816192527313336242101214161824262830384024810121416202226283032343624268101214246101224262442626282626810262862366[[#This Row],[Saldo no cartão]:[Recarga Pendente]])</f>
        <v>0</v>
      </c>
      <c r="N67" s="19">
        <f>Tabela1746810121422303226816192527313336242101214161824262830384024810121416202226283032343624268101214246101224262442626282626810262862366[[#This Row],[Uso diário]]*2</f>
        <v>37.6</v>
      </c>
      <c r="O67" s="19">
        <f>Tabela1746810121422303226816192527313336242101214161824262830384024810121416202226283032343624268101214246101224262442626282626810262862366[[#This Row],[Total Acumulado]]-P67</f>
        <v>-94</v>
      </c>
      <c r="P67" s="48">
        <f>Tabela1746810121422303226816192527313336242101214161824262830384024810121416202226283032343624268101214246101224262442626282626810262862366[[#This Row],[Uso diário]]*5</f>
        <v>94</v>
      </c>
      <c r="Q6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6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7" s="25">
        <v>1</v>
      </c>
    </row>
    <row r="68" spans="1:20" s="26" customFormat="1" x14ac:dyDescent="0.25">
      <c r="A68" s="16">
        <v>214315</v>
      </c>
      <c r="B68" s="30" t="s">
        <v>69</v>
      </c>
      <c r="C68" s="20" t="s">
        <v>630</v>
      </c>
      <c r="D68" s="20" t="s">
        <v>809</v>
      </c>
      <c r="E68" s="20" t="s">
        <v>1672</v>
      </c>
      <c r="F68" s="20" t="s">
        <v>1673</v>
      </c>
      <c r="G68" s="21">
        <v>18.8</v>
      </c>
      <c r="H68" s="16">
        <v>22</v>
      </c>
      <c r="I68" s="16"/>
      <c r="J6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68" s="22"/>
      <c r="L68" s="23"/>
      <c r="M68" s="23">
        <f>SUM(Tabela1746810121422303226816192527313336242101214161824262830384024810121416202226283032343624268101214246101224262442626282626810262862366[[#This Row],[Saldo no cartão]:[Recarga Pendente]])</f>
        <v>0</v>
      </c>
      <c r="N68" s="19">
        <f>Tabela1746810121422303226816192527313336242101214161824262830384024810121416202226283032343624268101214246101224262442626282626810262862366[[#This Row],[Uso diário]]*2</f>
        <v>37.6</v>
      </c>
      <c r="O68" s="19">
        <f>Tabela1746810121422303226816192527313336242101214161824262830384024810121416202226283032343624268101214246101224262442626282626810262862366[[#This Row],[Total Acumulado]]-P68</f>
        <v>-94</v>
      </c>
      <c r="P68" s="48">
        <f>Tabela1746810121422303226816192527313336242101214161824262830384024810121416202226283032343624268101214246101224262442626282626810262862366[[#This Row],[Uso diário]]*5</f>
        <v>94</v>
      </c>
      <c r="Q6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6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68" s="25">
        <v>1</v>
      </c>
    </row>
    <row r="69" spans="1:20" s="26" customFormat="1" ht="22.5" x14ac:dyDescent="0.25">
      <c r="A69" s="16">
        <v>218320</v>
      </c>
      <c r="B69" s="30" t="s">
        <v>70</v>
      </c>
      <c r="C69" s="20" t="s">
        <v>630</v>
      </c>
      <c r="D69" s="20" t="s">
        <v>683</v>
      </c>
      <c r="E69" s="20" t="s">
        <v>4188</v>
      </c>
      <c r="F69" s="20" t="s">
        <v>4183</v>
      </c>
      <c r="G69" s="21">
        <v>18.8</v>
      </c>
      <c r="H69" s="16">
        <v>0</v>
      </c>
      <c r="I69" s="16"/>
      <c r="J6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0</v>
      </c>
      <c r="K69" s="22"/>
      <c r="L69" s="23"/>
      <c r="M69" s="23">
        <f>SUM(Tabela1746810121422303226816192527313336242101214161824262830384024810121416202226283032343624268101214246101224262442626282626810262862366[[#This Row],[Saldo no cartão]:[Recarga Pendente]])</f>
        <v>0</v>
      </c>
      <c r="N69" s="19">
        <f>Tabela1746810121422303226816192527313336242101214161824262830384024810121416202226283032343624268101214246101224262442626282626810262862366[[#This Row],[Uso diário]]*2</f>
        <v>37.6</v>
      </c>
      <c r="O69" s="19">
        <f>Tabela1746810121422303226816192527313336242101214161824262830384024810121416202226283032343624268101214246101224262442626282626810262862366[[#This Row],[Total Acumulado]]-P69</f>
        <v>-94</v>
      </c>
      <c r="P69" s="48">
        <f>Tabela1746810121422303226816192527313336242101214161824262830384024810121416202226283032343624268101214246101224262442626282626810262862366[[#This Row],[Uso diário]]*5</f>
        <v>94</v>
      </c>
      <c r="Q6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6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0</v>
      </c>
      <c r="S69" s="18" t="str">
        <f>IF(Tabela1746810121422303226816192527313336242101214161824262830384024810121416202226283032343624268101214246101224262442626282626810262862366[[#This Row],[Pedido Final]]=0,"NÃO EFETUAR RECARGA","RECARGA NORMAL")</f>
        <v>NÃO EFETUAR RECARGA</v>
      </c>
      <c r="T69" s="25">
        <v>1</v>
      </c>
    </row>
    <row r="70" spans="1:20" s="26" customFormat="1" x14ac:dyDescent="0.25">
      <c r="A70" s="16">
        <v>218391</v>
      </c>
      <c r="B70" s="30" t="s">
        <v>71</v>
      </c>
      <c r="C70" s="20" t="s">
        <v>630</v>
      </c>
      <c r="D70" s="20" t="s">
        <v>810</v>
      </c>
      <c r="E70" s="20" t="s">
        <v>1674</v>
      </c>
      <c r="F70" s="20" t="s">
        <v>1675</v>
      </c>
      <c r="G70" s="21">
        <v>18.8</v>
      </c>
      <c r="H70" s="16">
        <v>11</v>
      </c>
      <c r="I70" s="16"/>
      <c r="J7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206.8</v>
      </c>
      <c r="K70" s="22"/>
      <c r="L70" s="23"/>
      <c r="M70" s="23">
        <f>SUM(Tabela1746810121422303226816192527313336242101214161824262830384024810121416202226283032343624268101214246101224262442626282626810262862366[[#This Row],[Saldo no cartão]:[Recarga Pendente]])</f>
        <v>0</v>
      </c>
      <c r="N70" s="19">
        <f>Tabela1746810121422303226816192527313336242101214161824262830384024810121416202226283032343624268101214246101224262442626282626810262862366[[#This Row],[Uso diário]]*2</f>
        <v>37.6</v>
      </c>
      <c r="O70" s="19">
        <f>Tabela1746810121422303226816192527313336242101214161824262830384024810121416202226283032343624268101214246101224262442626282626810262862366[[#This Row],[Total Acumulado]]-P70</f>
        <v>-94</v>
      </c>
      <c r="P70" s="48">
        <f>Tabela1746810121422303226816192527313336242101214161824262830384024810121416202226283032343624268101214246101224262442626282626810262862366[[#This Row],[Uso diário]]*5</f>
        <v>94</v>
      </c>
      <c r="Q7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206.8</v>
      </c>
      <c r="S7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0" s="25">
        <v>1</v>
      </c>
    </row>
    <row r="71" spans="1:20" s="26" customFormat="1" x14ac:dyDescent="0.25">
      <c r="A71" s="16">
        <v>222508</v>
      </c>
      <c r="B71" s="30" t="s">
        <v>72</v>
      </c>
      <c r="C71" s="20" t="s">
        <v>630</v>
      </c>
      <c r="D71" s="20" t="s">
        <v>810</v>
      </c>
      <c r="E71" s="20" t="s">
        <v>1676</v>
      </c>
      <c r="F71" s="20" t="s">
        <v>1677</v>
      </c>
      <c r="G71" s="21">
        <v>18.8</v>
      </c>
      <c r="H71" s="16">
        <v>22</v>
      </c>
      <c r="I71" s="16">
        <v>2</v>
      </c>
      <c r="J7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71" s="22"/>
      <c r="L71" s="23"/>
      <c r="M71" s="23">
        <f>SUM(Tabela1746810121422303226816192527313336242101214161824262830384024810121416202226283032343624268101214246101224262442626282626810262862366[[#This Row],[Saldo no cartão]:[Recarga Pendente]])</f>
        <v>0</v>
      </c>
      <c r="N71" s="19">
        <f>Tabela1746810121422303226816192527313336242101214161824262830384024810121416202226283032343624268101214246101224262442626282626810262862366[[#This Row],[Uso diário]]*2</f>
        <v>37.6</v>
      </c>
      <c r="O71" s="19">
        <f>Tabela1746810121422303226816192527313336242101214161824262830384024810121416202226283032343624268101214246101224262442626282626810262862366[[#This Row],[Total Acumulado]]-P71</f>
        <v>-94</v>
      </c>
      <c r="P71" s="48">
        <f>Tabela1746810121422303226816192527313336242101214161824262830384024810121416202226283032343624268101214246101224262442626282626810262862366[[#This Row],[Uso diário]]*5</f>
        <v>94</v>
      </c>
      <c r="Q7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7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1" s="25">
        <v>1</v>
      </c>
    </row>
    <row r="72" spans="1:20" s="26" customFormat="1" x14ac:dyDescent="0.25">
      <c r="A72" s="16">
        <v>226793</v>
      </c>
      <c r="B72" s="30" t="s">
        <v>313</v>
      </c>
      <c r="C72" s="20" t="s">
        <v>630</v>
      </c>
      <c r="D72" s="20" t="s">
        <v>809</v>
      </c>
      <c r="E72" s="20" t="s">
        <v>1678</v>
      </c>
      <c r="F72" s="20" t="s">
        <v>1679</v>
      </c>
      <c r="G72" s="21">
        <v>18.8</v>
      </c>
      <c r="H72" s="16">
        <v>22</v>
      </c>
      <c r="I72" s="16"/>
      <c r="J7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72" s="22"/>
      <c r="L72" s="23"/>
      <c r="M72" s="23">
        <f>SUM(Tabela1746810121422303226816192527313336242101214161824262830384024810121416202226283032343624268101214246101224262442626282626810262862366[[#This Row],[Saldo no cartão]:[Recarga Pendente]])</f>
        <v>0</v>
      </c>
      <c r="N72" s="19">
        <f>Tabela1746810121422303226816192527313336242101214161824262830384024810121416202226283032343624268101214246101224262442626282626810262862366[[#This Row],[Uso diário]]*2</f>
        <v>37.6</v>
      </c>
      <c r="O72" s="19">
        <f>Tabela1746810121422303226816192527313336242101214161824262830384024810121416202226283032343624268101214246101224262442626282626810262862366[[#This Row],[Total Acumulado]]-P72</f>
        <v>-94</v>
      </c>
      <c r="P72" s="48">
        <f>Tabela1746810121422303226816192527313336242101214161824262830384024810121416202226283032343624268101214246101224262442626282626810262862366[[#This Row],[Uso diário]]*5</f>
        <v>94</v>
      </c>
      <c r="Q7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7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2" s="25">
        <v>1</v>
      </c>
    </row>
    <row r="73" spans="1:20" s="26" customFormat="1" x14ac:dyDescent="0.25">
      <c r="A73" s="16">
        <v>229586</v>
      </c>
      <c r="B73" s="30" t="s">
        <v>456</v>
      </c>
      <c r="C73" s="20" t="s">
        <v>630</v>
      </c>
      <c r="D73" s="20" t="s">
        <v>736</v>
      </c>
      <c r="E73" s="20" t="s">
        <v>1680</v>
      </c>
      <c r="F73" s="20" t="s">
        <v>1681</v>
      </c>
      <c r="G73" s="21">
        <v>18.8</v>
      </c>
      <c r="H73" s="16">
        <v>22</v>
      </c>
      <c r="I73" s="16"/>
      <c r="J7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73" s="22"/>
      <c r="L73" s="23"/>
      <c r="M73" s="23">
        <f>SUM(Tabela1746810121422303226816192527313336242101214161824262830384024810121416202226283032343624268101214246101224262442626282626810262862366[[#This Row],[Saldo no cartão]:[Recarga Pendente]])</f>
        <v>0</v>
      </c>
      <c r="N73" s="19">
        <f>Tabela1746810121422303226816192527313336242101214161824262830384024810121416202226283032343624268101214246101224262442626282626810262862366[[#This Row],[Uso diário]]*2</f>
        <v>37.6</v>
      </c>
      <c r="O73" s="19">
        <f>Tabela1746810121422303226816192527313336242101214161824262830384024810121416202226283032343624268101214246101224262442626282626810262862366[[#This Row],[Total Acumulado]]-P73</f>
        <v>-94</v>
      </c>
      <c r="P73" s="48">
        <f>Tabela1746810121422303226816192527313336242101214161824262830384024810121416202226283032343624268101214246101224262442626282626810262862366[[#This Row],[Uso diário]]*5</f>
        <v>94</v>
      </c>
      <c r="Q7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7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3" s="25">
        <v>1</v>
      </c>
    </row>
    <row r="74" spans="1:20" s="26" customFormat="1" x14ac:dyDescent="0.25">
      <c r="A74" s="16">
        <v>233309</v>
      </c>
      <c r="B74" s="30" t="s">
        <v>957</v>
      </c>
      <c r="C74" s="20" t="s">
        <v>630</v>
      </c>
      <c r="D74" s="20" t="s">
        <v>736</v>
      </c>
      <c r="E74" s="20" t="s">
        <v>1682</v>
      </c>
      <c r="F74" s="20" t="s">
        <v>1683</v>
      </c>
      <c r="G74" s="21">
        <v>18.8</v>
      </c>
      <c r="H74" s="16">
        <v>22</v>
      </c>
      <c r="I74" s="16"/>
      <c r="J7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74" s="22"/>
      <c r="L74" s="23"/>
      <c r="M74" s="23">
        <f>SUM(Tabela1746810121422303226816192527313336242101214161824262830384024810121416202226283032343624268101214246101224262442626282626810262862366[[#This Row],[Saldo no cartão]:[Recarga Pendente]])</f>
        <v>0</v>
      </c>
      <c r="N74" s="19">
        <f>Tabela1746810121422303226816192527313336242101214161824262830384024810121416202226283032343624268101214246101224262442626282626810262862366[[#This Row],[Uso diário]]*2</f>
        <v>37.6</v>
      </c>
      <c r="O74" s="19">
        <f>Tabela1746810121422303226816192527313336242101214161824262830384024810121416202226283032343624268101214246101224262442626282626810262862366[[#This Row],[Total Acumulado]]-P74</f>
        <v>-94</v>
      </c>
      <c r="P74" s="48">
        <f>Tabela1746810121422303226816192527313336242101214161824262830384024810121416202226283032343624268101214246101224262442626282626810262862366[[#This Row],[Uso diário]]*5</f>
        <v>94</v>
      </c>
      <c r="Q7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7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4" s="25">
        <v>1</v>
      </c>
    </row>
    <row r="75" spans="1:20" s="26" customFormat="1" x14ac:dyDescent="0.25">
      <c r="A75" s="16">
        <v>200332</v>
      </c>
      <c r="B75" s="30" t="s">
        <v>73</v>
      </c>
      <c r="C75" s="20" t="s">
        <v>631</v>
      </c>
      <c r="D75" s="20" t="s">
        <v>684</v>
      </c>
      <c r="E75" s="20" t="s">
        <v>1684</v>
      </c>
      <c r="F75" s="20" t="s">
        <v>1685</v>
      </c>
      <c r="G75" s="21">
        <v>18.8</v>
      </c>
      <c r="H75" s="16">
        <v>26</v>
      </c>
      <c r="I75" s="16">
        <v>3</v>
      </c>
      <c r="J7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75" s="22"/>
      <c r="L75" s="23"/>
      <c r="M75" s="23">
        <f>SUM(Tabela1746810121422303226816192527313336242101214161824262830384024810121416202226283032343624268101214246101224262442626282626810262862366[[#This Row],[Saldo no cartão]:[Recarga Pendente]])</f>
        <v>0</v>
      </c>
      <c r="N75" s="19">
        <f>Tabela1746810121422303226816192527313336242101214161824262830384024810121416202226283032343624268101214246101224262442626282626810262862366[[#This Row],[Uso diário]]*2</f>
        <v>37.6</v>
      </c>
      <c r="O75" s="19">
        <f>Tabela1746810121422303226816192527313336242101214161824262830384024810121416202226283032343624268101214246101224262442626282626810262862366[[#This Row],[Total Acumulado]]-P75</f>
        <v>-94</v>
      </c>
      <c r="P75" s="48">
        <f>Tabela1746810121422303226816192527313336242101214161824262830384024810121416202226283032343624268101214246101224262442626282626810262862366[[#This Row],[Uso diário]]*5</f>
        <v>94</v>
      </c>
      <c r="Q7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7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5" s="25">
        <v>1</v>
      </c>
    </row>
    <row r="76" spans="1:20" s="26" customFormat="1" x14ac:dyDescent="0.25">
      <c r="A76" s="16">
        <v>223002</v>
      </c>
      <c r="B76" s="30" t="s">
        <v>74</v>
      </c>
      <c r="C76" s="20" t="s">
        <v>631</v>
      </c>
      <c r="D76" s="20" t="s">
        <v>684</v>
      </c>
      <c r="E76" s="20" t="s">
        <v>1686</v>
      </c>
      <c r="F76" s="20" t="s">
        <v>1687</v>
      </c>
      <c r="G76" s="21">
        <v>18.8</v>
      </c>
      <c r="H76" s="16">
        <v>26</v>
      </c>
      <c r="I76" s="16">
        <v>1</v>
      </c>
      <c r="J7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76" s="22"/>
      <c r="L76" s="23">
        <v>18.8</v>
      </c>
      <c r="M76" s="23">
        <f>SUM(Tabela1746810121422303226816192527313336242101214161824262830384024810121416202226283032343624268101214246101224262442626282626810262862366[[#This Row],[Saldo no cartão]:[Recarga Pendente]])</f>
        <v>18.8</v>
      </c>
      <c r="N76" s="19">
        <f>Tabela1746810121422303226816192527313336242101214161824262830384024810121416202226283032343624268101214246101224262442626282626810262862366[[#This Row],[Uso diário]]*2</f>
        <v>37.6</v>
      </c>
      <c r="O76" s="19">
        <f>Tabela1746810121422303226816192527313336242101214161824262830384024810121416202226283032343624268101214246101224262442626282626810262862366[[#This Row],[Total Acumulado]]-P76</f>
        <v>-75.2</v>
      </c>
      <c r="P76" s="48">
        <f>Tabela1746810121422303226816192527313336242101214161824262830384024810121416202226283032343624268101214246101224262442626282626810262862366[[#This Row],[Uso diário]]*5</f>
        <v>94</v>
      </c>
      <c r="Q7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7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6" s="25">
        <v>1</v>
      </c>
    </row>
    <row r="77" spans="1:20" s="26" customFormat="1" x14ac:dyDescent="0.25">
      <c r="A77" s="16">
        <v>223406</v>
      </c>
      <c r="B77" s="30" t="s">
        <v>1025</v>
      </c>
      <c r="C77" s="20" t="s">
        <v>631</v>
      </c>
      <c r="D77" s="20" t="s">
        <v>684</v>
      </c>
      <c r="E77" s="20" t="s">
        <v>1688</v>
      </c>
      <c r="F77" s="20" t="s">
        <v>1689</v>
      </c>
      <c r="G77" s="21">
        <v>18.8</v>
      </c>
      <c r="H77" s="16">
        <v>22</v>
      </c>
      <c r="I77" s="16"/>
      <c r="J7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77" s="22"/>
      <c r="L77" s="23"/>
      <c r="M77" s="23">
        <f>SUM(Tabela1746810121422303226816192527313336242101214161824262830384024810121416202226283032343624268101214246101224262442626282626810262862366[[#This Row],[Saldo no cartão]:[Recarga Pendente]])</f>
        <v>0</v>
      </c>
      <c r="N77" s="19">
        <f>Tabela1746810121422303226816192527313336242101214161824262830384024810121416202226283032343624268101214246101224262442626282626810262862366[[#This Row],[Uso diário]]*2</f>
        <v>37.6</v>
      </c>
      <c r="O77" s="19">
        <f>Tabela1746810121422303226816192527313336242101214161824262830384024810121416202226283032343624268101214246101224262442626282626810262862366[[#This Row],[Total Acumulado]]-P77</f>
        <v>-94</v>
      </c>
      <c r="P77" s="48">
        <f>Tabela1746810121422303226816192527313336242101214161824262830384024810121416202226283032343624268101214246101224262442626282626810262862366[[#This Row],[Uso diário]]*5</f>
        <v>94</v>
      </c>
      <c r="Q7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7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7" s="25">
        <v>1</v>
      </c>
    </row>
    <row r="78" spans="1:20" s="26" customFormat="1" x14ac:dyDescent="0.25">
      <c r="A78" s="16">
        <v>223553</v>
      </c>
      <c r="B78" s="30" t="s">
        <v>75</v>
      </c>
      <c r="C78" s="20" t="s">
        <v>632</v>
      </c>
      <c r="D78" s="20" t="s">
        <v>685</v>
      </c>
      <c r="E78" s="20" t="s">
        <v>1690</v>
      </c>
      <c r="F78" s="20" t="s">
        <v>1691</v>
      </c>
      <c r="G78" s="21">
        <v>18.8</v>
      </c>
      <c r="H78" s="16">
        <v>26</v>
      </c>
      <c r="I78" s="16">
        <v>1</v>
      </c>
      <c r="J7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78" s="22"/>
      <c r="L78" s="23"/>
      <c r="M78" s="23">
        <f>SUM(Tabela1746810121422303226816192527313336242101214161824262830384024810121416202226283032343624268101214246101224262442626282626810262862366[[#This Row],[Saldo no cartão]:[Recarga Pendente]])</f>
        <v>0</v>
      </c>
      <c r="N78" s="19">
        <f>Tabela1746810121422303226816192527313336242101214161824262830384024810121416202226283032343624268101214246101224262442626282626810262862366[[#This Row],[Uso diário]]*2</f>
        <v>37.6</v>
      </c>
      <c r="O78" s="19">
        <f>Tabela1746810121422303226816192527313336242101214161824262830384024810121416202226283032343624268101214246101224262442626282626810262862366[[#This Row],[Total Acumulado]]-P78</f>
        <v>-94</v>
      </c>
      <c r="P78" s="48">
        <f>Tabela1746810121422303226816192527313336242101214161824262830384024810121416202226283032343624268101214246101224262442626282626810262862366[[#This Row],[Uso diário]]*5</f>
        <v>94</v>
      </c>
      <c r="Q7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7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7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78" s="25">
        <v>1</v>
      </c>
    </row>
    <row r="79" spans="1:20" s="26" customFormat="1" x14ac:dyDescent="0.25">
      <c r="A79" s="16">
        <v>70088</v>
      </c>
      <c r="B79" s="30" t="s">
        <v>284</v>
      </c>
      <c r="C79" s="20" t="s">
        <v>633</v>
      </c>
      <c r="D79" s="20" t="s">
        <v>686</v>
      </c>
      <c r="E79" s="20" t="s">
        <v>1692</v>
      </c>
      <c r="F79" s="20" t="s">
        <v>1693</v>
      </c>
      <c r="G79" s="21">
        <v>18.8</v>
      </c>
      <c r="H79" s="16">
        <v>26</v>
      </c>
      <c r="I79" s="16"/>
      <c r="J7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79" s="22"/>
      <c r="L79" s="23">
        <v>150.4</v>
      </c>
      <c r="M79" s="23">
        <f>SUM(Tabela1746810121422303226816192527313336242101214161824262830384024810121416202226283032343624268101214246101224262442626282626810262862366[[#This Row],[Saldo no cartão]:[Recarga Pendente]])</f>
        <v>150.4</v>
      </c>
      <c r="N79" s="19">
        <f>Tabela1746810121422303226816192527313336242101214161824262830384024810121416202226283032343624268101214246101224262442626282626810262862366[[#This Row],[Uso diário]]*2</f>
        <v>37.6</v>
      </c>
      <c r="O79" s="19">
        <f>Tabela1746810121422303226816192527313336242101214161824262830384024810121416202226283032343624268101214246101224262442626282626810262862366[[#This Row],[Total Acumulado]]-P79</f>
        <v>56.400000000000006</v>
      </c>
      <c r="P79" s="48">
        <f>Tabela1746810121422303226816192527313336242101214161824262830384024810121416202226283032343624268101214246101224262442626282626810262862366[[#This Row],[Uso diário]]*5</f>
        <v>94</v>
      </c>
      <c r="Q7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56.400000000000006</v>
      </c>
      <c r="R7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</v>
      </c>
      <c r="S79" s="18" t="s">
        <v>11</v>
      </c>
      <c r="T79" s="25">
        <v>1</v>
      </c>
    </row>
    <row r="80" spans="1:20" s="26" customFormat="1" x14ac:dyDescent="0.25">
      <c r="A80" s="16">
        <v>212467</v>
      </c>
      <c r="B80" s="30" t="s">
        <v>340</v>
      </c>
      <c r="C80" s="20" t="s">
        <v>633</v>
      </c>
      <c r="D80" s="20" t="s">
        <v>686</v>
      </c>
      <c r="E80" s="20" t="s">
        <v>1694</v>
      </c>
      <c r="F80" s="20" t="s">
        <v>1695</v>
      </c>
      <c r="G80" s="21">
        <v>18.8</v>
      </c>
      <c r="H80" s="16">
        <v>26</v>
      </c>
      <c r="I80" s="16"/>
      <c r="J8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80" s="22"/>
      <c r="L80" s="23"/>
      <c r="M80" s="23">
        <f>SUM(Tabela1746810121422303226816192527313336242101214161824262830384024810121416202226283032343624268101214246101224262442626282626810262862366[[#This Row],[Saldo no cartão]:[Recarga Pendente]])</f>
        <v>0</v>
      </c>
      <c r="N80" s="19">
        <f>Tabela1746810121422303226816192527313336242101214161824262830384024810121416202226283032343624268101214246101224262442626282626810262862366[[#This Row],[Uso diário]]*2</f>
        <v>37.6</v>
      </c>
      <c r="O80" s="19">
        <f>Tabela1746810121422303226816192527313336242101214161824262830384024810121416202226283032343624268101214246101224262442626282626810262862366[[#This Row],[Total Acumulado]]-P80</f>
        <v>-94</v>
      </c>
      <c r="P80" s="48">
        <f>Tabela1746810121422303226816192527313336242101214161824262830384024810121416202226283032343624268101214246101224262442626282626810262862366[[#This Row],[Uso diário]]*5</f>
        <v>94</v>
      </c>
      <c r="Q8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8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0" s="25">
        <v>1</v>
      </c>
    </row>
    <row r="81" spans="1:20" s="26" customFormat="1" x14ac:dyDescent="0.25">
      <c r="A81" s="16">
        <v>211151</v>
      </c>
      <c r="B81" s="30" t="s">
        <v>76</v>
      </c>
      <c r="C81" s="20" t="s">
        <v>634</v>
      </c>
      <c r="D81" s="20" t="s">
        <v>688</v>
      </c>
      <c r="E81" s="20" t="s">
        <v>1696</v>
      </c>
      <c r="F81" s="20" t="s">
        <v>1697</v>
      </c>
      <c r="G81" s="21">
        <v>13.4</v>
      </c>
      <c r="H81" s="16">
        <v>22</v>
      </c>
      <c r="I81" s="16">
        <v>1</v>
      </c>
      <c r="J8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281.40000000000003</v>
      </c>
      <c r="K81" s="22"/>
      <c r="L81" s="23"/>
      <c r="M81" s="23">
        <f>SUM(Tabela1746810121422303226816192527313336242101214161824262830384024810121416202226283032343624268101214246101224262442626282626810262862366[[#This Row],[Saldo no cartão]:[Recarga Pendente]])</f>
        <v>0</v>
      </c>
      <c r="N81" s="19">
        <f>Tabela1746810121422303226816192527313336242101214161824262830384024810121416202226283032343624268101214246101224262442626282626810262862366[[#This Row],[Uso diário]]*2</f>
        <v>26.8</v>
      </c>
      <c r="O81" s="19">
        <f>Tabela1746810121422303226816192527313336242101214161824262830384024810121416202226283032343624268101214246101224262442626282626810262862366[[#This Row],[Total Acumulado]]-P81</f>
        <v>-67</v>
      </c>
      <c r="P81" s="48">
        <f>Tabela1746810121422303226816192527313336242101214161824262830384024810121416202226283032343624268101214246101224262442626282626810262862366[[#This Row],[Uso diário]]*5</f>
        <v>67</v>
      </c>
      <c r="Q8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281.40000000000003</v>
      </c>
      <c r="S8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1" s="25">
        <v>1</v>
      </c>
    </row>
    <row r="82" spans="1:20" s="26" customFormat="1" x14ac:dyDescent="0.25">
      <c r="A82" s="16">
        <v>231397</v>
      </c>
      <c r="B82" s="30" t="s">
        <v>781</v>
      </c>
      <c r="C82" s="20" t="s">
        <v>634</v>
      </c>
      <c r="D82" s="20" t="s">
        <v>687</v>
      </c>
      <c r="E82" s="20" t="s">
        <v>1698</v>
      </c>
      <c r="F82" s="20" t="s">
        <v>1699</v>
      </c>
      <c r="G82" s="21">
        <v>13.4</v>
      </c>
      <c r="H82" s="16">
        <v>22</v>
      </c>
      <c r="I82" s="16">
        <v>1</v>
      </c>
      <c r="J8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281.40000000000003</v>
      </c>
      <c r="K82" s="22"/>
      <c r="L82" s="23">
        <v>11.9</v>
      </c>
      <c r="M82" s="23">
        <f>SUM(Tabela1746810121422303226816192527313336242101214161824262830384024810121416202226283032343624268101214246101224262442626282626810262862366[[#This Row],[Saldo no cartão]:[Recarga Pendente]])</f>
        <v>11.9</v>
      </c>
      <c r="N82" s="19">
        <f>Tabela1746810121422303226816192527313336242101214161824262830384024810121416202226283032343624268101214246101224262442626282626810262862366[[#This Row],[Uso diário]]*2</f>
        <v>26.8</v>
      </c>
      <c r="O82" s="19">
        <f>Tabela1746810121422303226816192527313336242101214161824262830384024810121416202226283032343624268101214246101224262442626282626810262862366[[#This Row],[Total Acumulado]]-P82</f>
        <v>-55.1</v>
      </c>
      <c r="P82" s="48">
        <f>Tabela1746810121422303226816192527313336242101214161824262830384024810121416202226283032343624268101214246101224262442626282626810262862366[[#This Row],[Uso diário]]*5</f>
        <v>67</v>
      </c>
      <c r="Q8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281.40000000000003</v>
      </c>
      <c r="S8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2" s="25">
        <v>1</v>
      </c>
    </row>
    <row r="83" spans="1:20" s="26" customFormat="1" x14ac:dyDescent="0.25">
      <c r="A83" s="16">
        <v>214435</v>
      </c>
      <c r="B83" s="30" t="s">
        <v>78</v>
      </c>
      <c r="C83" s="20" t="s">
        <v>635</v>
      </c>
      <c r="D83" s="20" t="s">
        <v>689</v>
      </c>
      <c r="E83" s="20" t="s">
        <v>1700</v>
      </c>
      <c r="F83" s="20" t="s">
        <v>1701</v>
      </c>
      <c r="G83" s="21">
        <v>18.8</v>
      </c>
      <c r="H83" s="16">
        <v>22</v>
      </c>
      <c r="I83" s="16"/>
      <c r="J8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83" s="22"/>
      <c r="L83" s="23"/>
      <c r="M83" s="23">
        <f>SUM(Tabela1746810121422303226816192527313336242101214161824262830384024810121416202226283032343624268101214246101224262442626282626810262862366[[#This Row],[Saldo no cartão]:[Recarga Pendente]])</f>
        <v>0</v>
      </c>
      <c r="N83" s="19">
        <f>Tabela1746810121422303226816192527313336242101214161824262830384024810121416202226283032343624268101214246101224262442626282626810262862366[[#This Row],[Uso diário]]*2</f>
        <v>37.6</v>
      </c>
      <c r="O83" s="19">
        <f>Tabela1746810121422303226816192527313336242101214161824262830384024810121416202226283032343624268101214246101224262442626282626810262862366[[#This Row],[Total Acumulado]]-P83</f>
        <v>-94</v>
      </c>
      <c r="P83" s="48">
        <f>Tabela1746810121422303226816192527313336242101214161824262830384024810121416202226283032343624268101214246101224262442626282626810262862366[[#This Row],[Uso diário]]*5</f>
        <v>94</v>
      </c>
      <c r="Q8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8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3" s="25">
        <v>1</v>
      </c>
    </row>
    <row r="84" spans="1:20" s="26" customFormat="1" x14ac:dyDescent="0.25">
      <c r="A84" s="16">
        <v>215803</v>
      </c>
      <c r="B84" s="30" t="s">
        <v>79</v>
      </c>
      <c r="C84" s="20" t="s">
        <v>635</v>
      </c>
      <c r="D84" s="20" t="s">
        <v>689</v>
      </c>
      <c r="E84" s="20" t="s">
        <v>1702</v>
      </c>
      <c r="F84" s="20" t="s">
        <v>1703</v>
      </c>
      <c r="G84" s="21">
        <v>18.8</v>
      </c>
      <c r="H84" s="16">
        <v>22</v>
      </c>
      <c r="I84" s="16"/>
      <c r="J8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84" s="22"/>
      <c r="L84" s="23"/>
      <c r="M84" s="23">
        <f>SUM(Tabela1746810121422303226816192527313336242101214161824262830384024810121416202226283032343624268101214246101224262442626282626810262862366[[#This Row],[Saldo no cartão]:[Recarga Pendente]])</f>
        <v>0</v>
      </c>
      <c r="N84" s="19">
        <f>Tabela1746810121422303226816192527313336242101214161824262830384024810121416202226283032343624268101214246101224262442626282626810262862366[[#This Row],[Uso diário]]*2</f>
        <v>37.6</v>
      </c>
      <c r="O84" s="19">
        <f>Tabela1746810121422303226816192527313336242101214161824262830384024810121416202226283032343624268101214246101224262442626282626810262862366[[#This Row],[Total Acumulado]]-P84</f>
        <v>-94</v>
      </c>
      <c r="P84" s="48">
        <f>Tabela1746810121422303226816192527313336242101214161824262830384024810121416202226283032343624268101214246101224262442626282626810262862366[[#This Row],[Uso diário]]*5</f>
        <v>94</v>
      </c>
      <c r="Q8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8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4" s="25">
        <v>1</v>
      </c>
    </row>
    <row r="85" spans="1:20" s="26" customFormat="1" x14ac:dyDescent="0.25">
      <c r="A85" s="16">
        <v>217087</v>
      </c>
      <c r="B85" s="30" t="s">
        <v>60</v>
      </c>
      <c r="C85" s="20" t="s">
        <v>635</v>
      </c>
      <c r="D85" s="20" t="s">
        <v>689</v>
      </c>
      <c r="E85" s="20" t="s">
        <v>1704</v>
      </c>
      <c r="F85" s="20" t="s">
        <v>1705</v>
      </c>
      <c r="G85" s="21">
        <v>18.8</v>
      </c>
      <c r="H85" s="16">
        <v>22</v>
      </c>
      <c r="I85" s="16"/>
      <c r="J8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85" s="22"/>
      <c r="L85" s="23"/>
      <c r="M85" s="23">
        <f>SUM(Tabela1746810121422303226816192527313336242101214161824262830384024810121416202226283032343624268101214246101224262442626282626810262862366[[#This Row],[Saldo no cartão]:[Recarga Pendente]])</f>
        <v>0</v>
      </c>
      <c r="N85" s="19">
        <f>Tabela1746810121422303226816192527313336242101214161824262830384024810121416202226283032343624268101214246101224262442626282626810262862366[[#This Row],[Uso diário]]*2</f>
        <v>37.6</v>
      </c>
      <c r="O85" s="19">
        <f>Tabela1746810121422303226816192527313336242101214161824262830384024810121416202226283032343624268101214246101224262442626282626810262862366[[#This Row],[Total Acumulado]]-P85</f>
        <v>-94</v>
      </c>
      <c r="P85" s="48">
        <f>Tabela1746810121422303226816192527313336242101214161824262830384024810121416202226283032343624268101214246101224262442626282626810262862366[[#This Row],[Uso diário]]*5</f>
        <v>94</v>
      </c>
      <c r="Q8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8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5" s="25">
        <v>1</v>
      </c>
    </row>
    <row r="86" spans="1:20" s="26" customFormat="1" x14ac:dyDescent="0.25">
      <c r="A86" s="16">
        <v>219411</v>
      </c>
      <c r="B86" s="30" t="s">
        <v>1029</v>
      </c>
      <c r="C86" s="20" t="s">
        <v>635</v>
      </c>
      <c r="D86" s="20" t="s">
        <v>689</v>
      </c>
      <c r="E86" s="20" t="s">
        <v>1706</v>
      </c>
      <c r="F86" s="20" t="s">
        <v>1707</v>
      </c>
      <c r="G86" s="21">
        <v>18.8</v>
      </c>
      <c r="H86" s="16">
        <v>22</v>
      </c>
      <c r="I86" s="16"/>
      <c r="J8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86" s="22"/>
      <c r="L86" s="23"/>
      <c r="M86" s="23">
        <f>SUM(Tabela1746810121422303226816192527313336242101214161824262830384024810121416202226283032343624268101214246101224262442626282626810262862366[[#This Row],[Saldo no cartão]:[Recarga Pendente]])</f>
        <v>0</v>
      </c>
      <c r="N86" s="19">
        <f>Tabela1746810121422303226816192527313336242101214161824262830384024810121416202226283032343624268101214246101224262442626282626810262862366[[#This Row],[Uso diário]]*2</f>
        <v>37.6</v>
      </c>
      <c r="O86" s="19">
        <f>Tabela1746810121422303226816192527313336242101214161824262830384024810121416202226283032343624268101214246101224262442626282626810262862366[[#This Row],[Total Acumulado]]-P86</f>
        <v>-94</v>
      </c>
      <c r="P86" s="48">
        <f>Tabela1746810121422303226816192527313336242101214161824262830384024810121416202226283032343624268101214246101224262442626282626810262862366[[#This Row],[Uso diário]]*5</f>
        <v>94</v>
      </c>
      <c r="Q8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8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6" s="25">
        <v>1</v>
      </c>
    </row>
    <row r="87" spans="1:20" s="26" customFormat="1" x14ac:dyDescent="0.25">
      <c r="A87" s="16">
        <v>223052</v>
      </c>
      <c r="B87" s="30" t="s">
        <v>102</v>
      </c>
      <c r="C87" s="20" t="s">
        <v>635</v>
      </c>
      <c r="D87" s="20" t="s">
        <v>698</v>
      </c>
      <c r="E87" s="20" t="s">
        <v>1708</v>
      </c>
      <c r="F87" s="20" t="s">
        <v>1709</v>
      </c>
      <c r="G87" s="21">
        <v>10</v>
      </c>
      <c r="H87" s="16">
        <v>26</v>
      </c>
      <c r="I87" s="16"/>
      <c r="J8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260</v>
      </c>
      <c r="K87" s="22"/>
      <c r="L87" s="23"/>
      <c r="M87" s="23">
        <f>SUM(Tabela1746810121422303226816192527313336242101214161824262830384024810121416202226283032343624268101214246101224262442626282626810262862366[[#This Row],[Saldo no cartão]:[Recarga Pendente]])</f>
        <v>0</v>
      </c>
      <c r="N87" s="19">
        <f>Tabela1746810121422303226816192527313336242101214161824262830384024810121416202226283032343624268101214246101224262442626282626810262862366[[#This Row],[Uso diário]]*2</f>
        <v>20</v>
      </c>
      <c r="O87" s="19">
        <f>Tabela1746810121422303226816192527313336242101214161824262830384024810121416202226283032343624268101214246101224262442626282626810262862366[[#This Row],[Total Acumulado]]-P87</f>
        <v>-50</v>
      </c>
      <c r="P87" s="48">
        <f>Tabela1746810121422303226816192527313336242101214161824262830384024810121416202226283032343624268101214246101224262442626282626810262862366[[#This Row],[Uso diário]]*5</f>
        <v>50</v>
      </c>
      <c r="Q8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260</v>
      </c>
      <c r="S8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7" s="25">
        <v>1</v>
      </c>
    </row>
    <row r="88" spans="1:20" s="26" customFormat="1" x14ac:dyDescent="0.25">
      <c r="A88" s="16">
        <v>223903</v>
      </c>
      <c r="B88" s="30" t="s">
        <v>549</v>
      </c>
      <c r="C88" s="20" t="s">
        <v>635</v>
      </c>
      <c r="D88" s="20" t="s">
        <v>689</v>
      </c>
      <c r="E88" s="20" t="s">
        <v>1710</v>
      </c>
      <c r="F88" s="20" t="s">
        <v>1711</v>
      </c>
      <c r="G88" s="21">
        <v>18.8</v>
      </c>
      <c r="H88" s="16">
        <v>22</v>
      </c>
      <c r="I88" s="16">
        <v>2</v>
      </c>
      <c r="J8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88" s="22"/>
      <c r="L88" s="23"/>
      <c r="M88" s="23">
        <f>SUM(Tabela1746810121422303226816192527313336242101214161824262830384024810121416202226283032343624268101214246101224262442626282626810262862366[[#This Row],[Saldo no cartão]:[Recarga Pendente]])</f>
        <v>0</v>
      </c>
      <c r="N88" s="19">
        <f>Tabela1746810121422303226816192527313336242101214161824262830384024810121416202226283032343624268101214246101224262442626282626810262862366[[#This Row],[Uso diário]]*2</f>
        <v>37.6</v>
      </c>
      <c r="O88" s="19">
        <f>Tabela1746810121422303226816192527313336242101214161824262830384024810121416202226283032343624268101214246101224262442626282626810262862366[[#This Row],[Total Acumulado]]-P88</f>
        <v>-94</v>
      </c>
      <c r="P88" s="48">
        <f>Tabela1746810121422303226816192527313336242101214161824262830384024810121416202226283032343624268101214246101224262442626282626810262862366[[#This Row],[Uso diário]]*5</f>
        <v>94</v>
      </c>
      <c r="Q8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8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8" s="25">
        <v>1</v>
      </c>
    </row>
    <row r="89" spans="1:20" s="26" customFormat="1" x14ac:dyDescent="0.25">
      <c r="A89" s="16">
        <v>224432</v>
      </c>
      <c r="B89" s="30" t="s">
        <v>1136</v>
      </c>
      <c r="C89" s="20" t="s">
        <v>635</v>
      </c>
      <c r="D89" s="20" t="s">
        <v>689</v>
      </c>
      <c r="E89" s="20" t="s">
        <v>1712</v>
      </c>
      <c r="F89" s="20" t="s">
        <v>1713</v>
      </c>
      <c r="G89" s="21">
        <v>10</v>
      </c>
      <c r="H89" s="16">
        <v>22</v>
      </c>
      <c r="I89" s="16"/>
      <c r="J8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89" s="22"/>
      <c r="L89" s="23"/>
      <c r="M89" s="23">
        <f>SUM(Tabela1746810121422303226816192527313336242101214161824262830384024810121416202226283032343624268101214246101224262442626282626810262862366[[#This Row],[Saldo no cartão]:[Recarga Pendente]])</f>
        <v>0</v>
      </c>
      <c r="N89" s="19">
        <f>Tabela1746810121422303226816192527313336242101214161824262830384024810121416202226283032343624268101214246101224262442626282626810262862366[[#This Row],[Uso diário]]*2</f>
        <v>20</v>
      </c>
      <c r="O89" s="19">
        <f>Tabela1746810121422303226816192527313336242101214161824262830384024810121416202226283032343624268101214246101224262442626282626810262862366[[#This Row],[Total Acumulado]]-P89</f>
        <v>-50</v>
      </c>
      <c r="P89" s="48">
        <f>Tabela1746810121422303226816192527313336242101214161824262830384024810121416202226283032343624268101214246101224262442626282626810262862366[[#This Row],[Uso diário]]*5</f>
        <v>50</v>
      </c>
      <c r="Q8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8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8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89" s="25">
        <v>1</v>
      </c>
    </row>
    <row r="90" spans="1:20" s="26" customFormat="1" x14ac:dyDescent="0.25">
      <c r="A90" s="16">
        <v>224706</v>
      </c>
      <c r="B90" s="30" t="s">
        <v>896</v>
      </c>
      <c r="C90" s="20" t="s">
        <v>635</v>
      </c>
      <c r="D90" s="20" t="s">
        <v>698</v>
      </c>
      <c r="E90" s="20" t="s">
        <v>1714</v>
      </c>
      <c r="F90" s="20" t="s">
        <v>1715</v>
      </c>
      <c r="G90" s="21">
        <v>18.8</v>
      </c>
      <c r="H90" s="16">
        <v>26</v>
      </c>
      <c r="I90" s="16">
        <v>2</v>
      </c>
      <c r="J9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90" s="22"/>
      <c r="L90" s="23"/>
      <c r="M90" s="23">
        <f>SUM(Tabela1746810121422303226816192527313336242101214161824262830384024810121416202226283032343624268101214246101224262442626282626810262862366[[#This Row],[Saldo no cartão]:[Recarga Pendente]])</f>
        <v>0</v>
      </c>
      <c r="N90" s="19">
        <f>Tabela1746810121422303226816192527313336242101214161824262830384024810121416202226283032343624268101214246101224262442626282626810262862366[[#This Row],[Uso diário]]*2</f>
        <v>37.6</v>
      </c>
      <c r="O90" s="19">
        <f>Tabela1746810121422303226816192527313336242101214161824262830384024810121416202226283032343624268101214246101224262442626282626810262862366[[#This Row],[Total Acumulado]]-P90</f>
        <v>-94</v>
      </c>
      <c r="P90" s="48">
        <f>Tabela1746810121422303226816192527313336242101214161824262830384024810121416202226283032343624268101214246101224262442626282626810262862366[[#This Row],[Uso diário]]*5</f>
        <v>94</v>
      </c>
      <c r="Q9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9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0" s="25">
        <v>1</v>
      </c>
    </row>
    <row r="91" spans="1:20" s="26" customFormat="1" x14ac:dyDescent="0.25">
      <c r="A91" s="16">
        <v>224771</v>
      </c>
      <c r="B91" s="30" t="s">
        <v>1156</v>
      </c>
      <c r="C91" s="20" t="s">
        <v>635</v>
      </c>
      <c r="D91" s="20" t="s">
        <v>689</v>
      </c>
      <c r="E91" s="20" t="s">
        <v>1716</v>
      </c>
      <c r="F91" s="20" t="s">
        <v>1717</v>
      </c>
      <c r="G91" s="21">
        <v>18.8</v>
      </c>
      <c r="H91" s="16">
        <v>26</v>
      </c>
      <c r="I91" s="16"/>
      <c r="J9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91" s="22"/>
      <c r="L91" s="23"/>
      <c r="M91" s="23">
        <f>SUM(Tabela1746810121422303226816192527313336242101214161824262830384024810121416202226283032343624268101214246101224262442626282626810262862366[[#This Row],[Saldo no cartão]:[Recarga Pendente]])</f>
        <v>0</v>
      </c>
      <c r="N91" s="19">
        <f>Tabela1746810121422303226816192527313336242101214161824262830384024810121416202226283032343624268101214246101224262442626282626810262862366[[#This Row],[Uso diário]]*2</f>
        <v>37.6</v>
      </c>
      <c r="O91" s="19">
        <f>Tabela1746810121422303226816192527313336242101214161824262830384024810121416202226283032343624268101214246101224262442626282626810262862366[[#This Row],[Total Acumulado]]-P91</f>
        <v>-94</v>
      </c>
      <c r="P91" s="48">
        <f>Tabela1746810121422303226816192527313336242101214161824262830384024810121416202226283032343624268101214246101224262442626282626810262862366[[#This Row],[Uso diário]]*5</f>
        <v>94</v>
      </c>
      <c r="Q9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9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1" s="25">
        <v>1</v>
      </c>
    </row>
    <row r="92" spans="1:20" s="26" customFormat="1" x14ac:dyDescent="0.25">
      <c r="A92" s="16">
        <v>225943</v>
      </c>
      <c r="B92" s="30" t="s">
        <v>1395</v>
      </c>
      <c r="C92" s="20" t="s">
        <v>635</v>
      </c>
      <c r="D92" s="20" t="s">
        <v>689</v>
      </c>
      <c r="E92" s="20" t="s">
        <v>1718</v>
      </c>
      <c r="F92" s="20" t="s">
        <v>1719</v>
      </c>
      <c r="G92" s="21">
        <v>19.7</v>
      </c>
      <c r="H92" s="16">
        <v>22</v>
      </c>
      <c r="I92" s="16"/>
      <c r="J9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433.4</v>
      </c>
      <c r="K92" s="22"/>
      <c r="L92" s="23"/>
      <c r="M92" s="23">
        <f>SUM(Tabela1746810121422303226816192527313336242101214161824262830384024810121416202226283032343624268101214246101224262442626282626810262862366[[#This Row],[Saldo no cartão]:[Recarga Pendente]])</f>
        <v>0</v>
      </c>
      <c r="N92" s="19">
        <f>Tabela1746810121422303226816192527313336242101214161824262830384024810121416202226283032343624268101214246101224262442626282626810262862366[[#This Row],[Uso diário]]*2</f>
        <v>39.4</v>
      </c>
      <c r="O92" s="19">
        <f>Tabela1746810121422303226816192527313336242101214161824262830384024810121416202226283032343624268101214246101224262442626282626810262862366[[#This Row],[Total Acumulado]]-P92</f>
        <v>-98.5</v>
      </c>
      <c r="P92" s="48">
        <f>Tabela1746810121422303226816192527313336242101214161824262830384024810121416202226283032343624268101214246101224262442626282626810262862366[[#This Row],[Uso diário]]*5</f>
        <v>98.5</v>
      </c>
      <c r="Q9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433.4</v>
      </c>
      <c r="S9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2" s="25">
        <v>1</v>
      </c>
    </row>
    <row r="93" spans="1:20" s="26" customFormat="1" x14ac:dyDescent="0.25">
      <c r="A93" s="16">
        <v>228536</v>
      </c>
      <c r="B93" s="30" t="s">
        <v>124</v>
      </c>
      <c r="C93" s="20" t="s">
        <v>635</v>
      </c>
      <c r="D93" s="20" t="s">
        <v>698</v>
      </c>
      <c r="E93" s="20" t="s">
        <v>1720</v>
      </c>
      <c r="F93" s="20" t="s">
        <v>1721</v>
      </c>
      <c r="G93" s="21">
        <v>18.8</v>
      </c>
      <c r="H93" s="16">
        <v>26</v>
      </c>
      <c r="I93" s="16"/>
      <c r="J9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93" s="22"/>
      <c r="L93" s="23"/>
      <c r="M93" s="23">
        <f>SUM(Tabela1746810121422303226816192527313336242101214161824262830384024810121416202226283032343624268101214246101224262442626282626810262862366[[#This Row],[Saldo no cartão]:[Recarga Pendente]])</f>
        <v>0</v>
      </c>
      <c r="N93" s="19">
        <f>Tabela1746810121422303226816192527313336242101214161824262830384024810121416202226283032343624268101214246101224262442626282626810262862366[[#This Row],[Uso diário]]*2</f>
        <v>37.6</v>
      </c>
      <c r="O93" s="19">
        <f>Tabela1746810121422303226816192527313336242101214161824262830384024810121416202226283032343624268101214246101224262442626282626810262862366[[#This Row],[Total Acumulado]]-P93</f>
        <v>-94</v>
      </c>
      <c r="P93" s="48">
        <f>Tabela1746810121422303226816192527313336242101214161824262830384024810121416202226283032343624268101214246101224262442626282626810262862366[[#This Row],[Uso diário]]*5</f>
        <v>94</v>
      </c>
      <c r="Q9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9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3" s="25">
        <v>1</v>
      </c>
    </row>
    <row r="94" spans="1:20" s="26" customFormat="1" x14ac:dyDescent="0.25">
      <c r="A94" s="16">
        <v>229194</v>
      </c>
      <c r="B94" s="30" t="s">
        <v>126</v>
      </c>
      <c r="C94" s="20" t="s">
        <v>635</v>
      </c>
      <c r="D94" s="20" t="s">
        <v>689</v>
      </c>
      <c r="E94" s="20" t="s">
        <v>1722</v>
      </c>
      <c r="F94" s="20" t="s">
        <v>1723</v>
      </c>
      <c r="G94" s="21">
        <v>18.8</v>
      </c>
      <c r="H94" s="16">
        <v>22</v>
      </c>
      <c r="I94" s="16"/>
      <c r="J9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94" s="22"/>
      <c r="L94" s="23"/>
      <c r="M94" s="23">
        <f>SUM(Tabela1746810121422303226816192527313336242101214161824262830384024810121416202226283032343624268101214246101224262442626282626810262862366[[#This Row],[Saldo no cartão]:[Recarga Pendente]])</f>
        <v>0</v>
      </c>
      <c r="N94" s="19">
        <f>Tabela1746810121422303226816192527313336242101214161824262830384024810121416202226283032343624268101214246101224262442626282626810262862366[[#This Row],[Uso diário]]*2</f>
        <v>37.6</v>
      </c>
      <c r="O94" s="19">
        <f>Tabela1746810121422303226816192527313336242101214161824262830384024810121416202226283032343624268101214246101224262442626282626810262862366[[#This Row],[Total Acumulado]]-P94</f>
        <v>-94</v>
      </c>
      <c r="P94" s="48">
        <f>Tabela1746810121422303226816192527313336242101214161824262830384024810121416202226283032343624268101214246101224262442626282626810262862366[[#This Row],[Uso diário]]*5</f>
        <v>94</v>
      </c>
      <c r="Q9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9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4" s="25">
        <v>1</v>
      </c>
    </row>
    <row r="95" spans="1:20" s="26" customFormat="1" x14ac:dyDescent="0.25">
      <c r="A95" s="16">
        <v>231784</v>
      </c>
      <c r="B95" s="30" t="s">
        <v>1137</v>
      </c>
      <c r="C95" s="20" t="s">
        <v>636</v>
      </c>
      <c r="D95" s="20" t="s">
        <v>690</v>
      </c>
      <c r="E95" s="20" t="s">
        <v>1724</v>
      </c>
      <c r="F95" s="20" t="s">
        <v>1725</v>
      </c>
      <c r="G95" s="21">
        <v>18.8</v>
      </c>
      <c r="H95" s="16">
        <v>22</v>
      </c>
      <c r="I95" s="16">
        <v>3</v>
      </c>
      <c r="J9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95" s="22"/>
      <c r="L95" s="23"/>
      <c r="M95" s="23">
        <f>SUM(Tabela1746810121422303226816192527313336242101214161824262830384024810121416202226283032343624268101214246101224262442626282626810262862366[[#This Row],[Saldo no cartão]:[Recarga Pendente]])</f>
        <v>0</v>
      </c>
      <c r="N95" s="19">
        <f>Tabela1746810121422303226816192527313336242101214161824262830384024810121416202226283032343624268101214246101224262442626282626810262862366[[#This Row],[Uso diário]]*2</f>
        <v>37.6</v>
      </c>
      <c r="O95" s="19">
        <f>Tabela1746810121422303226816192527313336242101214161824262830384024810121416202226283032343624268101214246101224262442626282626810262862366[[#This Row],[Total Acumulado]]-P95</f>
        <v>-94</v>
      </c>
      <c r="P95" s="48">
        <f>Tabela1746810121422303226816192527313336242101214161824262830384024810121416202226283032343624268101214246101224262442626282626810262862366[[#This Row],[Uso diário]]*5</f>
        <v>94</v>
      </c>
      <c r="Q9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357.2</v>
      </c>
      <c r="S9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5" s="25">
        <v>1</v>
      </c>
    </row>
    <row r="96" spans="1:20" s="26" customFormat="1" x14ac:dyDescent="0.25">
      <c r="A96" s="16">
        <v>233013</v>
      </c>
      <c r="B96" s="30" t="s">
        <v>958</v>
      </c>
      <c r="C96" s="20" t="s">
        <v>636</v>
      </c>
      <c r="D96" s="20" t="s">
        <v>690</v>
      </c>
      <c r="E96" s="20" t="s">
        <v>1726</v>
      </c>
      <c r="F96" s="20" t="s">
        <v>1727</v>
      </c>
      <c r="G96" s="21">
        <v>10</v>
      </c>
      <c r="H96" s="16">
        <v>22</v>
      </c>
      <c r="I96" s="16">
        <v>5</v>
      </c>
      <c r="J9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170</v>
      </c>
      <c r="K96" s="22"/>
      <c r="L96" s="23"/>
      <c r="M96" s="23">
        <f>SUM(Tabela1746810121422303226816192527313336242101214161824262830384024810121416202226283032343624268101214246101224262442626282626810262862366[[#This Row],[Saldo no cartão]:[Recarga Pendente]])</f>
        <v>0</v>
      </c>
      <c r="N96" s="19">
        <f>Tabela1746810121422303226816192527313336242101214161824262830384024810121416202226283032343624268101214246101224262442626282626810262862366[[#This Row],[Uso diário]]*2</f>
        <v>20</v>
      </c>
      <c r="O96" s="19">
        <f>Tabela1746810121422303226816192527313336242101214161824262830384024810121416202226283032343624268101214246101224262442626282626810262862366[[#This Row],[Total Acumulado]]-P96</f>
        <v>-50</v>
      </c>
      <c r="P96" s="48">
        <f>Tabela1746810121422303226816192527313336242101214161824262830384024810121416202226283032343624268101214246101224262442626282626810262862366[[#This Row],[Uso diário]]*5</f>
        <v>50</v>
      </c>
      <c r="Q9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170</v>
      </c>
      <c r="S9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6" s="25">
        <v>1</v>
      </c>
    </row>
    <row r="97" spans="1:20" s="26" customFormat="1" x14ac:dyDescent="0.25">
      <c r="A97" s="16">
        <v>233211</v>
      </c>
      <c r="B97" s="30" t="s">
        <v>959</v>
      </c>
      <c r="C97" s="20" t="s">
        <v>636</v>
      </c>
      <c r="D97" s="20" t="s">
        <v>690</v>
      </c>
      <c r="E97" s="20" t="s">
        <v>1728</v>
      </c>
      <c r="F97" s="20" t="s">
        <v>1729</v>
      </c>
      <c r="G97" s="21">
        <v>18.8</v>
      </c>
      <c r="H97" s="16">
        <v>22</v>
      </c>
      <c r="I97" s="16">
        <v>1</v>
      </c>
      <c r="J9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97" s="22"/>
      <c r="L97" s="23"/>
      <c r="M97" s="23">
        <f>SUM(Tabela1746810121422303226816192527313336242101214161824262830384024810121416202226283032343624268101214246101224262442626282626810262862366[[#This Row],[Saldo no cartão]:[Recarga Pendente]])</f>
        <v>0</v>
      </c>
      <c r="N97" s="19">
        <f>Tabela1746810121422303226816192527313336242101214161824262830384024810121416202226283032343624268101214246101224262442626282626810262862366[[#This Row],[Uso diário]]*2</f>
        <v>37.6</v>
      </c>
      <c r="O97" s="19">
        <f>Tabela1746810121422303226816192527313336242101214161824262830384024810121416202226283032343624268101214246101224262442626282626810262862366[[#This Row],[Total Acumulado]]-P97</f>
        <v>-94</v>
      </c>
      <c r="P97" s="48">
        <f>Tabela1746810121422303226816192527313336242101214161824262830384024810121416202226283032343624268101214246101224262442626282626810262862366[[#This Row],[Uso diário]]*5</f>
        <v>94</v>
      </c>
      <c r="Q9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9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7" s="25">
        <v>1</v>
      </c>
    </row>
    <row r="98" spans="1:20" s="26" customFormat="1" x14ac:dyDescent="0.25">
      <c r="A98" s="16">
        <v>233212</v>
      </c>
      <c r="B98" s="30" t="s">
        <v>1340</v>
      </c>
      <c r="C98" s="20" t="s">
        <v>636</v>
      </c>
      <c r="D98" s="20" t="s">
        <v>690</v>
      </c>
      <c r="E98" s="20" t="s">
        <v>1730</v>
      </c>
      <c r="F98" s="20" t="s">
        <v>1731</v>
      </c>
      <c r="G98" s="21">
        <v>13.4</v>
      </c>
      <c r="H98" s="16">
        <v>22</v>
      </c>
      <c r="I98" s="16">
        <v>1</v>
      </c>
      <c r="J9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281.40000000000003</v>
      </c>
      <c r="K98" s="22"/>
      <c r="L98" s="23">
        <v>178.5</v>
      </c>
      <c r="M98" s="23">
        <f>SUM(Tabela1746810121422303226816192527313336242101214161824262830384024810121416202226283032343624268101214246101224262442626282626810262862366[[#This Row],[Saldo no cartão]:[Recarga Pendente]])</f>
        <v>178.5</v>
      </c>
      <c r="N98" s="19">
        <f>Tabela1746810121422303226816192527313336242101214161824262830384024810121416202226283032343624268101214246101224262442626282626810262862366[[#This Row],[Uso diário]]*2</f>
        <v>26.8</v>
      </c>
      <c r="O98" s="19">
        <f>Tabela1746810121422303226816192527313336242101214161824262830384024810121416202226283032343624268101214246101224262442626282626810262862366[[#This Row],[Total Acumulado]]-P98</f>
        <v>111.5</v>
      </c>
      <c r="P98" s="48">
        <f>Tabela1746810121422303226816192527313336242101214161824262830384024810121416202226283032343624268101214246101224262442626282626810262862366[[#This Row],[Uso diário]]*5</f>
        <v>67</v>
      </c>
      <c r="Q9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111.5</v>
      </c>
      <c r="R9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169.90000000000003</v>
      </c>
      <c r="S98" s="18" t="s">
        <v>11</v>
      </c>
      <c r="T98" s="25">
        <v>1</v>
      </c>
    </row>
    <row r="99" spans="1:20" s="26" customFormat="1" x14ac:dyDescent="0.25">
      <c r="A99" s="16">
        <v>234388</v>
      </c>
      <c r="B99" s="30" t="s">
        <v>1270</v>
      </c>
      <c r="C99" s="20" t="s">
        <v>636</v>
      </c>
      <c r="D99" s="20" t="s">
        <v>690</v>
      </c>
      <c r="E99" s="20" t="s">
        <v>1732</v>
      </c>
      <c r="F99" s="20" t="s">
        <v>1733</v>
      </c>
      <c r="G99" s="21">
        <v>18.8</v>
      </c>
      <c r="H99" s="16">
        <v>22</v>
      </c>
      <c r="I99" s="16">
        <v>4</v>
      </c>
      <c r="J9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338.40000000000003</v>
      </c>
      <c r="K99" s="22"/>
      <c r="L99" s="23"/>
      <c r="M99" s="23">
        <f>SUM(Tabela1746810121422303226816192527313336242101214161824262830384024810121416202226283032343624268101214246101224262442626282626810262862366[[#This Row],[Saldo no cartão]:[Recarga Pendente]])</f>
        <v>0</v>
      </c>
      <c r="N99" s="19">
        <f>Tabela1746810121422303226816192527313336242101214161824262830384024810121416202226283032343624268101214246101224262442626282626810262862366[[#This Row],[Uso diário]]*2</f>
        <v>37.6</v>
      </c>
      <c r="O99" s="19">
        <f>Tabela1746810121422303226816192527313336242101214161824262830384024810121416202226283032343624268101214246101224262442626282626810262862366[[#This Row],[Total Acumulado]]-P99</f>
        <v>-94</v>
      </c>
      <c r="P99" s="48">
        <f>Tabela1746810121422303226816192527313336242101214161824262830384024810121416202226283032343624268101214246101224262442626282626810262862366[[#This Row],[Uso diário]]*5</f>
        <v>94</v>
      </c>
      <c r="Q9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9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338.40000000000003</v>
      </c>
      <c r="S9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99" s="25">
        <v>1</v>
      </c>
    </row>
    <row r="100" spans="1:20" s="26" customFormat="1" x14ac:dyDescent="0.25">
      <c r="A100" s="16">
        <v>20162</v>
      </c>
      <c r="B100" s="30" t="s">
        <v>82</v>
      </c>
      <c r="C100" s="20" t="s">
        <v>637</v>
      </c>
      <c r="D100" s="20" t="s">
        <v>691</v>
      </c>
      <c r="E100" s="20" t="s">
        <v>1734</v>
      </c>
      <c r="F100" s="20" t="s">
        <v>1735</v>
      </c>
      <c r="G100" s="21">
        <v>18.8</v>
      </c>
      <c r="H100" s="16">
        <v>22</v>
      </c>
      <c r="I100" s="16"/>
      <c r="J10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00" s="22"/>
      <c r="L100" s="23"/>
      <c r="M100" s="23">
        <f>SUM(Tabela1746810121422303226816192527313336242101214161824262830384024810121416202226283032343624268101214246101224262442626282626810262862366[[#This Row],[Saldo no cartão]:[Recarga Pendente]])</f>
        <v>0</v>
      </c>
      <c r="N100" s="19">
        <f>Tabela1746810121422303226816192527313336242101214161824262830384024810121416202226283032343624268101214246101224262442626282626810262862366[[#This Row],[Uso diário]]*2</f>
        <v>37.6</v>
      </c>
      <c r="O100" s="19">
        <f>Tabela1746810121422303226816192527313336242101214161824262830384024810121416202226283032343624268101214246101224262442626282626810262862366[[#This Row],[Total Acumulado]]-P100</f>
        <v>-94</v>
      </c>
      <c r="P100" s="48">
        <f>Tabela1746810121422303226816192527313336242101214161824262830384024810121416202226283032343624268101214246101224262442626282626810262862366[[#This Row],[Uso diário]]*5</f>
        <v>94</v>
      </c>
      <c r="Q10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0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0" s="25">
        <v>1</v>
      </c>
    </row>
    <row r="101" spans="1:20" s="26" customFormat="1" x14ac:dyDescent="0.25">
      <c r="A101" s="16">
        <v>200996</v>
      </c>
      <c r="B101" s="30" t="s">
        <v>83</v>
      </c>
      <c r="C101" s="20" t="s">
        <v>637</v>
      </c>
      <c r="D101" s="20" t="s">
        <v>694</v>
      </c>
      <c r="E101" s="20" t="s">
        <v>1736</v>
      </c>
      <c r="F101" s="20" t="s">
        <v>1737</v>
      </c>
      <c r="G101" s="21">
        <v>13.4</v>
      </c>
      <c r="H101" s="16">
        <v>22</v>
      </c>
      <c r="I101" s="16"/>
      <c r="J10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101" s="22"/>
      <c r="L101" s="23"/>
      <c r="M101" s="23">
        <f>SUM(Tabela1746810121422303226816192527313336242101214161824262830384024810121416202226283032343624268101214246101224262442626282626810262862366[[#This Row],[Saldo no cartão]:[Recarga Pendente]])</f>
        <v>0</v>
      </c>
      <c r="N101" s="19">
        <f>Tabela1746810121422303226816192527313336242101214161824262830384024810121416202226283032343624268101214246101224262442626282626810262862366[[#This Row],[Uso diário]]*2</f>
        <v>26.8</v>
      </c>
      <c r="O101" s="19">
        <f>Tabela1746810121422303226816192527313336242101214161824262830384024810121416202226283032343624268101214246101224262442626282626810262862366[[#This Row],[Total Acumulado]]-P101</f>
        <v>-67</v>
      </c>
      <c r="P101" s="48">
        <f>Tabela1746810121422303226816192527313336242101214161824262830384024810121416202226283032343624268101214246101224262442626282626810262862366[[#This Row],[Uso diário]]*5</f>
        <v>67</v>
      </c>
      <c r="Q10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10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1" s="25">
        <v>1</v>
      </c>
    </row>
    <row r="102" spans="1:20" s="26" customFormat="1" x14ac:dyDescent="0.25">
      <c r="A102" s="16">
        <v>207912</v>
      </c>
      <c r="B102" s="30" t="s">
        <v>84</v>
      </c>
      <c r="C102" s="20" t="s">
        <v>637</v>
      </c>
      <c r="D102" s="20" t="s">
        <v>696</v>
      </c>
      <c r="E102" s="20" t="s">
        <v>1738</v>
      </c>
      <c r="F102" s="20" t="s">
        <v>1739</v>
      </c>
      <c r="G102" s="21">
        <v>18.8</v>
      </c>
      <c r="H102" s="16">
        <v>24</v>
      </c>
      <c r="I102" s="16"/>
      <c r="J10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02" s="22"/>
      <c r="L102" s="23"/>
      <c r="M102" s="23">
        <f>SUM(Tabela1746810121422303226816192527313336242101214161824262830384024810121416202226283032343624268101214246101224262442626282626810262862366[[#This Row],[Saldo no cartão]:[Recarga Pendente]])</f>
        <v>0</v>
      </c>
      <c r="N102" s="19">
        <f>Tabela1746810121422303226816192527313336242101214161824262830384024810121416202226283032343624268101214246101224262442626282626810262862366[[#This Row],[Uso diário]]*2</f>
        <v>37.6</v>
      </c>
      <c r="O102" s="19">
        <f>Tabela1746810121422303226816192527313336242101214161824262830384024810121416202226283032343624268101214246101224262442626282626810262862366[[#This Row],[Total Acumulado]]-P102</f>
        <v>-94</v>
      </c>
      <c r="P102" s="48">
        <f>Tabela1746810121422303226816192527313336242101214161824262830384024810121416202226283032343624268101214246101224262442626282626810262862366[[#This Row],[Uso diário]]*5</f>
        <v>94</v>
      </c>
      <c r="Q10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0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2" s="25">
        <v>1</v>
      </c>
    </row>
    <row r="103" spans="1:20" s="26" customFormat="1" x14ac:dyDescent="0.25">
      <c r="A103" s="16">
        <v>213507</v>
      </c>
      <c r="B103" s="30" t="s">
        <v>85</v>
      </c>
      <c r="C103" s="20" t="s">
        <v>637</v>
      </c>
      <c r="D103" s="20" t="s">
        <v>696</v>
      </c>
      <c r="E103" s="20" t="s">
        <v>1740</v>
      </c>
      <c r="F103" s="20" t="s">
        <v>1741</v>
      </c>
      <c r="G103" s="21">
        <v>18.8</v>
      </c>
      <c r="H103" s="16">
        <v>22</v>
      </c>
      <c r="I103" s="16">
        <v>1</v>
      </c>
      <c r="J10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103" s="22"/>
      <c r="L103" s="23"/>
      <c r="M103" s="23">
        <f>SUM(Tabela1746810121422303226816192527313336242101214161824262830384024810121416202226283032343624268101214246101224262442626282626810262862366[[#This Row],[Saldo no cartão]:[Recarga Pendente]])</f>
        <v>0</v>
      </c>
      <c r="N103" s="19">
        <f>Tabela1746810121422303226816192527313336242101214161824262830384024810121416202226283032343624268101214246101224262442626282626810262862366[[#This Row],[Uso diário]]*2</f>
        <v>37.6</v>
      </c>
      <c r="O103" s="19">
        <f>Tabela1746810121422303226816192527313336242101214161824262830384024810121416202226283032343624268101214246101224262442626282626810262862366[[#This Row],[Total Acumulado]]-P103</f>
        <v>-94</v>
      </c>
      <c r="P103" s="48">
        <f>Tabela1746810121422303226816192527313336242101214161824262830384024810121416202226283032343624268101214246101224262442626282626810262862366[[#This Row],[Uso diário]]*5</f>
        <v>94</v>
      </c>
      <c r="Q10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10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3" s="25">
        <v>1</v>
      </c>
    </row>
    <row r="104" spans="1:20" s="26" customFormat="1" x14ac:dyDescent="0.25">
      <c r="A104" s="16">
        <v>213519</v>
      </c>
      <c r="B104" s="30" t="s">
        <v>86</v>
      </c>
      <c r="C104" s="20" t="s">
        <v>637</v>
      </c>
      <c r="D104" s="20" t="s">
        <v>1262</v>
      </c>
      <c r="E104" s="20" t="s">
        <v>1742</v>
      </c>
      <c r="F104" s="20" t="s">
        <v>1743</v>
      </c>
      <c r="G104" s="21">
        <v>13.4</v>
      </c>
      <c r="H104" s="16">
        <v>24</v>
      </c>
      <c r="I104" s="16">
        <v>1</v>
      </c>
      <c r="J10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308.2</v>
      </c>
      <c r="K104" s="22"/>
      <c r="L104" s="23"/>
      <c r="M104" s="23">
        <f>SUM(Tabela1746810121422303226816192527313336242101214161824262830384024810121416202226283032343624268101214246101224262442626282626810262862366[[#This Row],[Saldo no cartão]:[Recarga Pendente]])</f>
        <v>0</v>
      </c>
      <c r="N104" s="19">
        <f>Tabela1746810121422303226816192527313336242101214161824262830384024810121416202226283032343624268101214246101224262442626282626810262862366[[#This Row],[Uso diário]]*2</f>
        <v>26.8</v>
      </c>
      <c r="O104" s="19">
        <f>Tabela1746810121422303226816192527313336242101214161824262830384024810121416202226283032343624268101214246101224262442626282626810262862366[[#This Row],[Total Acumulado]]-P104</f>
        <v>-67</v>
      </c>
      <c r="P104" s="48">
        <f>Tabela1746810121422303226816192527313336242101214161824262830384024810121416202226283032343624268101214246101224262442626282626810262862366[[#This Row],[Uso diário]]*5</f>
        <v>67</v>
      </c>
      <c r="Q10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308.2</v>
      </c>
      <c r="S10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4" s="25">
        <v>1</v>
      </c>
    </row>
    <row r="105" spans="1:20" s="26" customFormat="1" x14ac:dyDescent="0.25">
      <c r="A105" s="16">
        <v>214687</v>
      </c>
      <c r="B105" s="30" t="s">
        <v>87</v>
      </c>
      <c r="C105" s="20" t="s">
        <v>637</v>
      </c>
      <c r="D105" s="20" t="s">
        <v>696</v>
      </c>
      <c r="E105" s="20" t="s">
        <v>1744</v>
      </c>
      <c r="F105" s="20" t="s">
        <v>1745</v>
      </c>
      <c r="G105" s="21">
        <v>18.8</v>
      </c>
      <c r="H105" s="16">
        <v>22</v>
      </c>
      <c r="I105" s="16">
        <v>4</v>
      </c>
      <c r="J10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338.40000000000003</v>
      </c>
      <c r="K105" s="22"/>
      <c r="L105" s="23"/>
      <c r="M105" s="23">
        <f>SUM(Tabela1746810121422303226816192527313336242101214161824262830384024810121416202226283032343624268101214246101224262442626282626810262862366[[#This Row],[Saldo no cartão]:[Recarga Pendente]])</f>
        <v>0</v>
      </c>
      <c r="N105" s="19">
        <f>Tabela1746810121422303226816192527313336242101214161824262830384024810121416202226283032343624268101214246101224262442626282626810262862366[[#This Row],[Uso diário]]*2</f>
        <v>37.6</v>
      </c>
      <c r="O105" s="19">
        <f>Tabela1746810121422303226816192527313336242101214161824262830384024810121416202226283032343624268101214246101224262442626282626810262862366[[#This Row],[Total Acumulado]]-P105</f>
        <v>-94</v>
      </c>
      <c r="P105" s="48">
        <f>Tabela1746810121422303226816192527313336242101214161824262830384024810121416202226283032343624268101214246101224262442626282626810262862366[[#This Row],[Uso diário]]*5</f>
        <v>94</v>
      </c>
      <c r="Q10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338.40000000000003</v>
      </c>
      <c r="S10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5" s="25">
        <v>1</v>
      </c>
    </row>
    <row r="106" spans="1:20" s="26" customFormat="1" x14ac:dyDescent="0.25">
      <c r="A106" s="16">
        <v>215583</v>
      </c>
      <c r="B106" s="30" t="s">
        <v>1138</v>
      </c>
      <c r="C106" s="20" t="s">
        <v>637</v>
      </c>
      <c r="D106" s="20" t="s">
        <v>695</v>
      </c>
      <c r="E106" s="20" t="s">
        <v>1746</v>
      </c>
      <c r="F106" s="20" t="s">
        <v>1747</v>
      </c>
      <c r="G106" s="21">
        <v>18.8</v>
      </c>
      <c r="H106" s="16">
        <v>22</v>
      </c>
      <c r="I106" s="16"/>
      <c r="J10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06" s="22"/>
      <c r="L106" s="23"/>
      <c r="M106" s="23">
        <f>SUM(Tabela1746810121422303226816192527313336242101214161824262830384024810121416202226283032343624268101214246101224262442626282626810262862366[[#This Row],[Saldo no cartão]:[Recarga Pendente]])</f>
        <v>0</v>
      </c>
      <c r="N106" s="19">
        <f>Tabela1746810121422303226816192527313336242101214161824262830384024810121416202226283032343624268101214246101224262442626282626810262862366[[#This Row],[Uso diário]]*2</f>
        <v>37.6</v>
      </c>
      <c r="O106" s="19">
        <f>Tabela1746810121422303226816192527313336242101214161824262830384024810121416202226283032343624268101214246101224262442626282626810262862366[[#This Row],[Total Acumulado]]-P106</f>
        <v>-94</v>
      </c>
      <c r="P106" s="48">
        <f>Tabela1746810121422303226816192527313336242101214161824262830384024810121416202226283032343624268101214246101224262442626282626810262862366[[#This Row],[Uso diário]]*5</f>
        <v>94</v>
      </c>
      <c r="Q10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0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6" s="25">
        <v>1</v>
      </c>
    </row>
    <row r="107" spans="1:20" s="26" customFormat="1" x14ac:dyDescent="0.25">
      <c r="A107" s="16">
        <v>215873</v>
      </c>
      <c r="B107" s="30" t="s">
        <v>88</v>
      </c>
      <c r="C107" s="20" t="s">
        <v>637</v>
      </c>
      <c r="D107" s="20" t="s">
        <v>691</v>
      </c>
      <c r="E107" s="20" t="s">
        <v>1748</v>
      </c>
      <c r="F107" s="20" t="s">
        <v>1749</v>
      </c>
      <c r="G107" s="21">
        <v>18.8</v>
      </c>
      <c r="H107" s="16">
        <v>24</v>
      </c>
      <c r="I107" s="16"/>
      <c r="J10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07" s="22"/>
      <c r="L107" s="23"/>
      <c r="M107" s="23">
        <f>SUM(Tabela1746810121422303226816192527313336242101214161824262830384024810121416202226283032343624268101214246101224262442626282626810262862366[[#This Row],[Saldo no cartão]:[Recarga Pendente]])</f>
        <v>0</v>
      </c>
      <c r="N107" s="19">
        <f>Tabela1746810121422303226816192527313336242101214161824262830384024810121416202226283032343624268101214246101224262442626282626810262862366[[#This Row],[Uso diário]]*2</f>
        <v>37.6</v>
      </c>
      <c r="O107" s="19">
        <f>Tabela1746810121422303226816192527313336242101214161824262830384024810121416202226283032343624268101214246101224262442626282626810262862366[[#This Row],[Total Acumulado]]-P107</f>
        <v>-94</v>
      </c>
      <c r="P107" s="48">
        <f>Tabela1746810121422303226816192527313336242101214161824262830384024810121416202226283032343624268101214246101224262442626282626810262862366[[#This Row],[Uso diário]]*5</f>
        <v>94</v>
      </c>
      <c r="Q10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0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7" s="25">
        <v>1</v>
      </c>
    </row>
    <row r="108" spans="1:20" s="26" customFormat="1" x14ac:dyDescent="0.25">
      <c r="A108" s="16">
        <v>216314</v>
      </c>
      <c r="B108" s="30" t="s">
        <v>89</v>
      </c>
      <c r="C108" s="20" t="s">
        <v>637</v>
      </c>
      <c r="D108" s="20" t="s">
        <v>696</v>
      </c>
      <c r="E108" s="20" t="s">
        <v>1750</v>
      </c>
      <c r="F108" s="20" t="s">
        <v>1751</v>
      </c>
      <c r="G108" s="21">
        <v>18.8</v>
      </c>
      <c r="H108" s="16">
        <v>24</v>
      </c>
      <c r="I108" s="16"/>
      <c r="J10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08" s="22"/>
      <c r="L108" s="23"/>
      <c r="M108" s="23">
        <f>SUM(Tabela1746810121422303226816192527313336242101214161824262830384024810121416202226283032343624268101214246101224262442626282626810262862366[[#This Row],[Saldo no cartão]:[Recarga Pendente]])</f>
        <v>0</v>
      </c>
      <c r="N108" s="19">
        <f>Tabela1746810121422303226816192527313336242101214161824262830384024810121416202226283032343624268101214246101224262442626282626810262862366[[#This Row],[Uso diário]]*2</f>
        <v>37.6</v>
      </c>
      <c r="O108" s="19">
        <f>Tabela1746810121422303226816192527313336242101214161824262830384024810121416202226283032343624268101214246101224262442626282626810262862366[[#This Row],[Total Acumulado]]-P108</f>
        <v>-94</v>
      </c>
      <c r="P108" s="48">
        <f>Tabela1746810121422303226816192527313336242101214161824262830384024810121416202226283032343624268101214246101224262442626282626810262862366[[#This Row],[Uso diário]]*5</f>
        <v>94</v>
      </c>
      <c r="Q10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0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8" s="25">
        <v>1</v>
      </c>
    </row>
    <row r="109" spans="1:20" s="26" customFormat="1" x14ac:dyDescent="0.25">
      <c r="A109" s="16">
        <v>218146</v>
      </c>
      <c r="B109" s="30" t="s">
        <v>1139</v>
      </c>
      <c r="C109" s="20" t="s">
        <v>637</v>
      </c>
      <c r="D109" s="20" t="s">
        <v>696</v>
      </c>
      <c r="E109" s="20" t="s">
        <v>1752</v>
      </c>
      <c r="F109" s="20" t="s">
        <v>1753</v>
      </c>
      <c r="G109" s="21">
        <v>18.8</v>
      </c>
      <c r="H109" s="16">
        <v>27</v>
      </c>
      <c r="I109" s="16">
        <v>5</v>
      </c>
      <c r="J10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09" s="22"/>
      <c r="L109" s="23"/>
      <c r="M109" s="23">
        <f>SUM(Tabela1746810121422303226816192527313336242101214161824262830384024810121416202226283032343624268101214246101224262442626282626810262862366[[#This Row],[Saldo no cartão]:[Recarga Pendente]])</f>
        <v>0</v>
      </c>
      <c r="N109" s="19">
        <f>Tabela1746810121422303226816192527313336242101214161824262830384024810121416202226283032343624268101214246101224262442626282626810262862366[[#This Row],[Uso diário]]*2</f>
        <v>37.6</v>
      </c>
      <c r="O109" s="19">
        <f>Tabela1746810121422303226816192527313336242101214161824262830384024810121416202226283032343624268101214246101224262442626282626810262862366[[#This Row],[Total Acumulado]]-P109</f>
        <v>-94</v>
      </c>
      <c r="P109" s="48">
        <f>Tabela1746810121422303226816192527313336242101214161824262830384024810121416202226283032343624268101214246101224262442626282626810262862366[[#This Row],[Uso diário]]*5</f>
        <v>94</v>
      </c>
      <c r="Q10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0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0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09" s="25">
        <v>1</v>
      </c>
    </row>
    <row r="110" spans="1:20" s="26" customFormat="1" x14ac:dyDescent="0.25">
      <c r="A110" s="16">
        <v>219032</v>
      </c>
      <c r="B110" s="30" t="s">
        <v>90</v>
      </c>
      <c r="C110" s="20" t="s">
        <v>637</v>
      </c>
      <c r="D110" s="20" t="s">
        <v>695</v>
      </c>
      <c r="E110" s="20" t="s">
        <v>1754</v>
      </c>
      <c r="F110" s="20" t="s">
        <v>1755</v>
      </c>
      <c r="G110" s="21">
        <v>18.8</v>
      </c>
      <c r="H110" s="16">
        <v>3</v>
      </c>
      <c r="I110" s="16"/>
      <c r="J11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56.400000000000006</v>
      </c>
      <c r="K110" s="22"/>
      <c r="L110" s="23"/>
      <c r="M110" s="23">
        <f>SUM(Tabela1746810121422303226816192527313336242101214161824262830384024810121416202226283032343624268101214246101224262442626282626810262862366[[#This Row],[Saldo no cartão]:[Recarga Pendente]])</f>
        <v>0</v>
      </c>
      <c r="N110" s="19">
        <f>Tabela1746810121422303226816192527313336242101214161824262830384024810121416202226283032343624268101214246101224262442626282626810262862366[[#This Row],[Uso diário]]*2</f>
        <v>37.6</v>
      </c>
      <c r="O110" s="19">
        <f>Tabela1746810121422303226816192527313336242101214161824262830384024810121416202226283032343624268101214246101224262442626282626810262862366[[#This Row],[Total Acumulado]]-P110</f>
        <v>-94</v>
      </c>
      <c r="P110" s="48">
        <f>Tabela1746810121422303226816192527313336242101214161824262830384024810121416202226283032343624268101214246101224262442626282626810262862366[[#This Row],[Uso diário]]*5</f>
        <v>94</v>
      </c>
      <c r="Q11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56.400000000000006</v>
      </c>
      <c r="S11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0" s="25">
        <v>1</v>
      </c>
    </row>
    <row r="111" spans="1:20" s="26" customFormat="1" x14ac:dyDescent="0.25">
      <c r="A111" s="16">
        <v>219381</v>
      </c>
      <c r="B111" s="30" t="s">
        <v>1140</v>
      </c>
      <c r="C111" s="20" t="s">
        <v>637</v>
      </c>
      <c r="D111" s="20" t="s">
        <v>696</v>
      </c>
      <c r="E111" s="20" t="s">
        <v>1756</v>
      </c>
      <c r="F111" s="20" t="s">
        <v>1757</v>
      </c>
      <c r="G111" s="21">
        <v>18.8</v>
      </c>
      <c r="H111" s="16">
        <v>22</v>
      </c>
      <c r="I111" s="16"/>
      <c r="J11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11" s="22"/>
      <c r="L111" s="23"/>
      <c r="M111" s="23">
        <f>SUM(Tabela1746810121422303226816192527313336242101214161824262830384024810121416202226283032343624268101214246101224262442626282626810262862366[[#This Row],[Saldo no cartão]:[Recarga Pendente]])</f>
        <v>0</v>
      </c>
      <c r="N111" s="19">
        <f>Tabela1746810121422303226816192527313336242101214161824262830384024810121416202226283032343624268101214246101224262442626282626810262862366[[#This Row],[Uso diário]]*2</f>
        <v>37.6</v>
      </c>
      <c r="O111" s="19">
        <f>Tabela1746810121422303226816192527313336242101214161824262830384024810121416202226283032343624268101214246101224262442626282626810262862366[[#This Row],[Total Acumulado]]-P111</f>
        <v>-94</v>
      </c>
      <c r="P111" s="48">
        <f>Tabela1746810121422303226816192527313336242101214161824262830384024810121416202226283032343624268101214246101224262442626282626810262862366[[#This Row],[Uso diário]]*5</f>
        <v>94</v>
      </c>
      <c r="Q11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1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1" s="25">
        <v>1</v>
      </c>
    </row>
    <row r="112" spans="1:20" s="26" customFormat="1" x14ac:dyDescent="0.25">
      <c r="A112" s="16">
        <v>219567</v>
      </c>
      <c r="B112" s="30" t="s">
        <v>91</v>
      </c>
      <c r="C112" s="20" t="s">
        <v>637</v>
      </c>
      <c r="D112" s="20" t="s">
        <v>692</v>
      </c>
      <c r="E112" s="20" t="s">
        <v>1758</v>
      </c>
      <c r="F112" s="20" t="s">
        <v>1759</v>
      </c>
      <c r="G112" s="21">
        <v>18.8</v>
      </c>
      <c r="H112" s="16">
        <v>24</v>
      </c>
      <c r="I112" s="16"/>
      <c r="J11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12" s="22"/>
      <c r="L112" s="23"/>
      <c r="M112" s="23">
        <f>SUM(Tabela1746810121422303226816192527313336242101214161824262830384024810121416202226283032343624268101214246101224262442626282626810262862366[[#This Row],[Saldo no cartão]:[Recarga Pendente]])</f>
        <v>0</v>
      </c>
      <c r="N112" s="19">
        <f>Tabela1746810121422303226816192527313336242101214161824262830384024810121416202226283032343624268101214246101224262442626282626810262862366[[#This Row],[Uso diário]]*2</f>
        <v>37.6</v>
      </c>
      <c r="O112" s="19">
        <f>Tabela1746810121422303226816192527313336242101214161824262830384024810121416202226283032343624268101214246101224262442626282626810262862366[[#This Row],[Total Acumulado]]-P112</f>
        <v>-94</v>
      </c>
      <c r="P112" s="48">
        <f>Tabela1746810121422303226816192527313336242101214161824262830384024810121416202226283032343624268101214246101224262442626282626810262862366[[#This Row],[Uso diário]]*5</f>
        <v>94</v>
      </c>
      <c r="Q11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1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2" s="25">
        <v>1</v>
      </c>
    </row>
    <row r="113" spans="1:20" s="26" customFormat="1" x14ac:dyDescent="0.25">
      <c r="A113" s="16">
        <v>219592</v>
      </c>
      <c r="B113" s="30" t="s">
        <v>92</v>
      </c>
      <c r="C113" s="20" t="s">
        <v>637</v>
      </c>
      <c r="D113" s="20" t="s">
        <v>691</v>
      </c>
      <c r="E113" s="20" t="s">
        <v>1760</v>
      </c>
      <c r="F113" s="20" t="s">
        <v>1761</v>
      </c>
      <c r="G113" s="21">
        <v>18.8</v>
      </c>
      <c r="H113" s="16">
        <v>24</v>
      </c>
      <c r="I113" s="16"/>
      <c r="J11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13" s="22"/>
      <c r="L113" s="23">
        <v>56.4</v>
      </c>
      <c r="M113" s="23">
        <f>SUM(Tabela1746810121422303226816192527313336242101214161824262830384024810121416202226283032343624268101214246101224262442626282626810262862366[[#This Row],[Saldo no cartão]:[Recarga Pendente]])</f>
        <v>56.4</v>
      </c>
      <c r="N113" s="19">
        <f>Tabela1746810121422303226816192527313336242101214161824262830384024810121416202226283032343624268101214246101224262442626282626810262862366[[#This Row],[Uso diário]]*2</f>
        <v>37.6</v>
      </c>
      <c r="O113" s="19">
        <f>Tabela1746810121422303226816192527313336242101214161824262830384024810121416202226283032343624268101214246101224262442626282626810262862366[[#This Row],[Total Acumulado]]-P113</f>
        <v>-37.6</v>
      </c>
      <c r="P113" s="48">
        <f>Tabela1746810121422303226816192527313336242101214161824262830384024810121416202226283032343624268101214246101224262442626282626810262862366[[#This Row],[Uso diário]]*5</f>
        <v>94</v>
      </c>
      <c r="Q11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1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3" s="25">
        <v>1</v>
      </c>
    </row>
    <row r="114" spans="1:20" s="26" customFormat="1" x14ac:dyDescent="0.25">
      <c r="A114" s="16">
        <v>219606</v>
      </c>
      <c r="B114" s="30" t="s">
        <v>1030</v>
      </c>
      <c r="C114" s="20" t="s">
        <v>637</v>
      </c>
      <c r="D114" s="20" t="s">
        <v>692</v>
      </c>
      <c r="E114" s="20" t="s">
        <v>1762</v>
      </c>
      <c r="F114" s="20" t="s">
        <v>1763</v>
      </c>
      <c r="G114" s="21">
        <v>18.8</v>
      </c>
      <c r="H114" s="16">
        <v>27</v>
      </c>
      <c r="I114" s="16"/>
      <c r="J11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507.6</v>
      </c>
      <c r="K114" s="22"/>
      <c r="L114" s="23"/>
      <c r="M114" s="23">
        <f>SUM(Tabela1746810121422303226816192527313336242101214161824262830384024810121416202226283032343624268101214246101224262442626282626810262862366[[#This Row],[Saldo no cartão]:[Recarga Pendente]])</f>
        <v>0</v>
      </c>
      <c r="N114" s="19">
        <f>Tabela1746810121422303226816192527313336242101214161824262830384024810121416202226283032343624268101214246101224262442626282626810262862366[[#This Row],[Uso diário]]*2</f>
        <v>37.6</v>
      </c>
      <c r="O114" s="19">
        <f>Tabela1746810121422303226816192527313336242101214161824262830384024810121416202226283032343624268101214246101224262442626282626810262862366[[#This Row],[Total Acumulado]]-P114</f>
        <v>-94</v>
      </c>
      <c r="P114" s="48">
        <f>Tabela1746810121422303226816192527313336242101214161824262830384024810121416202226283032343624268101214246101224262442626282626810262862366[[#This Row],[Uso diário]]*5</f>
        <v>94</v>
      </c>
      <c r="Q11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507.6</v>
      </c>
      <c r="S11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4" s="25">
        <v>1</v>
      </c>
    </row>
    <row r="115" spans="1:20" s="26" customFormat="1" x14ac:dyDescent="0.25">
      <c r="A115" s="16">
        <v>219750</v>
      </c>
      <c r="B115" s="30" t="s">
        <v>1396</v>
      </c>
      <c r="C115" s="20" t="s">
        <v>637</v>
      </c>
      <c r="D115" s="20" t="s">
        <v>692</v>
      </c>
      <c r="E115" s="20" t="s">
        <v>1764</v>
      </c>
      <c r="F115" s="20" t="s">
        <v>1765</v>
      </c>
      <c r="G115" s="21">
        <v>18.8</v>
      </c>
      <c r="H115" s="16">
        <v>24</v>
      </c>
      <c r="I115" s="16"/>
      <c r="J11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15" s="22"/>
      <c r="L115" s="23"/>
      <c r="M115" s="23">
        <f>SUM(Tabela1746810121422303226816192527313336242101214161824262830384024810121416202226283032343624268101214246101224262442626282626810262862366[[#This Row],[Saldo no cartão]:[Recarga Pendente]])</f>
        <v>0</v>
      </c>
      <c r="N115" s="19">
        <f>Tabela1746810121422303226816192527313336242101214161824262830384024810121416202226283032343624268101214246101224262442626282626810262862366[[#This Row],[Uso diário]]*2</f>
        <v>37.6</v>
      </c>
      <c r="O115" s="19">
        <f>Tabela1746810121422303226816192527313336242101214161824262830384024810121416202226283032343624268101214246101224262442626282626810262862366[[#This Row],[Total Acumulado]]-P115</f>
        <v>-94</v>
      </c>
      <c r="P115" s="48">
        <f>Tabela1746810121422303226816192527313336242101214161824262830384024810121416202226283032343624268101214246101224262442626282626810262862366[[#This Row],[Uso diário]]*5</f>
        <v>94</v>
      </c>
      <c r="Q11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1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5" s="25">
        <v>1</v>
      </c>
    </row>
    <row r="116" spans="1:20" s="26" customFormat="1" x14ac:dyDescent="0.25">
      <c r="A116" s="16">
        <v>220268</v>
      </c>
      <c r="B116" s="30" t="s">
        <v>93</v>
      </c>
      <c r="C116" s="20" t="s">
        <v>637</v>
      </c>
      <c r="D116" s="20" t="s">
        <v>696</v>
      </c>
      <c r="E116" s="20" t="s">
        <v>1766</v>
      </c>
      <c r="F116" s="20" t="s">
        <v>1767</v>
      </c>
      <c r="G116" s="21">
        <v>18.8</v>
      </c>
      <c r="H116" s="16">
        <v>22</v>
      </c>
      <c r="I116" s="16">
        <v>2</v>
      </c>
      <c r="J11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116" s="22"/>
      <c r="L116" s="23"/>
      <c r="M116" s="23">
        <f>SUM(Tabela1746810121422303226816192527313336242101214161824262830384024810121416202226283032343624268101214246101224262442626282626810262862366[[#This Row],[Saldo no cartão]:[Recarga Pendente]])</f>
        <v>0</v>
      </c>
      <c r="N116" s="19">
        <f>Tabela1746810121422303226816192527313336242101214161824262830384024810121416202226283032343624268101214246101224262442626282626810262862366[[#This Row],[Uso diário]]*2</f>
        <v>37.6</v>
      </c>
      <c r="O116" s="19">
        <f>Tabela1746810121422303226816192527313336242101214161824262830384024810121416202226283032343624268101214246101224262442626282626810262862366[[#This Row],[Total Acumulado]]-P116</f>
        <v>-94</v>
      </c>
      <c r="P116" s="48">
        <f>Tabela1746810121422303226816192527313336242101214161824262830384024810121416202226283032343624268101214246101224262442626282626810262862366[[#This Row],[Uso diário]]*5</f>
        <v>94</v>
      </c>
      <c r="Q11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11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6" s="25">
        <v>1</v>
      </c>
    </row>
    <row r="117" spans="1:20" s="26" customFormat="1" x14ac:dyDescent="0.25">
      <c r="A117" s="16">
        <v>220844</v>
      </c>
      <c r="B117" s="30" t="s">
        <v>94</v>
      </c>
      <c r="C117" s="20" t="s">
        <v>637</v>
      </c>
      <c r="D117" s="20" t="s">
        <v>696</v>
      </c>
      <c r="E117" s="20" t="s">
        <v>1768</v>
      </c>
      <c r="F117" s="20" t="s">
        <v>1769</v>
      </c>
      <c r="G117" s="21">
        <v>18.8</v>
      </c>
      <c r="H117" s="16">
        <v>27</v>
      </c>
      <c r="I117" s="16">
        <v>2</v>
      </c>
      <c r="J11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117" s="22"/>
      <c r="L117" s="23"/>
      <c r="M117" s="23">
        <f>SUM(Tabela1746810121422303226816192527313336242101214161824262830384024810121416202226283032343624268101214246101224262442626282626810262862366[[#This Row],[Saldo no cartão]:[Recarga Pendente]])</f>
        <v>0</v>
      </c>
      <c r="N117" s="19">
        <f>Tabela1746810121422303226816192527313336242101214161824262830384024810121416202226283032343624268101214246101224262442626282626810262862366[[#This Row],[Uso diário]]*2</f>
        <v>37.6</v>
      </c>
      <c r="O117" s="19">
        <f>Tabela1746810121422303226816192527313336242101214161824262830384024810121416202226283032343624268101214246101224262442626282626810262862366[[#This Row],[Total Acumulado]]-P117</f>
        <v>-94</v>
      </c>
      <c r="P117" s="48">
        <f>Tabela1746810121422303226816192527313336242101214161824262830384024810121416202226283032343624268101214246101224262442626282626810262862366[[#This Row],[Uso diário]]*5</f>
        <v>94</v>
      </c>
      <c r="Q11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11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7" s="25">
        <v>1</v>
      </c>
    </row>
    <row r="118" spans="1:20" s="26" customFormat="1" x14ac:dyDescent="0.25">
      <c r="A118" s="16">
        <v>221472</v>
      </c>
      <c r="B118" s="30" t="s">
        <v>95</v>
      </c>
      <c r="C118" s="20" t="s">
        <v>637</v>
      </c>
      <c r="D118" s="20" t="s">
        <v>692</v>
      </c>
      <c r="E118" s="20" t="s">
        <v>1770</v>
      </c>
      <c r="F118" s="20" t="s">
        <v>1771</v>
      </c>
      <c r="G118" s="21">
        <v>18.8</v>
      </c>
      <c r="H118" s="16">
        <v>24</v>
      </c>
      <c r="I118" s="16"/>
      <c r="J11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18" s="22"/>
      <c r="L118" s="23"/>
      <c r="M118" s="23">
        <f>SUM(Tabela1746810121422303226816192527313336242101214161824262830384024810121416202226283032343624268101214246101224262442626282626810262862366[[#This Row],[Saldo no cartão]:[Recarga Pendente]])</f>
        <v>0</v>
      </c>
      <c r="N118" s="19">
        <f>Tabela1746810121422303226816192527313336242101214161824262830384024810121416202226283032343624268101214246101224262442626282626810262862366[[#This Row],[Uso diário]]*2</f>
        <v>37.6</v>
      </c>
      <c r="O118" s="19">
        <f>Tabela1746810121422303226816192527313336242101214161824262830384024810121416202226283032343624268101214246101224262442626282626810262862366[[#This Row],[Total Acumulado]]-P118</f>
        <v>-94</v>
      </c>
      <c r="P118" s="48">
        <f>Tabela1746810121422303226816192527313336242101214161824262830384024810121416202226283032343624268101214246101224262442626282626810262862366[[#This Row],[Uso diário]]*5</f>
        <v>94</v>
      </c>
      <c r="Q11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1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8" s="25">
        <v>1</v>
      </c>
    </row>
    <row r="119" spans="1:20" s="26" customFormat="1" x14ac:dyDescent="0.25">
      <c r="A119" s="16">
        <v>222313</v>
      </c>
      <c r="B119" s="30" t="s">
        <v>96</v>
      </c>
      <c r="C119" s="20" t="s">
        <v>637</v>
      </c>
      <c r="D119" s="20" t="s">
        <v>696</v>
      </c>
      <c r="E119" s="20" t="s">
        <v>1772</v>
      </c>
      <c r="F119" s="20" t="s">
        <v>1773</v>
      </c>
      <c r="G119" s="21">
        <v>18.8</v>
      </c>
      <c r="H119" s="16">
        <v>27</v>
      </c>
      <c r="I119" s="16"/>
      <c r="J11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507.6</v>
      </c>
      <c r="K119" s="22"/>
      <c r="L119" s="23"/>
      <c r="M119" s="23">
        <f>SUM(Tabela1746810121422303226816192527313336242101214161824262830384024810121416202226283032343624268101214246101224262442626282626810262862366[[#This Row],[Saldo no cartão]:[Recarga Pendente]])</f>
        <v>0</v>
      </c>
      <c r="N119" s="19">
        <f>Tabela1746810121422303226816192527313336242101214161824262830384024810121416202226283032343624268101214246101224262442626282626810262862366[[#This Row],[Uso diário]]*2</f>
        <v>37.6</v>
      </c>
      <c r="O119" s="19">
        <f>Tabela1746810121422303226816192527313336242101214161824262830384024810121416202226283032343624268101214246101224262442626282626810262862366[[#This Row],[Total Acumulado]]-P119</f>
        <v>-94</v>
      </c>
      <c r="P119" s="48">
        <f>Tabela1746810121422303226816192527313336242101214161824262830384024810121416202226283032343624268101214246101224262442626282626810262862366[[#This Row],[Uso diário]]*5</f>
        <v>94</v>
      </c>
      <c r="Q11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1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507.6</v>
      </c>
      <c r="S11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19" s="25">
        <v>1</v>
      </c>
    </row>
    <row r="120" spans="1:20" s="26" customFormat="1" x14ac:dyDescent="0.25">
      <c r="A120" s="16">
        <v>222443</v>
      </c>
      <c r="B120" s="30" t="s">
        <v>97</v>
      </c>
      <c r="C120" s="20" t="s">
        <v>637</v>
      </c>
      <c r="D120" s="20" t="s">
        <v>692</v>
      </c>
      <c r="E120" s="20" t="s">
        <v>1774</v>
      </c>
      <c r="F120" s="20" t="s">
        <v>1775</v>
      </c>
      <c r="G120" s="21">
        <v>18.8</v>
      </c>
      <c r="H120" s="16">
        <v>27</v>
      </c>
      <c r="I120" s="16">
        <v>5</v>
      </c>
      <c r="J12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20" s="22"/>
      <c r="L120" s="23"/>
      <c r="M120" s="23">
        <f>SUM(Tabela1746810121422303226816192527313336242101214161824262830384024810121416202226283032343624268101214246101224262442626282626810262862366[[#This Row],[Saldo no cartão]:[Recarga Pendente]])</f>
        <v>0</v>
      </c>
      <c r="N120" s="19">
        <f>Tabela1746810121422303226816192527313336242101214161824262830384024810121416202226283032343624268101214246101224262442626282626810262862366[[#This Row],[Uso diário]]*2</f>
        <v>37.6</v>
      </c>
      <c r="O120" s="19">
        <f>Tabela1746810121422303226816192527313336242101214161824262830384024810121416202226283032343624268101214246101224262442626282626810262862366[[#This Row],[Total Acumulado]]-P120</f>
        <v>-94</v>
      </c>
      <c r="P120" s="48">
        <f>Tabela1746810121422303226816192527313336242101214161824262830384024810121416202226283032343624268101214246101224262442626282626810262862366[[#This Row],[Uso diário]]*5</f>
        <v>94</v>
      </c>
      <c r="Q12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2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0" s="25">
        <v>1</v>
      </c>
    </row>
    <row r="121" spans="1:20" s="26" customFormat="1" x14ac:dyDescent="0.25">
      <c r="A121" s="16">
        <v>222607</v>
      </c>
      <c r="B121" s="30" t="s">
        <v>98</v>
      </c>
      <c r="C121" s="20" t="s">
        <v>637</v>
      </c>
      <c r="D121" s="20" t="s">
        <v>696</v>
      </c>
      <c r="E121" s="20" t="s">
        <v>1776</v>
      </c>
      <c r="F121" s="20" t="s">
        <v>1777</v>
      </c>
      <c r="G121" s="21">
        <v>18.8</v>
      </c>
      <c r="H121" s="16">
        <v>22</v>
      </c>
      <c r="I121" s="16"/>
      <c r="J12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21" s="22"/>
      <c r="L121" s="23"/>
      <c r="M121" s="23">
        <f>SUM(Tabela1746810121422303226816192527313336242101214161824262830384024810121416202226283032343624268101214246101224262442626282626810262862366[[#This Row],[Saldo no cartão]:[Recarga Pendente]])</f>
        <v>0</v>
      </c>
      <c r="N121" s="19">
        <f>Tabela1746810121422303226816192527313336242101214161824262830384024810121416202226283032343624268101214246101224262442626282626810262862366[[#This Row],[Uso diário]]*2</f>
        <v>37.6</v>
      </c>
      <c r="O121" s="19">
        <f>Tabela1746810121422303226816192527313336242101214161824262830384024810121416202226283032343624268101214246101224262442626282626810262862366[[#This Row],[Total Acumulado]]-P121</f>
        <v>-94</v>
      </c>
      <c r="P121" s="48">
        <f>Tabela1746810121422303226816192527313336242101214161824262830384024810121416202226283032343624268101214246101224262442626282626810262862366[[#This Row],[Uso diário]]*5</f>
        <v>94</v>
      </c>
      <c r="Q12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2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1" s="25">
        <v>1</v>
      </c>
    </row>
    <row r="122" spans="1:20" s="26" customFormat="1" x14ac:dyDescent="0.25">
      <c r="A122" s="16">
        <v>222631</v>
      </c>
      <c r="B122" s="30" t="s">
        <v>99</v>
      </c>
      <c r="C122" s="20" t="s">
        <v>637</v>
      </c>
      <c r="D122" s="20" t="s">
        <v>692</v>
      </c>
      <c r="E122" s="20" t="s">
        <v>1778</v>
      </c>
      <c r="F122" s="20" t="s">
        <v>1779</v>
      </c>
      <c r="G122" s="21">
        <v>18.8</v>
      </c>
      <c r="H122" s="16">
        <v>24</v>
      </c>
      <c r="I122" s="16"/>
      <c r="J12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22" s="22"/>
      <c r="L122" s="23"/>
      <c r="M122" s="23">
        <f>SUM(Tabela1746810121422303226816192527313336242101214161824262830384024810121416202226283032343624268101214246101224262442626282626810262862366[[#This Row],[Saldo no cartão]:[Recarga Pendente]])</f>
        <v>0</v>
      </c>
      <c r="N122" s="19">
        <f>Tabela1746810121422303226816192527313336242101214161824262830384024810121416202226283032343624268101214246101224262442626282626810262862366[[#This Row],[Uso diário]]*2</f>
        <v>37.6</v>
      </c>
      <c r="O122" s="19">
        <f>Tabela1746810121422303226816192527313336242101214161824262830384024810121416202226283032343624268101214246101224262442626282626810262862366[[#This Row],[Total Acumulado]]-P122</f>
        <v>-94</v>
      </c>
      <c r="P122" s="48">
        <f>Tabela1746810121422303226816192527313336242101214161824262830384024810121416202226283032343624268101214246101224262442626282626810262862366[[#This Row],[Uso diário]]*5</f>
        <v>94</v>
      </c>
      <c r="Q12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2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2" s="25">
        <v>1</v>
      </c>
    </row>
    <row r="123" spans="1:20" s="26" customFormat="1" x14ac:dyDescent="0.25">
      <c r="A123" s="16">
        <v>222634</v>
      </c>
      <c r="B123" s="30" t="s">
        <v>100</v>
      </c>
      <c r="C123" s="20" t="s">
        <v>637</v>
      </c>
      <c r="D123" s="20" t="s">
        <v>692</v>
      </c>
      <c r="E123" s="20" t="s">
        <v>1780</v>
      </c>
      <c r="F123" s="20" t="s">
        <v>1781</v>
      </c>
      <c r="G123" s="21">
        <v>18.8</v>
      </c>
      <c r="H123" s="16">
        <v>24</v>
      </c>
      <c r="I123" s="16">
        <v>1</v>
      </c>
      <c r="J12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23" s="22"/>
      <c r="L123" s="23">
        <v>37.6</v>
      </c>
      <c r="M123" s="23">
        <f>SUM(Tabela1746810121422303226816192527313336242101214161824262830384024810121416202226283032343624268101214246101224262442626282626810262862366[[#This Row],[Saldo no cartão]:[Recarga Pendente]])</f>
        <v>37.6</v>
      </c>
      <c r="N123" s="19">
        <f>Tabela1746810121422303226816192527313336242101214161824262830384024810121416202226283032343624268101214246101224262442626282626810262862366[[#This Row],[Uso diário]]*2</f>
        <v>37.6</v>
      </c>
      <c r="O123" s="19">
        <f>Tabela1746810121422303226816192527313336242101214161824262830384024810121416202226283032343624268101214246101224262442626282626810262862366[[#This Row],[Total Acumulado]]-P123</f>
        <v>-56.4</v>
      </c>
      <c r="P123" s="48">
        <f>Tabela1746810121422303226816192527313336242101214161824262830384024810121416202226283032343624268101214246101224262442626282626810262862366[[#This Row],[Uso diário]]*5</f>
        <v>94</v>
      </c>
      <c r="Q12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2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3" s="25">
        <v>1</v>
      </c>
    </row>
    <row r="124" spans="1:20" s="26" customFormat="1" x14ac:dyDescent="0.25">
      <c r="A124" s="16">
        <v>222861</v>
      </c>
      <c r="B124" s="30" t="s">
        <v>101</v>
      </c>
      <c r="C124" s="20" t="s">
        <v>637</v>
      </c>
      <c r="D124" s="20" t="s">
        <v>692</v>
      </c>
      <c r="E124" s="20" t="s">
        <v>1782</v>
      </c>
      <c r="F124" s="20" t="s">
        <v>1783</v>
      </c>
      <c r="G124" s="21">
        <v>18.8</v>
      </c>
      <c r="H124" s="16">
        <v>24</v>
      </c>
      <c r="I124" s="16">
        <v>1</v>
      </c>
      <c r="J12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24" s="22"/>
      <c r="L124" s="23">
        <v>367.45</v>
      </c>
      <c r="M124" s="23">
        <f>SUM(Tabela1746810121422303226816192527313336242101214161824262830384024810121416202226283032343624268101214246101224262442626282626810262862366[[#This Row],[Saldo no cartão]:[Recarga Pendente]])</f>
        <v>367.45</v>
      </c>
      <c r="N124" s="19">
        <f>Tabela1746810121422303226816192527313336242101214161824262830384024810121416202226283032343624268101214246101224262442626282626810262862366[[#This Row],[Uso diário]]*2</f>
        <v>37.6</v>
      </c>
      <c r="O124" s="19">
        <f>Tabela1746810121422303226816192527313336242101214161824262830384024810121416202226283032343624268101214246101224262442626282626810262862366[[#This Row],[Total Acumulado]]-P124</f>
        <v>273.45</v>
      </c>
      <c r="P124" s="48">
        <f>Tabela1746810121422303226816192527313336242101214161824262830384024810121416202226283032343624268101214246101224262442626282626810262862366[[#This Row],[Uso diário]]*5</f>
        <v>94</v>
      </c>
      <c r="Q12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273.45</v>
      </c>
      <c r="R12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158.95000000000005</v>
      </c>
      <c r="S124" s="18" t="s">
        <v>11</v>
      </c>
      <c r="T124" s="25">
        <v>1</v>
      </c>
    </row>
    <row r="125" spans="1:20" s="26" customFormat="1" x14ac:dyDescent="0.25">
      <c r="A125" s="16">
        <v>222903</v>
      </c>
      <c r="B125" s="30" t="s">
        <v>1141</v>
      </c>
      <c r="C125" s="20" t="s">
        <v>637</v>
      </c>
      <c r="D125" s="20" t="s">
        <v>692</v>
      </c>
      <c r="E125" s="20" t="s">
        <v>1784</v>
      </c>
      <c r="F125" s="20" t="s">
        <v>1785</v>
      </c>
      <c r="G125" s="21">
        <v>18.8</v>
      </c>
      <c r="H125" s="16">
        <v>24</v>
      </c>
      <c r="I125" s="16"/>
      <c r="J12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25" s="22"/>
      <c r="L125" s="23">
        <v>18.8</v>
      </c>
      <c r="M125" s="23">
        <f>SUM(Tabela1746810121422303226816192527313336242101214161824262830384024810121416202226283032343624268101214246101224262442626282626810262862366[[#This Row],[Saldo no cartão]:[Recarga Pendente]])</f>
        <v>18.8</v>
      </c>
      <c r="N125" s="19">
        <f>Tabela1746810121422303226816192527313336242101214161824262830384024810121416202226283032343624268101214246101224262442626282626810262862366[[#This Row],[Uso diário]]*2</f>
        <v>37.6</v>
      </c>
      <c r="O125" s="19">
        <f>Tabela1746810121422303226816192527313336242101214161824262830384024810121416202226283032343624268101214246101224262442626282626810262862366[[#This Row],[Total Acumulado]]-P125</f>
        <v>-75.2</v>
      </c>
      <c r="P125" s="48">
        <f>Tabela1746810121422303226816192527313336242101214161824262830384024810121416202226283032343624268101214246101224262442626282626810262862366[[#This Row],[Uso diário]]*5</f>
        <v>94</v>
      </c>
      <c r="Q12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2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5" s="25">
        <v>1</v>
      </c>
    </row>
    <row r="126" spans="1:20" s="26" customFormat="1" x14ac:dyDescent="0.25">
      <c r="A126" s="16">
        <v>222991</v>
      </c>
      <c r="B126" s="30" t="s">
        <v>1031</v>
      </c>
      <c r="C126" s="20" t="s">
        <v>637</v>
      </c>
      <c r="D126" s="20" t="s">
        <v>692</v>
      </c>
      <c r="E126" s="20" t="s">
        <v>1786</v>
      </c>
      <c r="F126" s="20" t="s">
        <v>1787</v>
      </c>
      <c r="G126" s="21">
        <v>18.8</v>
      </c>
      <c r="H126" s="16">
        <v>27</v>
      </c>
      <c r="I126" s="16">
        <v>1</v>
      </c>
      <c r="J12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126" s="22"/>
      <c r="L126" s="23">
        <v>18.8</v>
      </c>
      <c r="M126" s="23">
        <f>SUM(Tabela1746810121422303226816192527313336242101214161824262830384024810121416202226283032343624268101214246101224262442626282626810262862366[[#This Row],[Saldo no cartão]:[Recarga Pendente]])</f>
        <v>18.8</v>
      </c>
      <c r="N126" s="19">
        <f>Tabela1746810121422303226816192527313336242101214161824262830384024810121416202226283032343624268101214246101224262442626282626810262862366[[#This Row],[Uso diário]]*2</f>
        <v>37.6</v>
      </c>
      <c r="O126" s="19">
        <f>Tabela1746810121422303226816192527313336242101214161824262830384024810121416202226283032343624268101214246101224262442626282626810262862366[[#This Row],[Total Acumulado]]-P126</f>
        <v>-75.2</v>
      </c>
      <c r="P126" s="48">
        <f>Tabela1746810121422303226816192527313336242101214161824262830384024810121416202226283032343624268101214246101224262442626282626810262862366[[#This Row],[Uso diário]]*5</f>
        <v>94</v>
      </c>
      <c r="Q12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12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6" s="25">
        <v>1</v>
      </c>
    </row>
    <row r="127" spans="1:20" s="26" customFormat="1" x14ac:dyDescent="0.25">
      <c r="A127" s="16">
        <v>223171</v>
      </c>
      <c r="B127" s="30" t="s">
        <v>103</v>
      </c>
      <c r="C127" s="20" t="s">
        <v>637</v>
      </c>
      <c r="D127" s="20" t="s">
        <v>694</v>
      </c>
      <c r="E127" s="20" t="s">
        <v>1788</v>
      </c>
      <c r="F127" s="20" t="s">
        <v>1789</v>
      </c>
      <c r="G127" s="21">
        <v>18.8</v>
      </c>
      <c r="H127" s="16">
        <v>24</v>
      </c>
      <c r="I127" s="16"/>
      <c r="J12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27" s="22"/>
      <c r="L127" s="23"/>
      <c r="M127" s="23">
        <f>SUM(Tabela1746810121422303226816192527313336242101214161824262830384024810121416202226283032343624268101214246101224262442626282626810262862366[[#This Row],[Saldo no cartão]:[Recarga Pendente]])</f>
        <v>0</v>
      </c>
      <c r="N127" s="19">
        <f>Tabela1746810121422303226816192527313336242101214161824262830384024810121416202226283032343624268101214246101224262442626282626810262862366[[#This Row],[Uso diário]]*2</f>
        <v>37.6</v>
      </c>
      <c r="O127" s="19">
        <f>Tabela1746810121422303226816192527313336242101214161824262830384024810121416202226283032343624268101214246101224262442626282626810262862366[[#This Row],[Total Acumulado]]-P127</f>
        <v>-94</v>
      </c>
      <c r="P127" s="48">
        <f>Tabela1746810121422303226816192527313336242101214161824262830384024810121416202226283032343624268101214246101224262442626282626810262862366[[#This Row],[Uso diário]]*5</f>
        <v>94</v>
      </c>
      <c r="Q12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2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7" s="25">
        <v>1</v>
      </c>
    </row>
    <row r="128" spans="1:20" s="26" customFormat="1" x14ac:dyDescent="0.25">
      <c r="A128" s="16">
        <v>223245</v>
      </c>
      <c r="B128" s="30" t="s">
        <v>104</v>
      </c>
      <c r="C128" s="20" t="s">
        <v>637</v>
      </c>
      <c r="D128" s="20" t="s">
        <v>692</v>
      </c>
      <c r="E128" s="20" t="s">
        <v>1790</v>
      </c>
      <c r="F128" s="20" t="s">
        <v>1791</v>
      </c>
      <c r="G128" s="21">
        <v>18.8</v>
      </c>
      <c r="H128" s="16">
        <v>27</v>
      </c>
      <c r="I128" s="16">
        <v>5</v>
      </c>
      <c r="J12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28" s="22"/>
      <c r="L128" s="23"/>
      <c r="M128" s="23">
        <f>SUM(Tabela1746810121422303226816192527313336242101214161824262830384024810121416202226283032343624268101214246101224262442626282626810262862366[[#This Row],[Saldo no cartão]:[Recarga Pendente]])</f>
        <v>0</v>
      </c>
      <c r="N128" s="19">
        <f>Tabela1746810121422303226816192527313336242101214161824262830384024810121416202226283032343624268101214246101224262442626282626810262862366[[#This Row],[Uso diário]]*2</f>
        <v>37.6</v>
      </c>
      <c r="O128" s="19">
        <f>Tabela1746810121422303226816192527313336242101214161824262830384024810121416202226283032343624268101214246101224262442626282626810262862366[[#This Row],[Total Acumulado]]-P128</f>
        <v>-94</v>
      </c>
      <c r="P128" s="48">
        <f>Tabela1746810121422303226816192527313336242101214161824262830384024810121416202226283032343624268101214246101224262442626282626810262862366[[#This Row],[Uso diário]]*5</f>
        <v>94</v>
      </c>
      <c r="Q12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2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8" s="25">
        <v>1</v>
      </c>
    </row>
    <row r="129" spans="1:20" s="26" customFormat="1" x14ac:dyDescent="0.25">
      <c r="A129" s="16">
        <v>223247</v>
      </c>
      <c r="B129" s="30" t="s">
        <v>105</v>
      </c>
      <c r="C129" s="20" t="s">
        <v>637</v>
      </c>
      <c r="D129" s="20" t="s">
        <v>692</v>
      </c>
      <c r="E129" s="20" t="s">
        <v>1792</v>
      </c>
      <c r="F129" s="20" t="s">
        <v>1793</v>
      </c>
      <c r="G129" s="21">
        <v>13.4</v>
      </c>
      <c r="H129" s="16">
        <v>24</v>
      </c>
      <c r="I129" s="16"/>
      <c r="J12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321.60000000000002</v>
      </c>
      <c r="K129" s="22"/>
      <c r="L129" s="23"/>
      <c r="M129" s="23">
        <f>SUM(Tabela1746810121422303226816192527313336242101214161824262830384024810121416202226283032343624268101214246101224262442626282626810262862366[[#This Row],[Saldo no cartão]:[Recarga Pendente]])</f>
        <v>0</v>
      </c>
      <c r="N129" s="19">
        <f>Tabela1746810121422303226816192527313336242101214161824262830384024810121416202226283032343624268101214246101224262442626282626810262862366[[#This Row],[Uso diário]]*2</f>
        <v>26.8</v>
      </c>
      <c r="O129" s="19">
        <f>Tabela1746810121422303226816192527313336242101214161824262830384024810121416202226283032343624268101214246101224262442626282626810262862366[[#This Row],[Total Acumulado]]-P129</f>
        <v>-67</v>
      </c>
      <c r="P129" s="48">
        <f>Tabela1746810121422303226816192527313336242101214161824262830384024810121416202226283032343624268101214246101224262442626282626810262862366[[#This Row],[Uso diário]]*5</f>
        <v>67</v>
      </c>
      <c r="Q12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2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321.60000000000002</v>
      </c>
      <c r="S12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29" s="25">
        <v>1</v>
      </c>
    </row>
    <row r="130" spans="1:20" s="26" customFormat="1" x14ac:dyDescent="0.25">
      <c r="A130" s="16">
        <v>223401</v>
      </c>
      <c r="B130" s="30" t="s">
        <v>106</v>
      </c>
      <c r="C130" s="20" t="s">
        <v>637</v>
      </c>
      <c r="D130" s="20" t="s">
        <v>692</v>
      </c>
      <c r="E130" s="20" t="s">
        <v>1794</v>
      </c>
      <c r="F130" s="20" t="s">
        <v>1795</v>
      </c>
      <c r="G130" s="21">
        <v>18.8</v>
      </c>
      <c r="H130" s="16">
        <v>24</v>
      </c>
      <c r="I130" s="16"/>
      <c r="J13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30" s="22"/>
      <c r="L130" s="23"/>
      <c r="M130" s="23">
        <f>SUM(Tabela1746810121422303226816192527313336242101214161824262830384024810121416202226283032343624268101214246101224262442626282626810262862366[[#This Row],[Saldo no cartão]:[Recarga Pendente]])</f>
        <v>0</v>
      </c>
      <c r="N130" s="19">
        <f>Tabela1746810121422303226816192527313336242101214161824262830384024810121416202226283032343624268101214246101224262442626282626810262862366[[#This Row],[Uso diário]]*2</f>
        <v>37.6</v>
      </c>
      <c r="O130" s="19">
        <f>Tabela1746810121422303226816192527313336242101214161824262830384024810121416202226283032343624268101214246101224262442626282626810262862366[[#This Row],[Total Acumulado]]-P130</f>
        <v>-94</v>
      </c>
      <c r="P130" s="48">
        <f>Tabela1746810121422303226816192527313336242101214161824262830384024810121416202226283032343624268101214246101224262442626282626810262862366[[#This Row],[Uso diário]]*5</f>
        <v>94</v>
      </c>
      <c r="Q13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3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0" s="25">
        <v>1</v>
      </c>
    </row>
    <row r="131" spans="1:20" s="26" customFormat="1" x14ac:dyDescent="0.25">
      <c r="A131" s="16">
        <v>223598</v>
      </c>
      <c r="B131" s="30" t="s">
        <v>107</v>
      </c>
      <c r="C131" s="20" t="s">
        <v>637</v>
      </c>
      <c r="D131" s="20" t="s">
        <v>692</v>
      </c>
      <c r="E131" s="20" t="s">
        <v>1796</v>
      </c>
      <c r="F131" s="20" t="s">
        <v>1797</v>
      </c>
      <c r="G131" s="21">
        <v>18.8</v>
      </c>
      <c r="H131" s="16">
        <v>27</v>
      </c>
      <c r="I131" s="16">
        <v>4</v>
      </c>
      <c r="J13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31" s="22"/>
      <c r="L131" s="23"/>
      <c r="M131" s="23">
        <f>SUM(Tabela1746810121422303226816192527313336242101214161824262830384024810121416202226283032343624268101214246101224262442626282626810262862366[[#This Row],[Saldo no cartão]:[Recarga Pendente]])</f>
        <v>0</v>
      </c>
      <c r="N131" s="19">
        <f>Tabela1746810121422303226816192527313336242101214161824262830384024810121416202226283032343624268101214246101224262442626282626810262862366[[#This Row],[Uso diário]]*2</f>
        <v>37.6</v>
      </c>
      <c r="O131" s="19">
        <f>Tabela1746810121422303226816192527313336242101214161824262830384024810121416202226283032343624268101214246101224262442626282626810262862366[[#This Row],[Total Acumulado]]-P131</f>
        <v>-94</v>
      </c>
      <c r="P131" s="48">
        <f>Tabela1746810121422303226816192527313336242101214161824262830384024810121416202226283032343624268101214246101224262442626282626810262862366[[#This Row],[Uso diário]]*5</f>
        <v>94</v>
      </c>
      <c r="Q13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3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1" s="25">
        <v>1</v>
      </c>
    </row>
    <row r="132" spans="1:20" s="26" customFormat="1" x14ac:dyDescent="0.25">
      <c r="A132" s="16">
        <v>224175</v>
      </c>
      <c r="B132" s="30" t="s">
        <v>54</v>
      </c>
      <c r="C132" s="20" t="s">
        <v>637</v>
      </c>
      <c r="D132" s="20" t="s">
        <v>807</v>
      </c>
      <c r="E132" s="20" t="s">
        <v>1798</v>
      </c>
      <c r="F132" s="20" t="s">
        <v>1799</v>
      </c>
      <c r="G132" s="21">
        <v>18.8</v>
      </c>
      <c r="H132" s="16">
        <v>24</v>
      </c>
      <c r="I132" s="16">
        <v>1</v>
      </c>
      <c r="J13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32" s="22"/>
      <c r="L132" s="23"/>
      <c r="M132" s="23">
        <f>SUM(Tabela1746810121422303226816192527313336242101214161824262830384024810121416202226283032343624268101214246101224262442626282626810262862366[[#This Row],[Saldo no cartão]:[Recarga Pendente]])</f>
        <v>0</v>
      </c>
      <c r="N132" s="19">
        <f>Tabela1746810121422303226816192527313336242101214161824262830384024810121416202226283032343624268101214246101224262442626282626810262862366[[#This Row],[Uso diário]]*2</f>
        <v>37.6</v>
      </c>
      <c r="O132" s="19">
        <f>Tabela1746810121422303226816192527313336242101214161824262830384024810121416202226283032343624268101214246101224262442626282626810262862366[[#This Row],[Total Acumulado]]-P132</f>
        <v>-94</v>
      </c>
      <c r="P132" s="48">
        <f>Tabela1746810121422303226816192527313336242101214161824262830384024810121416202226283032343624268101214246101224262442626282626810262862366[[#This Row],[Uso diário]]*5</f>
        <v>94</v>
      </c>
      <c r="Q13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3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2" s="25">
        <v>1</v>
      </c>
    </row>
    <row r="133" spans="1:20" s="26" customFormat="1" x14ac:dyDescent="0.25">
      <c r="A133" s="16">
        <v>224576</v>
      </c>
      <c r="B133" s="30" t="s">
        <v>1142</v>
      </c>
      <c r="C133" s="20" t="s">
        <v>637</v>
      </c>
      <c r="D133" s="20" t="s">
        <v>696</v>
      </c>
      <c r="E133" s="20" t="s">
        <v>1800</v>
      </c>
      <c r="F133" s="20" t="s">
        <v>1801</v>
      </c>
      <c r="G133" s="21">
        <v>18.8</v>
      </c>
      <c r="H133" s="16">
        <v>22</v>
      </c>
      <c r="I133" s="16">
        <v>3</v>
      </c>
      <c r="J13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133" s="22"/>
      <c r="L133" s="23"/>
      <c r="M133" s="23">
        <f>SUM(Tabela1746810121422303226816192527313336242101214161824262830384024810121416202226283032343624268101214246101224262442626282626810262862366[[#This Row],[Saldo no cartão]:[Recarga Pendente]])</f>
        <v>0</v>
      </c>
      <c r="N133" s="19">
        <f>Tabela1746810121422303226816192527313336242101214161824262830384024810121416202226283032343624268101214246101224262442626282626810262862366[[#This Row],[Uso diário]]*2</f>
        <v>37.6</v>
      </c>
      <c r="O133" s="19">
        <f>Tabela1746810121422303226816192527313336242101214161824262830384024810121416202226283032343624268101214246101224262442626282626810262862366[[#This Row],[Total Acumulado]]-P133</f>
        <v>-94</v>
      </c>
      <c r="P133" s="48">
        <f>Tabela1746810121422303226816192527313336242101214161824262830384024810121416202226283032343624268101214246101224262442626282626810262862366[[#This Row],[Uso diário]]*5</f>
        <v>94</v>
      </c>
      <c r="Q13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357.2</v>
      </c>
      <c r="S13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3" s="25">
        <v>1</v>
      </c>
    </row>
    <row r="134" spans="1:20" s="26" customFormat="1" x14ac:dyDescent="0.25">
      <c r="A134" s="16">
        <v>225030</v>
      </c>
      <c r="B134" s="30" t="s">
        <v>108</v>
      </c>
      <c r="C134" s="20" t="s">
        <v>637</v>
      </c>
      <c r="D134" s="20" t="s">
        <v>807</v>
      </c>
      <c r="E134" s="20" t="s">
        <v>1802</v>
      </c>
      <c r="F134" s="20" t="s">
        <v>1803</v>
      </c>
      <c r="G134" s="21">
        <v>18.8</v>
      </c>
      <c r="H134" s="16">
        <v>24</v>
      </c>
      <c r="I134" s="16">
        <v>1</v>
      </c>
      <c r="J13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34" s="22"/>
      <c r="L134" s="23"/>
      <c r="M134" s="23">
        <f>SUM(Tabela1746810121422303226816192527313336242101214161824262830384024810121416202226283032343624268101214246101224262442626282626810262862366[[#This Row],[Saldo no cartão]:[Recarga Pendente]])</f>
        <v>0</v>
      </c>
      <c r="N134" s="19">
        <f>Tabela1746810121422303226816192527313336242101214161824262830384024810121416202226283032343624268101214246101224262442626282626810262862366[[#This Row],[Uso diário]]*2</f>
        <v>37.6</v>
      </c>
      <c r="O134" s="19">
        <f>Tabela1746810121422303226816192527313336242101214161824262830384024810121416202226283032343624268101214246101224262442626282626810262862366[[#This Row],[Total Acumulado]]-P134</f>
        <v>-94</v>
      </c>
      <c r="P134" s="48">
        <f>Tabela1746810121422303226816192527313336242101214161824262830384024810121416202226283032343624268101214246101224262442626282626810262862366[[#This Row],[Uso diário]]*5</f>
        <v>94</v>
      </c>
      <c r="Q13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3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4" s="25">
        <v>1</v>
      </c>
    </row>
    <row r="135" spans="1:20" s="26" customFormat="1" x14ac:dyDescent="0.25">
      <c r="A135" s="16">
        <v>225353</v>
      </c>
      <c r="B135" s="30" t="s">
        <v>109</v>
      </c>
      <c r="C135" s="20" t="s">
        <v>637</v>
      </c>
      <c r="D135" s="20" t="s">
        <v>696</v>
      </c>
      <c r="E135" s="20" t="s">
        <v>1804</v>
      </c>
      <c r="F135" s="20" t="s">
        <v>1805</v>
      </c>
      <c r="G135" s="21">
        <v>18.8</v>
      </c>
      <c r="H135" s="16">
        <v>27</v>
      </c>
      <c r="I135" s="16">
        <v>3</v>
      </c>
      <c r="J13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35" s="22"/>
      <c r="L135" s="23"/>
      <c r="M135" s="23">
        <f>SUM(Tabela1746810121422303226816192527313336242101214161824262830384024810121416202226283032343624268101214246101224262442626282626810262862366[[#This Row],[Saldo no cartão]:[Recarga Pendente]])</f>
        <v>0</v>
      </c>
      <c r="N135" s="19">
        <f>Tabela1746810121422303226816192527313336242101214161824262830384024810121416202226283032343624268101214246101224262442626282626810262862366[[#This Row],[Uso diário]]*2</f>
        <v>37.6</v>
      </c>
      <c r="O135" s="19">
        <f>Tabela1746810121422303226816192527313336242101214161824262830384024810121416202226283032343624268101214246101224262442626282626810262862366[[#This Row],[Total Acumulado]]-P135</f>
        <v>-94</v>
      </c>
      <c r="P135" s="48">
        <f>Tabela1746810121422303226816192527313336242101214161824262830384024810121416202226283032343624268101214246101224262442626282626810262862366[[#This Row],[Uso diário]]*5</f>
        <v>94</v>
      </c>
      <c r="Q13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3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5" s="25">
        <v>1</v>
      </c>
    </row>
    <row r="136" spans="1:20" s="26" customFormat="1" x14ac:dyDescent="0.25">
      <c r="A136" s="16">
        <v>225667</v>
      </c>
      <c r="B136" s="30" t="s">
        <v>110</v>
      </c>
      <c r="C136" s="20" t="s">
        <v>637</v>
      </c>
      <c r="D136" s="20" t="s">
        <v>692</v>
      </c>
      <c r="E136" s="20" t="s">
        <v>1806</v>
      </c>
      <c r="F136" s="20" t="s">
        <v>1807</v>
      </c>
      <c r="G136" s="21">
        <v>18.8</v>
      </c>
      <c r="H136" s="16">
        <v>27</v>
      </c>
      <c r="I136" s="16">
        <v>5</v>
      </c>
      <c r="J13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36" s="22"/>
      <c r="L136" s="23"/>
      <c r="M136" s="23">
        <f>SUM(Tabela1746810121422303226816192527313336242101214161824262830384024810121416202226283032343624268101214246101224262442626282626810262862366[[#This Row],[Saldo no cartão]:[Recarga Pendente]])</f>
        <v>0</v>
      </c>
      <c r="N136" s="19">
        <f>Tabela1746810121422303226816192527313336242101214161824262830384024810121416202226283032343624268101214246101224262442626282626810262862366[[#This Row],[Uso diário]]*2</f>
        <v>37.6</v>
      </c>
      <c r="O136" s="19">
        <f>Tabela1746810121422303226816192527313336242101214161824262830384024810121416202226283032343624268101214246101224262442626282626810262862366[[#This Row],[Total Acumulado]]-P136</f>
        <v>-94</v>
      </c>
      <c r="P136" s="48">
        <f>Tabela1746810121422303226816192527313336242101214161824262830384024810121416202226283032343624268101214246101224262442626282626810262862366[[#This Row],[Uso diário]]*5</f>
        <v>94</v>
      </c>
      <c r="Q13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3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6" s="25">
        <v>1</v>
      </c>
    </row>
    <row r="137" spans="1:20" s="26" customFormat="1" x14ac:dyDescent="0.25">
      <c r="A137" s="16">
        <v>225738</v>
      </c>
      <c r="B137" s="30" t="s">
        <v>111</v>
      </c>
      <c r="C137" s="20" t="s">
        <v>637</v>
      </c>
      <c r="D137" s="20" t="s">
        <v>692</v>
      </c>
      <c r="E137" s="20" t="s">
        <v>1808</v>
      </c>
      <c r="F137" s="20" t="s">
        <v>1809</v>
      </c>
      <c r="G137" s="21">
        <v>18.8</v>
      </c>
      <c r="H137" s="16">
        <v>24</v>
      </c>
      <c r="I137" s="16"/>
      <c r="J13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37" s="22"/>
      <c r="L137" s="23"/>
      <c r="M137" s="23">
        <f>SUM(Tabela1746810121422303226816192527313336242101214161824262830384024810121416202226283032343624268101214246101224262442626282626810262862366[[#This Row],[Saldo no cartão]:[Recarga Pendente]])</f>
        <v>0</v>
      </c>
      <c r="N137" s="19">
        <f>Tabela1746810121422303226816192527313336242101214161824262830384024810121416202226283032343624268101214246101224262442626282626810262862366[[#This Row],[Uso diário]]*2</f>
        <v>37.6</v>
      </c>
      <c r="O137" s="19">
        <f>Tabela1746810121422303226816192527313336242101214161824262830384024810121416202226283032343624268101214246101224262442626282626810262862366[[#This Row],[Total Acumulado]]-P137</f>
        <v>-94</v>
      </c>
      <c r="P137" s="48">
        <f>Tabela1746810121422303226816192527313336242101214161824262830384024810121416202226283032343624268101214246101224262442626282626810262862366[[#This Row],[Uso diário]]*5</f>
        <v>94</v>
      </c>
      <c r="Q13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3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7" s="25">
        <v>1</v>
      </c>
    </row>
    <row r="138" spans="1:20" s="26" customFormat="1" x14ac:dyDescent="0.25">
      <c r="A138" s="16">
        <v>225783</v>
      </c>
      <c r="B138" s="30" t="s">
        <v>112</v>
      </c>
      <c r="C138" s="20" t="s">
        <v>637</v>
      </c>
      <c r="D138" s="20" t="s">
        <v>693</v>
      </c>
      <c r="E138" s="20" t="s">
        <v>1810</v>
      </c>
      <c r="F138" s="20" t="s">
        <v>1811</v>
      </c>
      <c r="G138" s="21">
        <v>18.8</v>
      </c>
      <c r="H138" s="16">
        <v>24</v>
      </c>
      <c r="I138" s="16">
        <v>2</v>
      </c>
      <c r="J13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38" s="22"/>
      <c r="L138" s="23"/>
      <c r="M138" s="23">
        <f>SUM(Tabela1746810121422303226816192527313336242101214161824262830384024810121416202226283032343624268101214246101224262442626282626810262862366[[#This Row],[Saldo no cartão]:[Recarga Pendente]])</f>
        <v>0</v>
      </c>
      <c r="N138" s="19">
        <f>Tabela1746810121422303226816192527313336242101214161824262830384024810121416202226283032343624268101214246101224262442626282626810262862366[[#This Row],[Uso diário]]*2</f>
        <v>37.6</v>
      </c>
      <c r="O138" s="19">
        <f>Tabela1746810121422303226816192527313336242101214161824262830384024810121416202226283032343624268101214246101224262442626282626810262862366[[#This Row],[Total Acumulado]]-P138</f>
        <v>-94</v>
      </c>
      <c r="P138" s="48">
        <f>Tabela1746810121422303226816192527313336242101214161824262830384024810121416202226283032343624268101214246101224262442626282626810262862366[[#This Row],[Uso diário]]*5</f>
        <v>94</v>
      </c>
      <c r="Q13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3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8" s="25">
        <v>1</v>
      </c>
    </row>
    <row r="139" spans="1:20" s="26" customFormat="1" x14ac:dyDescent="0.25">
      <c r="A139" s="16">
        <v>225827</v>
      </c>
      <c r="B139" s="30" t="s">
        <v>113</v>
      </c>
      <c r="C139" s="20" t="s">
        <v>637</v>
      </c>
      <c r="D139" s="20" t="s">
        <v>696</v>
      </c>
      <c r="E139" s="20" t="s">
        <v>1812</v>
      </c>
      <c r="F139" s="20" t="s">
        <v>1813</v>
      </c>
      <c r="G139" s="21">
        <v>18.8</v>
      </c>
      <c r="H139" s="16">
        <v>15</v>
      </c>
      <c r="I139" s="16">
        <v>1</v>
      </c>
      <c r="J13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263.2</v>
      </c>
      <c r="K139" s="22"/>
      <c r="L139" s="23"/>
      <c r="M139" s="23">
        <f>SUM(Tabela1746810121422303226816192527313336242101214161824262830384024810121416202226283032343624268101214246101224262442626282626810262862366[[#This Row],[Saldo no cartão]:[Recarga Pendente]])</f>
        <v>0</v>
      </c>
      <c r="N139" s="19">
        <f>Tabela1746810121422303226816192527313336242101214161824262830384024810121416202226283032343624268101214246101224262442626282626810262862366[[#This Row],[Uso diário]]*2</f>
        <v>37.6</v>
      </c>
      <c r="O139" s="19">
        <f>Tabela1746810121422303226816192527313336242101214161824262830384024810121416202226283032343624268101214246101224262442626282626810262862366[[#This Row],[Total Acumulado]]-P139</f>
        <v>-94</v>
      </c>
      <c r="P139" s="48">
        <f>Tabela1746810121422303226816192527313336242101214161824262830384024810121416202226283032343624268101214246101224262442626282626810262862366[[#This Row],[Uso diário]]*5</f>
        <v>94</v>
      </c>
      <c r="Q13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3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263.2</v>
      </c>
      <c r="S13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39" s="25">
        <v>1</v>
      </c>
    </row>
    <row r="140" spans="1:20" s="26" customFormat="1" x14ac:dyDescent="0.25">
      <c r="A140" s="16">
        <v>225911</v>
      </c>
      <c r="B140" s="30" t="s">
        <v>1397</v>
      </c>
      <c r="C140" s="20" t="s">
        <v>637</v>
      </c>
      <c r="D140" s="20" t="s">
        <v>696</v>
      </c>
      <c r="E140" s="20" t="s">
        <v>1814</v>
      </c>
      <c r="F140" s="20" t="s">
        <v>1815</v>
      </c>
      <c r="G140" s="21">
        <v>18.8</v>
      </c>
      <c r="H140" s="16">
        <v>24</v>
      </c>
      <c r="I140" s="16">
        <v>1</v>
      </c>
      <c r="J14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40" s="22"/>
      <c r="L140" s="23"/>
      <c r="M140" s="23">
        <f>SUM(Tabela1746810121422303226816192527313336242101214161824262830384024810121416202226283032343624268101214246101224262442626282626810262862366[[#This Row],[Saldo no cartão]:[Recarga Pendente]])</f>
        <v>0</v>
      </c>
      <c r="N140" s="19">
        <f>Tabela1746810121422303226816192527313336242101214161824262830384024810121416202226283032343624268101214246101224262442626282626810262862366[[#This Row],[Uso diário]]*2</f>
        <v>37.6</v>
      </c>
      <c r="O140" s="19">
        <f>Tabela1746810121422303226816192527313336242101214161824262830384024810121416202226283032343624268101214246101224262442626282626810262862366[[#This Row],[Total Acumulado]]-P140</f>
        <v>-94</v>
      </c>
      <c r="P140" s="48">
        <f>Tabela1746810121422303226816192527313336242101214161824262830384024810121416202226283032343624268101214246101224262442626282626810262862366[[#This Row],[Uso diário]]*5</f>
        <v>94</v>
      </c>
      <c r="Q14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4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0" s="25">
        <v>1</v>
      </c>
    </row>
    <row r="141" spans="1:20" s="26" customFormat="1" x14ac:dyDescent="0.25">
      <c r="A141" s="16">
        <v>226078</v>
      </c>
      <c r="B141" s="30" t="s">
        <v>114</v>
      </c>
      <c r="C141" s="20" t="s">
        <v>637</v>
      </c>
      <c r="D141" s="20" t="s">
        <v>692</v>
      </c>
      <c r="E141" s="20" t="s">
        <v>1816</v>
      </c>
      <c r="F141" s="20" t="s">
        <v>1817</v>
      </c>
      <c r="G141" s="21">
        <v>18.8</v>
      </c>
      <c r="H141" s="16">
        <v>24</v>
      </c>
      <c r="I141" s="16">
        <v>1</v>
      </c>
      <c r="J14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41" s="22"/>
      <c r="L141" s="23"/>
      <c r="M141" s="23">
        <f>SUM(Tabela1746810121422303226816192527313336242101214161824262830384024810121416202226283032343624268101214246101224262442626282626810262862366[[#This Row],[Saldo no cartão]:[Recarga Pendente]])</f>
        <v>0</v>
      </c>
      <c r="N141" s="19">
        <f>Tabela1746810121422303226816192527313336242101214161824262830384024810121416202226283032343624268101214246101224262442626282626810262862366[[#This Row],[Uso diário]]*2</f>
        <v>37.6</v>
      </c>
      <c r="O141" s="19">
        <f>Tabela1746810121422303226816192527313336242101214161824262830384024810121416202226283032343624268101214246101224262442626282626810262862366[[#This Row],[Total Acumulado]]-P141</f>
        <v>-94</v>
      </c>
      <c r="P141" s="48">
        <f>Tabela1746810121422303226816192527313336242101214161824262830384024810121416202226283032343624268101214246101224262442626282626810262862366[[#This Row],[Uso diário]]*5</f>
        <v>94</v>
      </c>
      <c r="Q14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4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1" s="25">
        <v>1</v>
      </c>
    </row>
    <row r="142" spans="1:20" s="26" customFormat="1" ht="22.5" x14ac:dyDescent="0.25">
      <c r="A142" s="16">
        <v>226243</v>
      </c>
      <c r="B142" s="30" t="s">
        <v>115</v>
      </c>
      <c r="C142" s="20" t="s">
        <v>637</v>
      </c>
      <c r="D142" s="20" t="s">
        <v>692</v>
      </c>
      <c r="E142" s="20" t="s">
        <v>1818</v>
      </c>
      <c r="F142" s="20" t="s">
        <v>1819</v>
      </c>
      <c r="G142" s="21">
        <v>18.8</v>
      </c>
      <c r="H142" s="16">
        <v>5</v>
      </c>
      <c r="I142" s="16">
        <v>8</v>
      </c>
      <c r="J142" s="17">
        <v>0</v>
      </c>
      <c r="K142" s="22"/>
      <c r="L142" s="23"/>
      <c r="M142" s="23">
        <f>SUM(Tabela1746810121422303226816192527313336242101214161824262830384024810121416202226283032343624268101214246101224262442626282626810262862366[[#This Row],[Saldo no cartão]:[Recarga Pendente]])</f>
        <v>0</v>
      </c>
      <c r="N142" s="19">
        <f>Tabela1746810121422303226816192527313336242101214161824262830384024810121416202226283032343624268101214246101224262442626282626810262862366[[#This Row],[Uso diário]]*2</f>
        <v>37.6</v>
      </c>
      <c r="O142" s="19">
        <f>Tabela1746810121422303226816192527313336242101214161824262830384024810121416202226283032343624268101214246101224262442626282626810262862366[[#This Row],[Total Acumulado]]-P142</f>
        <v>-94</v>
      </c>
      <c r="P142" s="48">
        <f>Tabela1746810121422303226816192527313336242101214161824262830384024810121416202226283032343624268101214246101224262442626282626810262862366[[#This Row],[Uso diário]]*5</f>
        <v>94</v>
      </c>
      <c r="Q14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0</v>
      </c>
      <c r="S142" s="18" t="str">
        <f>IF(Tabela1746810121422303226816192527313336242101214161824262830384024810121416202226283032343624268101214246101224262442626282626810262862366[[#This Row],[Pedido Final]]=0,"NÃO EFETUAR RECARGA","RECARGA NORMAL")</f>
        <v>NÃO EFETUAR RECARGA</v>
      </c>
      <c r="T142" s="25">
        <v>1</v>
      </c>
    </row>
    <row r="143" spans="1:20" s="26" customFormat="1" x14ac:dyDescent="0.25">
      <c r="A143" s="16">
        <v>226556</v>
      </c>
      <c r="B143" s="30" t="s">
        <v>1143</v>
      </c>
      <c r="C143" s="20" t="s">
        <v>637</v>
      </c>
      <c r="D143" s="20" t="s">
        <v>696</v>
      </c>
      <c r="E143" s="20" t="s">
        <v>1820</v>
      </c>
      <c r="F143" s="20" t="s">
        <v>1821</v>
      </c>
      <c r="G143" s="21">
        <v>18.8</v>
      </c>
      <c r="H143" s="16">
        <v>27</v>
      </c>
      <c r="I143" s="16">
        <v>13</v>
      </c>
      <c r="J14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263.2</v>
      </c>
      <c r="K143" s="22"/>
      <c r="L143" s="23"/>
      <c r="M143" s="23">
        <f>SUM(Tabela1746810121422303226816192527313336242101214161824262830384024810121416202226283032343624268101214246101224262442626282626810262862366[[#This Row],[Saldo no cartão]:[Recarga Pendente]])</f>
        <v>0</v>
      </c>
      <c r="N143" s="19">
        <f>Tabela1746810121422303226816192527313336242101214161824262830384024810121416202226283032343624268101214246101224262442626282626810262862366[[#This Row],[Uso diário]]*2</f>
        <v>37.6</v>
      </c>
      <c r="O143" s="19">
        <f>Tabela1746810121422303226816192527313336242101214161824262830384024810121416202226283032343624268101214246101224262442626282626810262862366[[#This Row],[Total Acumulado]]-P143</f>
        <v>-94</v>
      </c>
      <c r="P143" s="48">
        <f>Tabela1746810121422303226816192527313336242101214161824262830384024810121416202226283032343624268101214246101224262442626282626810262862366[[#This Row],[Uso diário]]*5</f>
        <v>94</v>
      </c>
      <c r="Q14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263.2</v>
      </c>
      <c r="S14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3" s="25">
        <v>1</v>
      </c>
    </row>
    <row r="144" spans="1:20" s="26" customFormat="1" x14ac:dyDescent="0.25">
      <c r="A144" s="16">
        <v>226795</v>
      </c>
      <c r="B144" s="30" t="s">
        <v>116</v>
      </c>
      <c r="C144" s="20" t="s">
        <v>637</v>
      </c>
      <c r="D144" s="20" t="s">
        <v>692</v>
      </c>
      <c r="E144" s="20" t="s">
        <v>1822</v>
      </c>
      <c r="F144" s="20" t="s">
        <v>1823</v>
      </c>
      <c r="G144" s="21">
        <v>18.8</v>
      </c>
      <c r="H144" s="16">
        <v>24</v>
      </c>
      <c r="I144" s="16">
        <v>8</v>
      </c>
      <c r="J14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300.8</v>
      </c>
      <c r="K144" s="22"/>
      <c r="L144" s="23"/>
      <c r="M144" s="23">
        <f>SUM(Tabela1746810121422303226816192527313336242101214161824262830384024810121416202226283032343624268101214246101224262442626282626810262862366[[#This Row],[Saldo no cartão]:[Recarga Pendente]])</f>
        <v>0</v>
      </c>
      <c r="N144" s="19">
        <f>Tabela1746810121422303226816192527313336242101214161824262830384024810121416202226283032343624268101214246101224262442626282626810262862366[[#This Row],[Uso diário]]*2</f>
        <v>37.6</v>
      </c>
      <c r="O144" s="19">
        <f>Tabela1746810121422303226816192527313336242101214161824262830384024810121416202226283032343624268101214246101224262442626282626810262862366[[#This Row],[Total Acumulado]]-P144</f>
        <v>-94</v>
      </c>
      <c r="P144" s="48">
        <f>Tabela1746810121422303226816192527313336242101214161824262830384024810121416202226283032343624268101214246101224262442626282626810262862366[[#This Row],[Uso diário]]*5</f>
        <v>94</v>
      </c>
      <c r="Q14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300.8</v>
      </c>
      <c r="S14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4" s="25">
        <v>1</v>
      </c>
    </row>
    <row r="145" spans="1:20" s="26" customFormat="1" x14ac:dyDescent="0.25">
      <c r="A145" s="16">
        <v>226947</v>
      </c>
      <c r="B145" s="30" t="s">
        <v>117</v>
      </c>
      <c r="C145" s="20" t="s">
        <v>637</v>
      </c>
      <c r="D145" s="20" t="s">
        <v>694</v>
      </c>
      <c r="E145" s="20" t="s">
        <v>1824</v>
      </c>
      <c r="F145" s="20" t="s">
        <v>1825</v>
      </c>
      <c r="G145" s="21">
        <v>10</v>
      </c>
      <c r="H145" s="16">
        <v>24</v>
      </c>
      <c r="I145" s="16">
        <v>4</v>
      </c>
      <c r="J14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200</v>
      </c>
      <c r="K145" s="22"/>
      <c r="L145" s="23"/>
      <c r="M145" s="23">
        <f>SUM(Tabela1746810121422303226816192527313336242101214161824262830384024810121416202226283032343624268101214246101224262442626282626810262862366[[#This Row],[Saldo no cartão]:[Recarga Pendente]])</f>
        <v>0</v>
      </c>
      <c r="N145" s="19">
        <f>Tabela1746810121422303226816192527313336242101214161824262830384024810121416202226283032343624268101214246101224262442626282626810262862366[[#This Row],[Uso diário]]*2</f>
        <v>20</v>
      </c>
      <c r="O145" s="19">
        <f>Tabela1746810121422303226816192527313336242101214161824262830384024810121416202226283032343624268101214246101224262442626282626810262862366[[#This Row],[Total Acumulado]]-P145</f>
        <v>-50</v>
      </c>
      <c r="P145" s="48">
        <f>Tabela1746810121422303226816192527313336242101214161824262830384024810121416202226283032343624268101214246101224262442626282626810262862366[[#This Row],[Uso diário]]*5</f>
        <v>50</v>
      </c>
      <c r="Q14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200</v>
      </c>
      <c r="S14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5" s="25">
        <v>1</v>
      </c>
    </row>
    <row r="146" spans="1:20" s="26" customFormat="1" x14ac:dyDescent="0.25">
      <c r="A146" s="16">
        <v>227031</v>
      </c>
      <c r="B146" s="30" t="s">
        <v>118</v>
      </c>
      <c r="C146" s="20" t="s">
        <v>637</v>
      </c>
      <c r="D146" s="20" t="s">
        <v>807</v>
      </c>
      <c r="E146" s="20" t="s">
        <v>1826</v>
      </c>
      <c r="F146" s="20" t="s">
        <v>1827</v>
      </c>
      <c r="G146" s="21">
        <v>13.4</v>
      </c>
      <c r="H146" s="16">
        <v>24</v>
      </c>
      <c r="I146" s="16"/>
      <c r="J14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321.60000000000002</v>
      </c>
      <c r="K146" s="22"/>
      <c r="L146" s="23"/>
      <c r="M146" s="23">
        <f>SUM(Tabela1746810121422303226816192527313336242101214161824262830384024810121416202226283032343624268101214246101224262442626282626810262862366[[#This Row],[Saldo no cartão]:[Recarga Pendente]])</f>
        <v>0</v>
      </c>
      <c r="N146" s="19">
        <f>Tabela1746810121422303226816192527313336242101214161824262830384024810121416202226283032343624268101214246101224262442626282626810262862366[[#This Row],[Uso diário]]*2</f>
        <v>26.8</v>
      </c>
      <c r="O146" s="19">
        <f>Tabela1746810121422303226816192527313336242101214161824262830384024810121416202226283032343624268101214246101224262442626282626810262862366[[#This Row],[Total Acumulado]]-P146</f>
        <v>-67</v>
      </c>
      <c r="P146" s="48">
        <f>Tabela1746810121422303226816192527313336242101214161824262830384024810121416202226283032343624268101214246101224262442626282626810262862366[[#This Row],[Uso diário]]*5</f>
        <v>67</v>
      </c>
      <c r="Q14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321.60000000000002</v>
      </c>
      <c r="S14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6" s="25">
        <v>1</v>
      </c>
    </row>
    <row r="147" spans="1:20" s="26" customFormat="1" x14ac:dyDescent="0.25">
      <c r="A147" s="16">
        <v>227032</v>
      </c>
      <c r="B147" s="30" t="s">
        <v>119</v>
      </c>
      <c r="C147" s="20" t="s">
        <v>637</v>
      </c>
      <c r="D147" s="20" t="s">
        <v>692</v>
      </c>
      <c r="E147" s="20" t="s">
        <v>1828</v>
      </c>
      <c r="F147" s="20" t="s">
        <v>1829</v>
      </c>
      <c r="G147" s="21">
        <v>18.8</v>
      </c>
      <c r="H147" s="16">
        <v>27</v>
      </c>
      <c r="I147" s="16">
        <v>5</v>
      </c>
      <c r="J14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47" s="22"/>
      <c r="L147" s="23"/>
      <c r="M147" s="23">
        <f>SUM(Tabela1746810121422303226816192527313336242101214161824262830384024810121416202226283032343624268101214246101224262442626282626810262862366[[#This Row],[Saldo no cartão]:[Recarga Pendente]])</f>
        <v>0</v>
      </c>
      <c r="N147" s="19">
        <f>Tabela1746810121422303226816192527313336242101214161824262830384024810121416202226283032343624268101214246101224262442626282626810262862366[[#This Row],[Uso diário]]*2</f>
        <v>37.6</v>
      </c>
      <c r="O147" s="19">
        <f>Tabela1746810121422303226816192527313336242101214161824262830384024810121416202226283032343624268101214246101224262442626282626810262862366[[#This Row],[Total Acumulado]]-P147</f>
        <v>-94</v>
      </c>
      <c r="P147" s="48">
        <f>Tabela1746810121422303226816192527313336242101214161824262830384024810121416202226283032343624268101214246101224262442626282626810262862366[[#This Row],[Uso diário]]*5</f>
        <v>94</v>
      </c>
      <c r="Q14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4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7" s="25">
        <v>1</v>
      </c>
    </row>
    <row r="148" spans="1:20" s="26" customFormat="1" x14ac:dyDescent="0.25">
      <c r="A148" s="16">
        <v>227033</v>
      </c>
      <c r="B148" s="30" t="s">
        <v>1144</v>
      </c>
      <c r="C148" s="20" t="s">
        <v>637</v>
      </c>
      <c r="D148" s="20" t="s">
        <v>1262</v>
      </c>
      <c r="E148" s="20" t="s">
        <v>1830</v>
      </c>
      <c r="F148" s="20" t="s">
        <v>1831</v>
      </c>
      <c r="G148" s="21">
        <v>18.8</v>
      </c>
      <c r="H148" s="16">
        <v>24</v>
      </c>
      <c r="I148" s="16"/>
      <c r="J14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48" s="22"/>
      <c r="L148" s="23">
        <v>37.6</v>
      </c>
      <c r="M148" s="23">
        <f>SUM(Tabela1746810121422303226816192527313336242101214161824262830384024810121416202226283032343624268101214246101224262442626282626810262862366[[#This Row],[Saldo no cartão]:[Recarga Pendente]])</f>
        <v>37.6</v>
      </c>
      <c r="N148" s="19">
        <f>Tabela1746810121422303226816192527313336242101214161824262830384024810121416202226283032343624268101214246101224262442626282626810262862366[[#This Row],[Uso diário]]*2</f>
        <v>37.6</v>
      </c>
      <c r="O148" s="19">
        <f>Tabela1746810121422303226816192527313336242101214161824262830384024810121416202226283032343624268101214246101224262442626282626810262862366[[#This Row],[Total Acumulado]]-P148</f>
        <v>-56.4</v>
      </c>
      <c r="P148" s="48">
        <f>Tabela1746810121422303226816192527313336242101214161824262830384024810121416202226283032343624268101214246101224262442626282626810262862366[[#This Row],[Uso diário]]*5</f>
        <v>94</v>
      </c>
      <c r="Q14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4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8" s="25">
        <v>1</v>
      </c>
    </row>
    <row r="149" spans="1:20" s="26" customFormat="1" x14ac:dyDescent="0.25">
      <c r="A149" s="16">
        <v>227055</v>
      </c>
      <c r="B149" s="30" t="s">
        <v>120</v>
      </c>
      <c r="C149" s="20" t="s">
        <v>637</v>
      </c>
      <c r="D149" s="20" t="s">
        <v>696</v>
      </c>
      <c r="E149" s="20" t="s">
        <v>1832</v>
      </c>
      <c r="F149" s="20" t="s">
        <v>1833</v>
      </c>
      <c r="G149" s="21">
        <v>18.8</v>
      </c>
      <c r="H149" s="16">
        <v>24</v>
      </c>
      <c r="I149" s="16"/>
      <c r="J14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49" s="22"/>
      <c r="L149" s="23"/>
      <c r="M149" s="23">
        <f>SUM(Tabela1746810121422303226816192527313336242101214161824262830384024810121416202226283032343624268101214246101224262442626282626810262862366[[#This Row],[Saldo no cartão]:[Recarga Pendente]])</f>
        <v>0</v>
      </c>
      <c r="N149" s="19">
        <f>Tabela1746810121422303226816192527313336242101214161824262830384024810121416202226283032343624268101214246101224262442626282626810262862366[[#This Row],[Uso diário]]*2</f>
        <v>37.6</v>
      </c>
      <c r="O149" s="19">
        <f>Tabela1746810121422303226816192527313336242101214161824262830384024810121416202226283032343624268101214246101224262442626282626810262862366[[#This Row],[Total Acumulado]]-P149</f>
        <v>-94</v>
      </c>
      <c r="P149" s="48">
        <f>Tabela1746810121422303226816192527313336242101214161824262830384024810121416202226283032343624268101214246101224262442626282626810262862366[[#This Row],[Uso diário]]*5</f>
        <v>94</v>
      </c>
      <c r="Q14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4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4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49" s="25">
        <v>1</v>
      </c>
    </row>
    <row r="150" spans="1:20" s="26" customFormat="1" x14ac:dyDescent="0.25">
      <c r="A150" s="16">
        <v>228423</v>
      </c>
      <c r="B150" s="30" t="s">
        <v>121</v>
      </c>
      <c r="C150" s="20" t="s">
        <v>637</v>
      </c>
      <c r="D150" s="20" t="s">
        <v>692</v>
      </c>
      <c r="E150" s="20" t="s">
        <v>1834</v>
      </c>
      <c r="F150" s="20" t="s">
        <v>1835</v>
      </c>
      <c r="G150" s="21">
        <v>18.8</v>
      </c>
      <c r="H150" s="16">
        <v>27</v>
      </c>
      <c r="I150" s="16"/>
      <c r="J15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507.6</v>
      </c>
      <c r="K150" s="22"/>
      <c r="L150" s="23">
        <v>371.9</v>
      </c>
      <c r="M150" s="23">
        <f>SUM(Tabela1746810121422303226816192527313336242101214161824262830384024810121416202226283032343624268101214246101224262442626282626810262862366[[#This Row],[Saldo no cartão]:[Recarga Pendente]])</f>
        <v>371.9</v>
      </c>
      <c r="N150" s="19">
        <f>Tabela1746810121422303226816192527313336242101214161824262830384024810121416202226283032343624268101214246101224262442626282626810262862366[[#This Row],[Uso diário]]*2</f>
        <v>37.6</v>
      </c>
      <c r="O150" s="19">
        <f>Tabela1746810121422303226816192527313336242101214161824262830384024810121416202226283032343624268101214246101224262442626282626810262862366[[#This Row],[Total Acumulado]]-P150</f>
        <v>277.89999999999998</v>
      </c>
      <c r="P150" s="48">
        <f>Tabela1746810121422303226816192527313336242101214161824262830384024810121416202226283032343624268101214246101224262442626282626810262862366[[#This Row],[Uso diário]]*5</f>
        <v>94</v>
      </c>
      <c r="Q15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277.89999999999998</v>
      </c>
      <c r="R15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229.70000000000005</v>
      </c>
      <c r="S150" s="18" t="s">
        <v>11</v>
      </c>
      <c r="T150" s="25">
        <v>1</v>
      </c>
    </row>
    <row r="151" spans="1:20" s="26" customFormat="1" x14ac:dyDescent="0.25">
      <c r="A151" s="16">
        <v>228504</v>
      </c>
      <c r="B151" s="30" t="s">
        <v>123</v>
      </c>
      <c r="C151" s="20" t="s">
        <v>637</v>
      </c>
      <c r="D151" s="20" t="s">
        <v>697</v>
      </c>
      <c r="E151" s="20" t="s">
        <v>1836</v>
      </c>
      <c r="F151" s="20" t="s">
        <v>1837</v>
      </c>
      <c r="G151" s="21">
        <v>18.8</v>
      </c>
      <c r="H151" s="16">
        <v>24</v>
      </c>
      <c r="I151" s="16"/>
      <c r="J15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51" s="22"/>
      <c r="L151" s="23">
        <v>173.85</v>
      </c>
      <c r="M151" s="23">
        <f>SUM(Tabela1746810121422303226816192527313336242101214161824262830384024810121416202226283032343624268101214246101224262442626282626810262862366[[#This Row],[Saldo no cartão]:[Recarga Pendente]])</f>
        <v>173.85</v>
      </c>
      <c r="N151" s="19">
        <f>Tabela1746810121422303226816192527313336242101214161824262830384024810121416202226283032343624268101214246101224262442626282626810262862366[[#This Row],[Uso diário]]*2</f>
        <v>37.6</v>
      </c>
      <c r="O151" s="19">
        <f>Tabela1746810121422303226816192527313336242101214161824262830384024810121416202226283032343624268101214246101224262442626282626810262862366[[#This Row],[Total Acumulado]]-P151</f>
        <v>79.849999999999994</v>
      </c>
      <c r="P151" s="48">
        <f>Tabela1746810121422303226816192527313336242101214161824262830384024810121416202226283032343624268101214246101224262442626282626810262862366[[#This Row],[Uso diário]]*5</f>
        <v>94</v>
      </c>
      <c r="Q15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79.849999999999994</v>
      </c>
      <c r="R15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371.35</v>
      </c>
      <c r="S151" s="18" t="s">
        <v>11</v>
      </c>
      <c r="T151" s="25">
        <v>1</v>
      </c>
    </row>
    <row r="152" spans="1:20" s="26" customFormat="1" x14ac:dyDescent="0.25">
      <c r="A152" s="16">
        <v>228534</v>
      </c>
      <c r="B152" s="30" t="s">
        <v>1145</v>
      </c>
      <c r="C152" s="20" t="s">
        <v>637</v>
      </c>
      <c r="D152" s="20" t="s">
        <v>692</v>
      </c>
      <c r="E152" s="20" t="s">
        <v>1838</v>
      </c>
      <c r="F152" s="20" t="s">
        <v>1839</v>
      </c>
      <c r="G152" s="21">
        <v>18.8</v>
      </c>
      <c r="H152" s="16">
        <v>24</v>
      </c>
      <c r="I152" s="16"/>
      <c r="J15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52" s="22"/>
      <c r="L152" s="23"/>
      <c r="M152" s="23">
        <f>SUM(Tabela1746810121422303226816192527313336242101214161824262830384024810121416202226283032343624268101214246101224262442626282626810262862366[[#This Row],[Saldo no cartão]:[Recarga Pendente]])</f>
        <v>0</v>
      </c>
      <c r="N152" s="19">
        <f>Tabela1746810121422303226816192527313336242101214161824262830384024810121416202226283032343624268101214246101224262442626282626810262862366[[#This Row],[Uso diário]]*2</f>
        <v>37.6</v>
      </c>
      <c r="O152" s="19">
        <f>Tabela1746810121422303226816192527313336242101214161824262830384024810121416202226283032343624268101214246101224262442626282626810262862366[[#This Row],[Total Acumulado]]-P152</f>
        <v>-94</v>
      </c>
      <c r="P152" s="48">
        <f>Tabela1746810121422303226816192527313336242101214161824262830384024810121416202226283032343624268101214246101224262442626282626810262862366[[#This Row],[Uso diário]]*5</f>
        <v>94</v>
      </c>
      <c r="Q15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5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2" s="25">
        <v>1</v>
      </c>
    </row>
    <row r="153" spans="1:20" s="26" customFormat="1" x14ac:dyDescent="0.25">
      <c r="A153" s="16">
        <v>228813</v>
      </c>
      <c r="B153" s="30" t="s">
        <v>125</v>
      </c>
      <c r="C153" s="20" t="s">
        <v>637</v>
      </c>
      <c r="D153" s="20" t="s">
        <v>696</v>
      </c>
      <c r="E153" s="20" t="s">
        <v>1840</v>
      </c>
      <c r="F153" s="20" t="s">
        <v>1841</v>
      </c>
      <c r="G153" s="21">
        <v>13.4</v>
      </c>
      <c r="H153" s="16">
        <v>27</v>
      </c>
      <c r="I153" s="16">
        <v>16</v>
      </c>
      <c r="J15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147.4</v>
      </c>
      <c r="K153" s="22"/>
      <c r="L153" s="23"/>
      <c r="M153" s="23">
        <f>SUM(Tabela1746810121422303226816192527313336242101214161824262830384024810121416202226283032343624268101214246101224262442626282626810262862366[[#This Row],[Saldo no cartão]:[Recarga Pendente]])</f>
        <v>0</v>
      </c>
      <c r="N153" s="19">
        <f>Tabela1746810121422303226816192527313336242101214161824262830384024810121416202226283032343624268101214246101224262442626282626810262862366[[#This Row],[Uso diário]]*2</f>
        <v>26.8</v>
      </c>
      <c r="O153" s="19">
        <f>Tabela1746810121422303226816192527313336242101214161824262830384024810121416202226283032343624268101214246101224262442626282626810262862366[[#This Row],[Total Acumulado]]-P153</f>
        <v>-67</v>
      </c>
      <c r="P153" s="48">
        <f>Tabela1746810121422303226816192527313336242101214161824262830384024810121416202226283032343624268101214246101224262442626282626810262862366[[#This Row],[Uso diário]]*5</f>
        <v>67</v>
      </c>
      <c r="Q15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147.4</v>
      </c>
      <c r="S15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3" s="25">
        <v>1</v>
      </c>
    </row>
    <row r="154" spans="1:20" s="26" customFormat="1" x14ac:dyDescent="0.25">
      <c r="A154" s="16">
        <v>228888</v>
      </c>
      <c r="B154" s="30" t="s">
        <v>1146</v>
      </c>
      <c r="C154" s="20" t="s">
        <v>637</v>
      </c>
      <c r="D154" s="20" t="s">
        <v>696</v>
      </c>
      <c r="E154" s="20" t="s">
        <v>1842</v>
      </c>
      <c r="F154" s="20" t="s">
        <v>1843</v>
      </c>
      <c r="G154" s="21">
        <v>18.8</v>
      </c>
      <c r="H154" s="16">
        <v>24</v>
      </c>
      <c r="I154" s="16"/>
      <c r="J15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54" s="22"/>
      <c r="L154" s="23"/>
      <c r="M154" s="23">
        <f>SUM(Tabela1746810121422303226816192527313336242101214161824262830384024810121416202226283032343624268101214246101224262442626282626810262862366[[#This Row],[Saldo no cartão]:[Recarga Pendente]])</f>
        <v>0</v>
      </c>
      <c r="N154" s="19">
        <f>Tabela1746810121422303226816192527313336242101214161824262830384024810121416202226283032343624268101214246101224262442626282626810262862366[[#This Row],[Uso diário]]*2</f>
        <v>37.6</v>
      </c>
      <c r="O154" s="19">
        <f>Tabela1746810121422303226816192527313336242101214161824262830384024810121416202226283032343624268101214246101224262442626282626810262862366[[#This Row],[Total Acumulado]]-P154</f>
        <v>-94</v>
      </c>
      <c r="P154" s="48">
        <f>Tabela1746810121422303226816192527313336242101214161824262830384024810121416202226283032343624268101214246101224262442626282626810262862366[[#This Row],[Uso diário]]*5</f>
        <v>94</v>
      </c>
      <c r="Q15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5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4" s="25">
        <v>1</v>
      </c>
    </row>
    <row r="155" spans="1:20" s="26" customFormat="1" x14ac:dyDescent="0.25">
      <c r="A155" s="16">
        <v>229247</v>
      </c>
      <c r="B155" s="30" t="s">
        <v>127</v>
      </c>
      <c r="C155" s="20" t="s">
        <v>637</v>
      </c>
      <c r="D155" s="20" t="s">
        <v>692</v>
      </c>
      <c r="E155" s="20" t="s">
        <v>1844</v>
      </c>
      <c r="F155" s="20" t="s">
        <v>1845</v>
      </c>
      <c r="G155" s="21">
        <v>18.8</v>
      </c>
      <c r="H155" s="16">
        <v>24</v>
      </c>
      <c r="I155" s="16"/>
      <c r="J15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55" s="22"/>
      <c r="L155" s="23"/>
      <c r="M155" s="23">
        <f>SUM(Tabela1746810121422303226816192527313336242101214161824262830384024810121416202226283032343624268101214246101224262442626282626810262862366[[#This Row],[Saldo no cartão]:[Recarga Pendente]])</f>
        <v>0</v>
      </c>
      <c r="N155" s="19">
        <f>Tabela1746810121422303226816192527313336242101214161824262830384024810121416202226283032343624268101214246101224262442626282626810262862366[[#This Row],[Uso diário]]*2</f>
        <v>37.6</v>
      </c>
      <c r="O155" s="19">
        <f>Tabela1746810121422303226816192527313336242101214161824262830384024810121416202226283032343624268101214246101224262442626282626810262862366[[#This Row],[Total Acumulado]]-P155</f>
        <v>-94</v>
      </c>
      <c r="P155" s="48">
        <f>Tabela1746810121422303226816192527313336242101214161824262830384024810121416202226283032343624268101214246101224262442626282626810262862366[[#This Row],[Uso diário]]*5</f>
        <v>94</v>
      </c>
      <c r="Q15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5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5" s="25">
        <v>1</v>
      </c>
    </row>
    <row r="156" spans="1:20" s="26" customFormat="1" x14ac:dyDescent="0.25">
      <c r="A156" s="16">
        <v>229454</v>
      </c>
      <c r="B156" s="30" t="s">
        <v>1398</v>
      </c>
      <c r="C156" s="20" t="s">
        <v>637</v>
      </c>
      <c r="D156" s="20" t="s">
        <v>696</v>
      </c>
      <c r="E156" s="20" t="s">
        <v>1846</v>
      </c>
      <c r="F156" s="20" t="s">
        <v>1847</v>
      </c>
      <c r="G156" s="21">
        <v>18.8</v>
      </c>
      <c r="H156" s="16">
        <v>24</v>
      </c>
      <c r="I156" s="16"/>
      <c r="J15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56" s="22"/>
      <c r="L156" s="23"/>
      <c r="M156" s="23">
        <f>SUM(Tabela1746810121422303226816192527313336242101214161824262830384024810121416202226283032343624268101214246101224262442626282626810262862366[[#This Row],[Saldo no cartão]:[Recarga Pendente]])</f>
        <v>0</v>
      </c>
      <c r="N156" s="19">
        <f>Tabela1746810121422303226816192527313336242101214161824262830384024810121416202226283032343624268101214246101224262442626282626810262862366[[#This Row],[Uso diário]]*2</f>
        <v>37.6</v>
      </c>
      <c r="O156" s="19">
        <f>Tabela1746810121422303226816192527313336242101214161824262830384024810121416202226283032343624268101214246101224262442626282626810262862366[[#This Row],[Total Acumulado]]-P156</f>
        <v>-94</v>
      </c>
      <c r="P156" s="48">
        <f>Tabela1746810121422303226816192527313336242101214161824262830384024810121416202226283032343624268101214246101224262442626282626810262862366[[#This Row],[Uso diário]]*5</f>
        <v>94</v>
      </c>
      <c r="Q15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5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6" s="25">
        <v>1</v>
      </c>
    </row>
    <row r="157" spans="1:20" s="26" customFormat="1" x14ac:dyDescent="0.25">
      <c r="A157" s="16">
        <v>229456</v>
      </c>
      <c r="B157" s="30" t="s">
        <v>1147</v>
      </c>
      <c r="C157" s="20" t="s">
        <v>637</v>
      </c>
      <c r="D157" s="20" t="s">
        <v>696</v>
      </c>
      <c r="E157" s="20" t="s">
        <v>1848</v>
      </c>
      <c r="F157" s="20" t="s">
        <v>1849</v>
      </c>
      <c r="G157" s="21">
        <v>18.8</v>
      </c>
      <c r="H157" s="16">
        <v>27</v>
      </c>
      <c r="I157" s="16"/>
      <c r="J15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507.6</v>
      </c>
      <c r="K157" s="22"/>
      <c r="L157" s="23"/>
      <c r="M157" s="23">
        <f>SUM(Tabela1746810121422303226816192527313336242101214161824262830384024810121416202226283032343624268101214246101224262442626282626810262862366[[#This Row],[Saldo no cartão]:[Recarga Pendente]])</f>
        <v>0</v>
      </c>
      <c r="N157" s="19">
        <f>Tabela1746810121422303226816192527313336242101214161824262830384024810121416202226283032343624268101214246101224262442626282626810262862366[[#This Row],[Uso diário]]*2</f>
        <v>37.6</v>
      </c>
      <c r="O157" s="19">
        <f>Tabela1746810121422303226816192527313336242101214161824262830384024810121416202226283032343624268101214246101224262442626282626810262862366[[#This Row],[Total Acumulado]]-P157</f>
        <v>-94</v>
      </c>
      <c r="P157" s="48">
        <f>Tabela1746810121422303226816192527313336242101214161824262830384024810121416202226283032343624268101214246101224262442626282626810262862366[[#This Row],[Uso diário]]*5</f>
        <v>94</v>
      </c>
      <c r="Q15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507.6</v>
      </c>
      <c r="S15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7" s="25">
        <v>1</v>
      </c>
    </row>
    <row r="158" spans="1:20" s="26" customFormat="1" x14ac:dyDescent="0.25">
      <c r="A158" s="16">
        <v>229542</v>
      </c>
      <c r="B158" s="30" t="s">
        <v>1032</v>
      </c>
      <c r="C158" s="20" t="s">
        <v>637</v>
      </c>
      <c r="D158" s="20" t="s">
        <v>696</v>
      </c>
      <c r="E158" s="20" t="s">
        <v>1850</v>
      </c>
      <c r="F158" s="20" t="s">
        <v>1851</v>
      </c>
      <c r="G158" s="21">
        <v>18.8</v>
      </c>
      <c r="H158" s="16">
        <v>22</v>
      </c>
      <c r="I158" s="16">
        <v>1</v>
      </c>
      <c r="J15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158" s="22"/>
      <c r="L158" s="23"/>
      <c r="M158" s="23">
        <f>SUM(Tabela1746810121422303226816192527313336242101214161824262830384024810121416202226283032343624268101214246101224262442626282626810262862366[[#This Row],[Saldo no cartão]:[Recarga Pendente]])</f>
        <v>0</v>
      </c>
      <c r="N158" s="19">
        <f>Tabela1746810121422303226816192527313336242101214161824262830384024810121416202226283032343624268101214246101224262442626282626810262862366[[#This Row],[Uso diário]]*2</f>
        <v>37.6</v>
      </c>
      <c r="O158" s="19">
        <f>Tabela1746810121422303226816192527313336242101214161824262830384024810121416202226283032343624268101214246101224262442626282626810262862366[[#This Row],[Total Acumulado]]-P158</f>
        <v>-94</v>
      </c>
      <c r="P158" s="48">
        <f>Tabela1746810121422303226816192527313336242101214161824262830384024810121416202226283032343624268101214246101224262442626282626810262862366[[#This Row],[Uso diário]]*5</f>
        <v>94</v>
      </c>
      <c r="Q15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15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8" s="25">
        <v>1</v>
      </c>
    </row>
    <row r="159" spans="1:20" s="26" customFormat="1" x14ac:dyDescent="0.25">
      <c r="A159" s="16">
        <v>229616</v>
      </c>
      <c r="B159" s="30" t="s">
        <v>130</v>
      </c>
      <c r="C159" s="20" t="s">
        <v>637</v>
      </c>
      <c r="D159" s="20" t="s">
        <v>696</v>
      </c>
      <c r="E159" s="20" t="s">
        <v>1852</v>
      </c>
      <c r="F159" s="20" t="s">
        <v>1853</v>
      </c>
      <c r="G159" s="21">
        <v>18.8</v>
      </c>
      <c r="H159" s="16">
        <v>27</v>
      </c>
      <c r="I159" s="16">
        <v>5</v>
      </c>
      <c r="J15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59" s="22"/>
      <c r="L159" s="23"/>
      <c r="M159" s="23">
        <f>SUM(Tabela1746810121422303226816192527313336242101214161824262830384024810121416202226283032343624268101214246101224262442626282626810262862366[[#This Row],[Saldo no cartão]:[Recarga Pendente]])</f>
        <v>0</v>
      </c>
      <c r="N159" s="19">
        <f>Tabela1746810121422303226816192527313336242101214161824262830384024810121416202226283032343624268101214246101224262442626282626810262862366[[#This Row],[Uso diário]]*2</f>
        <v>37.6</v>
      </c>
      <c r="O159" s="19">
        <f>Tabela1746810121422303226816192527313336242101214161824262830384024810121416202226283032343624268101214246101224262442626282626810262862366[[#This Row],[Total Acumulado]]-P159</f>
        <v>-94</v>
      </c>
      <c r="P159" s="48">
        <f>Tabela1746810121422303226816192527313336242101214161824262830384024810121416202226283032343624268101214246101224262442626282626810262862366[[#This Row],[Uso diário]]*5</f>
        <v>94</v>
      </c>
      <c r="Q15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5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5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59" s="25">
        <v>1</v>
      </c>
    </row>
    <row r="160" spans="1:20" s="26" customFormat="1" x14ac:dyDescent="0.25">
      <c r="A160" s="16">
        <v>229644</v>
      </c>
      <c r="B160" s="30" t="s">
        <v>131</v>
      </c>
      <c r="C160" s="20" t="s">
        <v>637</v>
      </c>
      <c r="D160" s="20" t="s">
        <v>694</v>
      </c>
      <c r="E160" s="20" t="s">
        <v>1854</v>
      </c>
      <c r="F160" s="20" t="s">
        <v>1855</v>
      </c>
      <c r="G160" s="21">
        <v>13.7</v>
      </c>
      <c r="H160" s="16">
        <v>24</v>
      </c>
      <c r="I160" s="16">
        <v>3</v>
      </c>
      <c r="J16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287.7</v>
      </c>
      <c r="K160" s="22"/>
      <c r="L160" s="23"/>
      <c r="M160" s="23">
        <f>SUM(Tabela1746810121422303226816192527313336242101214161824262830384024810121416202226283032343624268101214246101224262442626282626810262862366[[#This Row],[Saldo no cartão]:[Recarga Pendente]])</f>
        <v>0</v>
      </c>
      <c r="N160" s="19">
        <f>Tabela1746810121422303226816192527313336242101214161824262830384024810121416202226283032343624268101214246101224262442626282626810262862366[[#This Row],[Uso diário]]*2</f>
        <v>27.4</v>
      </c>
      <c r="O160" s="19">
        <f>Tabela1746810121422303226816192527313336242101214161824262830384024810121416202226283032343624268101214246101224262442626282626810262862366[[#This Row],[Total Acumulado]]-P160</f>
        <v>-68.5</v>
      </c>
      <c r="P160" s="48">
        <f>Tabela1746810121422303226816192527313336242101214161824262830384024810121416202226283032343624268101214246101224262442626282626810262862366[[#This Row],[Uso diário]]*5</f>
        <v>68.5</v>
      </c>
      <c r="Q16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287.7</v>
      </c>
      <c r="S16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0" s="25">
        <v>1</v>
      </c>
    </row>
    <row r="161" spans="1:20" s="26" customFormat="1" x14ac:dyDescent="0.25">
      <c r="A161" s="16">
        <v>229795</v>
      </c>
      <c r="B161" s="30" t="s">
        <v>132</v>
      </c>
      <c r="C161" s="20" t="s">
        <v>637</v>
      </c>
      <c r="D161" s="20" t="s">
        <v>696</v>
      </c>
      <c r="E161" s="20" t="s">
        <v>1856</v>
      </c>
      <c r="F161" s="20" t="s">
        <v>1857</v>
      </c>
      <c r="G161" s="21">
        <v>18.8</v>
      </c>
      <c r="H161" s="16">
        <v>27</v>
      </c>
      <c r="I161" s="16">
        <v>6</v>
      </c>
      <c r="J16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161" s="22"/>
      <c r="L161" s="23"/>
      <c r="M161" s="23">
        <f>SUM(Tabela1746810121422303226816192527313336242101214161824262830384024810121416202226283032343624268101214246101224262442626282626810262862366[[#This Row],[Saldo no cartão]:[Recarga Pendente]])</f>
        <v>0</v>
      </c>
      <c r="N161" s="19">
        <f>Tabela1746810121422303226816192527313336242101214161824262830384024810121416202226283032343624268101214246101224262442626282626810262862366[[#This Row],[Uso diário]]*2</f>
        <v>37.6</v>
      </c>
      <c r="O161" s="19">
        <f>Tabela1746810121422303226816192527313336242101214161824262830384024810121416202226283032343624268101214246101224262442626282626810262862366[[#This Row],[Total Acumulado]]-P161</f>
        <v>-94</v>
      </c>
      <c r="P161" s="48">
        <f>Tabela1746810121422303226816192527313336242101214161824262830384024810121416202226283032343624268101214246101224262442626282626810262862366[[#This Row],[Uso diário]]*5</f>
        <v>94</v>
      </c>
      <c r="Q16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16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1" s="25">
        <v>1</v>
      </c>
    </row>
    <row r="162" spans="1:20" s="26" customFormat="1" x14ac:dyDescent="0.25">
      <c r="A162" s="16">
        <v>229926</v>
      </c>
      <c r="B162" s="30" t="s">
        <v>1399</v>
      </c>
      <c r="C162" s="20" t="s">
        <v>637</v>
      </c>
      <c r="D162" s="20" t="s">
        <v>807</v>
      </c>
      <c r="E162" s="20" t="s">
        <v>1858</v>
      </c>
      <c r="F162" s="20" t="s">
        <v>1859</v>
      </c>
      <c r="G162" s="21">
        <v>18.8</v>
      </c>
      <c r="H162" s="16">
        <v>26</v>
      </c>
      <c r="I162" s="16">
        <v>7</v>
      </c>
      <c r="J16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162" s="22"/>
      <c r="L162" s="23"/>
      <c r="M162" s="23">
        <f>SUM(Tabela1746810121422303226816192527313336242101214161824262830384024810121416202226283032343624268101214246101224262442626282626810262862366[[#This Row],[Saldo no cartão]:[Recarga Pendente]])</f>
        <v>0</v>
      </c>
      <c r="N162" s="19">
        <f>Tabela1746810121422303226816192527313336242101214161824262830384024810121416202226283032343624268101214246101224262442626282626810262862366[[#This Row],[Uso diário]]*2</f>
        <v>37.6</v>
      </c>
      <c r="O162" s="19">
        <f>Tabela1746810121422303226816192527313336242101214161824262830384024810121416202226283032343624268101214246101224262442626282626810262862366[[#This Row],[Total Acumulado]]-P162</f>
        <v>-94</v>
      </c>
      <c r="P162" s="48">
        <f>Tabela1746810121422303226816192527313336242101214161824262830384024810121416202226283032343624268101214246101224262442626282626810262862366[[#This Row],[Uso diário]]*5</f>
        <v>94</v>
      </c>
      <c r="Q16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357.2</v>
      </c>
      <c r="S16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2" s="25">
        <v>1</v>
      </c>
    </row>
    <row r="163" spans="1:20" s="26" customFormat="1" x14ac:dyDescent="0.25">
      <c r="A163" s="16">
        <v>229996</v>
      </c>
      <c r="B163" s="30" t="s">
        <v>133</v>
      </c>
      <c r="C163" s="20" t="s">
        <v>637</v>
      </c>
      <c r="D163" s="20" t="s">
        <v>696</v>
      </c>
      <c r="E163" s="20" t="s">
        <v>1860</v>
      </c>
      <c r="F163" s="20" t="s">
        <v>1861</v>
      </c>
      <c r="G163" s="21">
        <v>18.8</v>
      </c>
      <c r="H163" s="16">
        <v>27</v>
      </c>
      <c r="I163" s="16">
        <v>6</v>
      </c>
      <c r="J16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163" s="22"/>
      <c r="L163" s="23"/>
      <c r="M163" s="23">
        <f>SUM(Tabela1746810121422303226816192527313336242101214161824262830384024810121416202226283032343624268101214246101224262442626282626810262862366[[#This Row],[Saldo no cartão]:[Recarga Pendente]])</f>
        <v>0</v>
      </c>
      <c r="N163" s="19">
        <f>Tabela1746810121422303226816192527313336242101214161824262830384024810121416202226283032343624268101214246101224262442626282626810262862366[[#This Row],[Uso diário]]*2</f>
        <v>37.6</v>
      </c>
      <c r="O163" s="19">
        <f>Tabela1746810121422303226816192527313336242101214161824262830384024810121416202226283032343624268101214246101224262442626282626810262862366[[#This Row],[Total Acumulado]]-P163</f>
        <v>-94</v>
      </c>
      <c r="P163" s="48">
        <f>Tabela1746810121422303226816192527313336242101214161824262830384024810121416202226283032343624268101214246101224262442626282626810262862366[[#This Row],[Uso diário]]*5</f>
        <v>94</v>
      </c>
      <c r="Q16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16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3" s="25">
        <v>1</v>
      </c>
    </row>
    <row r="164" spans="1:20" s="26" customFormat="1" x14ac:dyDescent="0.25">
      <c r="A164" s="16">
        <v>229998</v>
      </c>
      <c r="B164" s="30" t="s">
        <v>134</v>
      </c>
      <c r="C164" s="20" t="s">
        <v>637</v>
      </c>
      <c r="D164" s="20" t="s">
        <v>696</v>
      </c>
      <c r="E164" s="20" t="s">
        <v>1862</v>
      </c>
      <c r="F164" s="20" t="s">
        <v>1863</v>
      </c>
      <c r="G164" s="21">
        <v>13.7</v>
      </c>
      <c r="H164" s="16">
        <v>27</v>
      </c>
      <c r="I164" s="16">
        <v>4</v>
      </c>
      <c r="J16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315.09999999999997</v>
      </c>
      <c r="K164" s="22"/>
      <c r="L164" s="23"/>
      <c r="M164" s="23">
        <f>SUM(Tabela1746810121422303226816192527313336242101214161824262830384024810121416202226283032343624268101214246101224262442626282626810262862366[[#This Row],[Saldo no cartão]:[Recarga Pendente]])</f>
        <v>0</v>
      </c>
      <c r="N164" s="19">
        <f>Tabela1746810121422303226816192527313336242101214161824262830384024810121416202226283032343624268101214246101224262442626282626810262862366[[#This Row],[Uso diário]]*2</f>
        <v>27.4</v>
      </c>
      <c r="O164" s="19">
        <f>Tabela1746810121422303226816192527313336242101214161824262830384024810121416202226283032343624268101214246101224262442626282626810262862366[[#This Row],[Total Acumulado]]-P164</f>
        <v>-68.5</v>
      </c>
      <c r="P164" s="48">
        <f>Tabela1746810121422303226816192527313336242101214161824262830384024810121416202226283032343624268101214246101224262442626282626810262862366[[#This Row],[Uso diário]]*5</f>
        <v>68.5</v>
      </c>
      <c r="Q16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315.09999999999997</v>
      </c>
      <c r="S16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4" s="25">
        <v>1</v>
      </c>
    </row>
    <row r="165" spans="1:20" s="26" customFormat="1" x14ac:dyDescent="0.25">
      <c r="A165" s="16">
        <v>230032</v>
      </c>
      <c r="B165" s="30" t="s">
        <v>135</v>
      </c>
      <c r="C165" s="20" t="s">
        <v>637</v>
      </c>
      <c r="D165" s="20" t="s">
        <v>807</v>
      </c>
      <c r="E165" s="20" t="s">
        <v>1864</v>
      </c>
      <c r="F165" s="20" t="s">
        <v>1865</v>
      </c>
      <c r="G165" s="21">
        <v>18.8</v>
      </c>
      <c r="H165" s="16">
        <v>27</v>
      </c>
      <c r="I165" s="16">
        <v>4</v>
      </c>
      <c r="J16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65" s="22"/>
      <c r="L165" s="23"/>
      <c r="M165" s="23">
        <f>SUM(Tabela1746810121422303226816192527313336242101214161824262830384024810121416202226283032343624268101214246101224262442626282626810262862366[[#This Row],[Saldo no cartão]:[Recarga Pendente]])</f>
        <v>0</v>
      </c>
      <c r="N165" s="19">
        <f>Tabela1746810121422303226816192527313336242101214161824262830384024810121416202226283032343624268101214246101224262442626282626810262862366[[#This Row],[Uso diário]]*2</f>
        <v>37.6</v>
      </c>
      <c r="O165" s="19">
        <f>Tabela1746810121422303226816192527313336242101214161824262830384024810121416202226283032343624268101214246101224262442626282626810262862366[[#This Row],[Total Acumulado]]-P165</f>
        <v>-94</v>
      </c>
      <c r="P165" s="48">
        <f>Tabela1746810121422303226816192527313336242101214161824262830384024810121416202226283032343624268101214246101224262442626282626810262862366[[#This Row],[Uso diário]]*5</f>
        <v>94</v>
      </c>
      <c r="Q16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6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5" s="25">
        <v>1</v>
      </c>
    </row>
    <row r="166" spans="1:20" s="26" customFormat="1" x14ac:dyDescent="0.25">
      <c r="A166" s="16">
        <v>230034</v>
      </c>
      <c r="B166" s="30" t="s">
        <v>1148</v>
      </c>
      <c r="C166" s="20" t="s">
        <v>637</v>
      </c>
      <c r="D166" s="20" t="s">
        <v>696</v>
      </c>
      <c r="E166" s="20" t="s">
        <v>1866</v>
      </c>
      <c r="F166" s="20" t="s">
        <v>1867</v>
      </c>
      <c r="G166" s="21">
        <v>13.4</v>
      </c>
      <c r="H166" s="16">
        <v>27</v>
      </c>
      <c r="I166" s="16">
        <v>9</v>
      </c>
      <c r="J16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241.20000000000002</v>
      </c>
      <c r="K166" s="22"/>
      <c r="L166" s="23"/>
      <c r="M166" s="23">
        <f>SUM(Tabela1746810121422303226816192527313336242101214161824262830384024810121416202226283032343624268101214246101224262442626282626810262862366[[#This Row],[Saldo no cartão]:[Recarga Pendente]])</f>
        <v>0</v>
      </c>
      <c r="N166" s="19">
        <f>Tabela1746810121422303226816192527313336242101214161824262830384024810121416202226283032343624268101214246101224262442626282626810262862366[[#This Row],[Uso diário]]*2</f>
        <v>26.8</v>
      </c>
      <c r="O166" s="19">
        <f>Tabela1746810121422303226816192527313336242101214161824262830384024810121416202226283032343624268101214246101224262442626282626810262862366[[#This Row],[Total Acumulado]]-P166</f>
        <v>-67</v>
      </c>
      <c r="P166" s="48">
        <f>Tabela1746810121422303226816192527313336242101214161824262830384024810121416202226283032343624268101214246101224262442626282626810262862366[[#This Row],[Uso diário]]*5</f>
        <v>67</v>
      </c>
      <c r="Q16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241.20000000000002</v>
      </c>
      <c r="S16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6" s="25">
        <v>1</v>
      </c>
    </row>
    <row r="167" spans="1:20" s="26" customFormat="1" x14ac:dyDescent="0.25">
      <c r="A167" s="16">
        <v>230181</v>
      </c>
      <c r="B167" s="30" t="s">
        <v>137</v>
      </c>
      <c r="C167" s="20" t="s">
        <v>637</v>
      </c>
      <c r="D167" s="20" t="s">
        <v>694</v>
      </c>
      <c r="E167" s="20" t="s">
        <v>1868</v>
      </c>
      <c r="F167" s="20" t="s">
        <v>1869</v>
      </c>
      <c r="G167" s="21">
        <v>13.7</v>
      </c>
      <c r="H167" s="16">
        <v>24</v>
      </c>
      <c r="I167" s="16">
        <v>2</v>
      </c>
      <c r="J16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301.39999999999998</v>
      </c>
      <c r="K167" s="22"/>
      <c r="L167" s="23">
        <v>13.7</v>
      </c>
      <c r="M167" s="23">
        <f>SUM(Tabela1746810121422303226816192527313336242101214161824262830384024810121416202226283032343624268101214246101224262442626282626810262862366[[#This Row],[Saldo no cartão]:[Recarga Pendente]])</f>
        <v>13.7</v>
      </c>
      <c r="N167" s="19">
        <f>Tabela1746810121422303226816192527313336242101214161824262830384024810121416202226283032343624268101214246101224262442626282626810262862366[[#This Row],[Uso diário]]*2</f>
        <v>27.4</v>
      </c>
      <c r="O167" s="19">
        <f>Tabela1746810121422303226816192527313336242101214161824262830384024810121416202226283032343624268101214246101224262442626282626810262862366[[#This Row],[Total Acumulado]]-P167</f>
        <v>-54.8</v>
      </c>
      <c r="P167" s="48">
        <f>Tabela1746810121422303226816192527313336242101214161824262830384024810121416202226283032343624268101214246101224262442626282626810262862366[[#This Row],[Uso diário]]*5</f>
        <v>68.5</v>
      </c>
      <c r="Q16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301.39999999999998</v>
      </c>
      <c r="S16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7" s="25">
        <v>1</v>
      </c>
    </row>
    <row r="168" spans="1:20" s="26" customFormat="1" x14ac:dyDescent="0.25">
      <c r="A168" s="16">
        <v>230182</v>
      </c>
      <c r="B168" s="30" t="s">
        <v>1400</v>
      </c>
      <c r="C168" s="20" t="s">
        <v>637</v>
      </c>
      <c r="D168" s="20" t="s">
        <v>807</v>
      </c>
      <c r="E168" s="20" t="s">
        <v>1870</v>
      </c>
      <c r="F168" s="20" t="s">
        <v>1871</v>
      </c>
      <c r="G168" s="21">
        <v>18.8</v>
      </c>
      <c r="H168" s="16">
        <v>24</v>
      </c>
      <c r="I168" s="16"/>
      <c r="J16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68" s="22"/>
      <c r="L168" s="23">
        <v>37.6</v>
      </c>
      <c r="M168" s="23">
        <f>SUM(Tabela1746810121422303226816192527313336242101214161824262830384024810121416202226283032343624268101214246101224262442626282626810262862366[[#This Row],[Saldo no cartão]:[Recarga Pendente]])</f>
        <v>37.6</v>
      </c>
      <c r="N168" s="19">
        <f>Tabela1746810121422303226816192527313336242101214161824262830384024810121416202226283032343624268101214246101224262442626282626810262862366[[#This Row],[Uso diário]]*2</f>
        <v>37.6</v>
      </c>
      <c r="O168" s="19">
        <f>Tabela1746810121422303226816192527313336242101214161824262830384024810121416202226283032343624268101214246101224262442626282626810262862366[[#This Row],[Total Acumulado]]-P168</f>
        <v>-56.4</v>
      </c>
      <c r="P168" s="48">
        <f>Tabela1746810121422303226816192527313336242101214161824262830384024810121416202226283032343624268101214246101224262442626282626810262862366[[#This Row],[Uso diário]]*5</f>
        <v>94</v>
      </c>
      <c r="Q16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6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8" s="25">
        <v>1</v>
      </c>
    </row>
    <row r="169" spans="1:20" s="26" customFormat="1" x14ac:dyDescent="0.25">
      <c r="A169" s="16">
        <v>230184</v>
      </c>
      <c r="B169" s="30" t="s">
        <v>138</v>
      </c>
      <c r="C169" s="20" t="s">
        <v>637</v>
      </c>
      <c r="D169" s="20" t="s">
        <v>694</v>
      </c>
      <c r="E169" s="20" t="s">
        <v>1872</v>
      </c>
      <c r="F169" s="20" t="s">
        <v>1873</v>
      </c>
      <c r="G169" s="21">
        <v>18.8</v>
      </c>
      <c r="H169" s="16">
        <v>24</v>
      </c>
      <c r="I169" s="16"/>
      <c r="J16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69" s="22"/>
      <c r="L169" s="23"/>
      <c r="M169" s="23">
        <f>SUM(Tabela1746810121422303226816192527313336242101214161824262830384024810121416202226283032343624268101214246101224262442626282626810262862366[[#This Row],[Saldo no cartão]:[Recarga Pendente]])</f>
        <v>0</v>
      </c>
      <c r="N169" s="19">
        <f>Tabela1746810121422303226816192527313336242101214161824262830384024810121416202226283032343624268101214246101224262442626282626810262862366[[#This Row],[Uso diário]]*2</f>
        <v>37.6</v>
      </c>
      <c r="O169" s="19">
        <f>Tabela1746810121422303226816192527313336242101214161824262830384024810121416202226283032343624268101214246101224262442626282626810262862366[[#This Row],[Total Acumulado]]-P169</f>
        <v>-94</v>
      </c>
      <c r="P169" s="48">
        <f>Tabela1746810121422303226816192527313336242101214161824262830384024810121416202226283032343624268101214246101224262442626282626810262862366[[#This Row],[Uso diário]]*5</f>
        <v>94</v>
      </c>
      <c r="Q16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6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6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69" s="25">
        <v>1</v>
      </c>
    </row>
    <row r="170" spans="1:20" s="26" customFormat="1" x14ac:dyDescent="0.25">
      <c r="A170" s="16">
        <v>230276</v>
      </c>
      <c r="B170" s="30" t="s">
        <v>1401</v>
      </c>
      <c r="C170" s="20" t="s">
        <v>637</v>
      </c>
      <c r="D170" s="20" t="s">
        <v>694</v>
      </c>
      <c r="E170" s="20" t="s">
        <v>1874</v>
      </c>
      <c r="F170" s="20" t="s">
        <v>1875</v>
      </c>
      <c r="G170" s="21">
        <v>18.8</v>
      </c>
      <c r="H170" s="16">
        <v>24</v>
      </c>
      <c r="I170" s="16">
        <v>1</v>
      </c>
      <c r="J17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70" s="22"/>
      <c r="L170" s="23"/>
      <c r="M170" s="23">
        <f>SUM(Tabela1746810121422303226816192527313336242101214161824262830384024810121416202226283032343624268101214246101224262442626282626810262862366[[#This Row],[Saldo no cartão]:[Recarga Pendente]])</f>
        <v>0</v>
      </c>
      <c r="N170" s="19">
        <f>Tabela1746810121422303226816192527313336242101214161824262830384024810121416202226283032343624268101214246101224262442626282626810262862366[[#This Row],[Uso diário]]*2</f>
        <v>37.6</v>
      </c>
      <c r="O170" s="19">
        <f>Tabela1746810121422303226816192527313336242101214161824262830384024810121416202226283032343624268101214246101224262442626282626810262862366[[#This Row],[Total Acumulado]]-P170</f>
        <v>-94</v>
      </c>
      <c r="P170" s="48">
        <f>Tabela1746810121422303226816192527313336242101214161824262830384024810121416202226283032343624268101214246101224262442626282626810262862366[[#This Row],[Uso diário]]*5</f>
        <v>94</v>
      </c>
      <c r="Q17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7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0" s="25">
        <v>1</v>
      </c>
    </row>
    <row r="171" spans="1:20" s="26" customFormat="1" x14ac:dyDescent="0.25">
      <c r="A171" s="16">
        <v>230333</v>
      </c>
      <c r="B171" s="30" t="s">
        <v>140</v>
      </c>
      <c r="C171" s="20" t="s">
        <v>637</v>
      </c>
      <c r="D171" s="20" t="s">
        <v>696</v>
      </c>
      <c r="E171" s="20" t="s">
        <v>1876</v>
      </c>
      <c r="F171" s="20" t="s">
        <v>1877</v>
      </c>
      <c r="G171" s="21">
        <v>18.8</v>
      </c>
      <c r="H171" s="16">
        <v>24</v>
      </c>
      <c r="I171" s="16"/>
      <c r="J17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71" s="22"/>
      <c r="L171" s="23"/>
      <c r="M171" s="23">
        <f>SUM(Tabela1746810121422303226816192527313336242101214161824262830384024810121416202226283032343624268101214246101224262442626282626810262862366[[#This Row],[Saldo no cartão]:[Recarga Pendente]])</f>
        <v>0</v>
      </c>
      <c r="N171" s="19">
        <f>Tabela1746810121422303226816192527313336242101214161824262830384024810121416202226283032343624268101214246101224262442626282626810262862366[[#This Row],[Uso diário]]*2</f>
        <v>37.6</v>
      </c>
      <c r="O171" s="19">
        <f>Tabela1746810121422303226816192527313336242101214161824262830384024810121416202226283032343624268101214246101224262442626282626810262862366[[#This Row],[Total Acumulado]]-P171</f>
        <v>-94</v>
      </c>
      <c r="P171" s="48">
        <f>Tabela1746810121422303226816192527313336242101214161824262830384024810121416202226283032343624268101214246101224262442626282626810262862366[[#This Row],[Uso diário]]*5</f>
        <v>94</v>
      </c>
      <c r="Q17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7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1" s="25">
        <v>1</v>
      </c>
    </row>
    <row r="172" spans="1:20" s="26" customFormat="1" x14ac:dyDescent="0.25">
      <c r="A172" s="16">
        <v>230589</v>
      </c>
      <c r="B172" s="30" t="s">
        <v>141</v>
      </c>
      <c r="C172" s="20" t="s">
        <v>637</v>
      </c>
      <c r="D172" s="20" t="s">
        <v>694</v>
      </c>
      <c r="E172" s="20" t="s">
        <v>1878</v>
      </c>
      <c r="F172" s="20" t="s">
        <v>1879</v>
      </c>
      <c r="G172" s="21">
        <v>18.8</v>
      </c>
      <c r="H172" s="16">
        <v>24</v>
      </c>
      <c r="I172" s="16">
        <v>1</v>
      </c>
      <c r="J17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72" s="22"/>
      <c r="L172" s="23"/>
      <c r="M172" s="23">
        <f>SUM(Tabela1746810121422303226816192527313336242101214161824262830384024810121416202226283032343624268101214246101224262442626282626810262862366[[#This Row],[Saldo no cartão]:[Recarga Pendente]])</f>
        <v>0</v>
      </c>
      <c r="N172" s="19">
        <f>Tabela1746810121422303226816192527313336242101214161824262830384024810121416202226283032343624268101214246101224262442626282626810262862366[[#This Row],[Uso diário]]*2</f>
        <v>37.6</v>
      </c>
      <c r="O172" s="19">
        <f>Tabela1746810121422303226816192527313336242101214161824262830384024810121416202226283032343624268101214246101224262442626282626810262862366[[#This Row],[Total Acumulado]]-P172</f>
        <v>-94</v>
      </c>
      <c r="P172" s="48">
        <f>Tabela1746810121422303226816192527313336242101214161824262830384024810121416202226283032343624268101214246101224262442626282626810262862366[[#This Row],[Uso diário]]*5</f>
        <v>94</v>
      </c>
      <c r="Q17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7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2" s="25">
        <v>1</v>
      </c>
    </row>
    <row r="173" spans="1:20" s="26" customFormat="1" x14ac:dyDescent="0.25">
      <c r="A173" s="16">
        <v>230961</v>
      </c>
      <c r="B173" s="30" t="s">
        <v>143</v>
      </c>
      <c r="C173" s="20" t="s">
        <v>637</v>
      </c>
      <c r="D173" s="20" t="s">
        <v>694</v>
      </c>
      <c r="E173" s="20" t="s">
        <v>1880</v>
      </c>
      <c r="F173" s="20" t="s">
        <v>1881</v>
      </c>
      <c r="G173" s="21">
        <v>18.8</v>
      </c>
      <c r="H173" s="16">
        <v>24</v>
      </c>
      <c r="I173" s="16">
        <v>9</v>
      </c>
      <c r="J17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282</v>
      </c>
      <c r="K173" s="22"/>
      <c r="L173" s="23"/>
      <c r="M173" s="23">
        <f>SUM(Tabela1746810121422303226816192527313336242101214161824262830384024810121416202226283032343624268101214246101224262442626282626810262862366[[#This Row],[Saldo no cartão]:[Recarga Pendente]])</f>
        <v>0</v>
      </c>
      <c r="N173" s="19">
        <f>Tabela1746810121422303226816192527313336242101214161824262830384024810121416202226283032343624268101214246101224262442626282626810262862366[[#This Row],[Uso diário]]*2</f>
        <v>37.6</v>
      </c>
      <c r="O173" s="19">
        <f>Tabela1746810121422303226816192527313336242101214161824262830384024810121416202226283032343624268101214246101224262442626282626810262862366[[#This Row],[Total Acumulado]]-P173</f>
        <v>-94</v>
      </c>
      <c r="P173" s="48">
        <f>Tabela1746810121422303226816192527313336242101214161824262830384024810121416202226283032343624268101214246101224262442626282626810262862366[[#This Row],[Uso diário]]*5</f>
        <v>94</v>
      </c>
      <c r="Q17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282</v>
      </c>
      <c r="S17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3" s="25">
        <v>1</v>
      </c>
    </row>
    <row r="174" spans="1:20" s="26" customFormat="1" x14ac:dyDescent="0.25">
      <c r="A174" s="16">
        <v>230962</v>
      </c>
      <c r="B174" s="30" t="s">
        <v>1402</v>
      </c>
      <c r="C174" s="20" t="s">
        <v>637</v>
      </c>
      <c r="D174" s="20" t="s">
        <v>693</v>
      </c>
      <c r="E174" s="20" t="s">
        <v>1882</v>
      </c>
      <c r="F174" s="20" t="s">
        <v>1883</v>
      </c>
      <c r="G174" s="21">
        <v>18.8</v>
      </c>
      <c r="H174" s="16">
        <v>24</v>
      </c>
      <c r="I174" s="16"/>
      <c r="J17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74" s="22"/>
      <c r="L174" s="23"/>
      <c r="M174" s="23">
        <f>SUM(Tabela1746810121422303226816192527313336242101214161824262830384024810121416202226283032343624268101214246101224262442626282626810262862366[[#This Row],[Saldo no cartão]:[Recarga Pendente]])</f>
        <v>0</v>
      </c>
      <c r="N174" s="19">
        <f>Tabela1746810121422303226816192527313336242101214161824262830384024810121416202226283032343624268101214246101224262442626282626810262862366[[#This Row],[Uso diário]]*2</f>
        <v>37.6</v>
      </c>
      <c r="O174" s="19">
        <f>Tabela1746810121422303226816192527313336242101214161824262830384024810121416202226283032343624268101214246101224262442626282626810262862366[[#This Row],[Total Acumulado]]-P174</f>
        <v>-94</v>
      </c>
      <c r="P174" s="48">
        <f>Tabela1746810121422303226816192527313336242101214161824262830384024810121416202226283032343624268101214246101224262442626282626810262862366[[#This Row],[Uso diário]]*5</f>
        <v>94</v>
      </c>
      <c r="Q17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7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4" s="25">
        <v>1</v>
      </c>
    </row>
    <row r="175" spans="1:20" s="26" customFormat="1" x14ac:dyDescent="0.25">
      <c r="A175" s="16">
        <v>230963</v>
      </c>
      <c r="B175" s="30" t="s">
        <v>1403</v>
      </c>
      <c r="C175" s="20" t="s">
        <v>637</v>
      </c>
      <c r="D175" s="20" t="s">
        <v>696</v>
      </c>
      <c r="E175" s="20" t="s">
        <v>1884</v>
      </c>
      <c r="F175" s="20" t="s">
        <v>1885</v>
      </c>
      <c r="G175" s="21">
        <v>18.8</v>
      </c>
      <c r="H175" s="16">
        <v>27</v>
      </c>
      <c r="I175" s="16">
        <v>2</v>
      </c>
      <c r="J17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175" s="22"/>
      <c r="L175" s="23"/>
      <c r="M175" s="23">
        <f>SUM(Tabela1746810121422303226816192527313336242101214161824262830384024810121416202226283032343624268101214246101224262442626282626810262862366[[#This Row],[Saldo no cartão]:[Recarga Pendente]])</f>
        <v>0</v>
      </c>
      <c r="N175" s="19">
        <f>Tabela1746810121422303226816192527313336242101214161824262830384024810121416202226283032343624268101214246101224262442626282626810262862366[[#This Row],[Uso diário]]*2</f>
        <v>37.6</v>
      </c>
      <c r="O175" s="19">
        <f>Tabela1746810121422303226816192527313336242101214161824262830384024810121416202226283032343624268101214246101224262442626282626810262862366[[#This Row],[Total Acumulado]]-P175</f>
        <v>-94</v>
      </c>
      <c r="P175" s="48">
        <f>Tabela1746810121422303226816192527313336242101214161824262830384024810121416202226283032343624268101214246101224262442626282626810262862366[[#This Row],[Uso diário]]*5</f>
        <v>94</v>
      </c>
      <c r="Q17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17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5" s="25">
        <v>1</v>
      </c>
    </row>
    <row r="176" spans="1:20" s="26" customFormat="1" x14ac:dyDescent="0.25">
      <c r="A176" s="16">
        <v>231184</v>
      </c>
      <c r="B176" s="30" t="s">
        <v>763</v>
      </c>
      <c r="C176" s="20" t="s">
        <v>637</v>
      </c>
      <c r="D176" s="20" t="s">
        <v>696</v>
      </c>
      <c r="E176" s="20" t="s">
        <v>1886</v>
      </c>
      <c r="F176" s="20" t="s">
        <v>1887</v>
      </c>
      <c r="G176" s="21">
        <v>18.8</v>
      </c>
      <c r="H176" s="16">
        <v>24</v>
      </c>
      <c r="I176" s="16"/>
      <c r="J17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76" s="22"/>
      <c r="L176" s="23"/>
      <c r="M176" s="23">
        <f>SUM(Tabela1746810121422303226816192527313336242101214161824262830384024810121416202226283032343624268101214246101224262442626282626810262862366[[#This Row],[Saldo no cartão]:[Recarga Pendente]])</f>
        <v>0</v>
      </c>
      <c r="N176" s="19">
        <f>Tabela1746810121422303226816192527313336242101214161824262830384024810121416202226283032343624268101214246101224262442626282626810262862366[[#This Row],[Uso diário]]*2</f>
        <v>37.6</v>
      </c>
      <c r="O176" s="19">
        <f>Tabela1746810121422303226816192527313336242101214161824262830384024810121416202226283032343624268101214246101224262442626282626810262862366[[#This Row],[Total Acumulado]]-P176</f>
        <v>-94</v>
      </c>
      <c r="P176" s="48">
        <f>Tabela1746810121422303226816192527313336242101214161824262830384024810121416202226283032343624268101214246101224262442626282626810262862366[[#This Row],[Uso diário]]*5</f>
        <v>94</v>
      </c>
      <c r="Q17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7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6" s="25">
        <v>1</v>
      </c>
    </row>
    <row r="177" spans="1:20" s="26" customFormat="1" x14ac:dyDescent="0.25">
      <c r="A177" s="16">
        <v>231431</v>
      </c>
      <c r="B177" s="30" t="s">
        <v>784</v>
      </c>
      <c r="C177" s="20" t="s">
        <v>637</v>
      </c>
      <c r="D177" s="20" t="s">
        <v>696</v>
      </c>
      <c r="E177" s="20" t="s">
        <v>1888</v>
      </c>
      <c r="F177" s="20" t="s">
        <v>1889</v>
      </c>
      <c r="G177" s="21">
        <v>18.8</v>
      </c>
      <c r="H177" s="16">
        <v>24</v>
      </c>
      <c r="I177" s="16"/>
      <c r="J17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77" s="22"/>
      <c r="L177" s="23"/>
      <c r="M177" s="23">
        <f>SUM(Tabela1746810121422303226816192527313336242101214161824262830384024810121416202226283032343624268101214246101224262442626282626810262862366[[#This Row],[Saldo no cartão]:[Recarga Pendente]])</f>
        <v>0</v>
      </c>
      <c r="N177" s="19">
        <f>Tabela1746810121422303226816192527313336242101214161824262830384024810121416202226283032343624268101214246101224262442626282626810262862366[[#This Row],[Uso diário]]*2</f>
        <v>37.6</v>
      </c>
      <c r="O177" s="19">
        <f>Tabela1746810121422303226816192527313336242101214161824262830384024810121416202226283032343624268101214246101224262442626282626810262862366[[#This Row],[Total Acumulado]]-P177</f>
        <v>-94</v>
      </c>
      <c r="P177" s="48">
        <f>Tabela1746810121422303226816192527313336242101214161824262830384024810121416202226283032343624268101214246101224262442626282626810262862366[[#This Row],[Uso diário]]*5</f>
        <v>94</v>
      </c>
      <c r="Q17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7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7" s="25">
        <v>1</v>
      </c>
    </row>
    <row r="178" spans="1:20" s="26" customFormat="1" x14ac:dyDescent="0.25">
      <c r="A178" s="16">
        <v>231523</v>
      </c>
      <c r="B178" s="30" t="s">
        <v>811</v>
      </c>
      <c r="C178" s="20" t="s">
        <v>637</v>
      </c>
      <c r="D178" s="20" t="s">
        <v>696</v>
      </c>
      <c r="E178" s="20" t="s">
        <v>1890</v>
      </c>
      <c r="F178" s="20" t="s">
        <v>1891</v>
      </c>
      <c r="G178" s="21">
        <v>18.8</v>
      </c>
      <c r="H178" s="16">
        <v>27</v>
      </c>
      <c r="I178" s="16">
        <v>5</v>
      </c>
      <c r="J17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78" s="22"/>
      <c r="L178" s="23"/>
      <c r="M178" s="23">
        <f>SUM(Tabela1746810121422303226816192527313336242101214161824262830384024810121416202226283032343624268101214246101224262442626282626810262862366[[#This Row],[Saldo no cartão]:[Recarga Pendente]])</f>
        <v>0</v>
      </c>
      <c r="N178" s="19">
        <f>Tabela1746810121422303226816192527313336242101214161824262830384024810121416202226283032343624268101214246101224262442626282626810262862366[[#This Row],[Uso diário]]*2</f>
        <v>37.6</v>
      </c>
      <c r="O178" s="19">
        <f>Tabela1746810121422303226816192527313336242101214161824262830384024810121416202226283032343624268101214246101224262442626282626810262862366[[#This Row],[Total Acumulado]]-P178</f>
        <v>-94</v>
      </c>
      <c r="P178" s="48">
        <f>Tabela1746810121422303226816192527313336242101214161824262830384024810121416202226283032343624268101214246101224262442626282626810262862366[[#This Row],[Uso diário]]*5</f>
        <v>94</v>
      </c>
      <c r="Q17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7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8" s="25">
        <v>1</v>
      </c>
    </row>
    <row r="179" spans="1:20" s="26" customFormat="1" x14ac:dyDescent="0.25">
      <c r="A179" s="16">
        <v>231558</v>
      </c>
      <c r="B179" s="30" t="s">
        <v>812</v>
      </c>
      <c r="C179" s="20" t="s">
        <v>637</v>
      </c>
      <c r="D179" s="20" t="s">
        <v>696</v>
      </c>
      <c r="E179" s="20" t="s">
        <v>1892</v>
      </c>
      <c r="F179" s="20" t="s">
        <v>1893</v>
      </c>
      <c r="G179" s="21">
        <v>13.7</v>
      </c>
      <c r="H179" s="16">
        <v>27</v>
      </c>
      <c r="I179" s="16">
        <v>6</v>
      </c>
      <c r="J17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287.7</v>
      </c>
      <c r="K179" s="22"/>
      <c r="L179" s="23"/>
      <c r="M179" s="23">
        <f>SUM(Tabela1746810121422303226816192527313336242101214161824262830384024810121416202226283032343624268101214246101224262442626282626810262862366[[#This Row],[Saldo no cartão]:[Recarga Pendente]])</f>
        <v>0</v>
      </c>
      <c r="N179" s="19">
        <f>Tabela1746810121422303226816192527313336242101214161824262830384024810121416202226283032343624268101214246101224262442626282626810262862366[[#This Row],[Uso diário]]*2</f>
        <v>27.4</v>
      </c>
      <c r="O179" s="19">
        <f>Tabela1746810121422303226816192527313336242101214161824262830384024810121416202226283032343624268101214246101224262442626282626810262862366[[#This Row],[Total Acumulado]]-P179</f>
        <v>-68.5</v>
      </c>
      <c r="P179" s="48">
        <f>Tabela1746810121422303226816192527313336242101214161824262830384024810121416202226283032343624268101214246101224262442626282626810262862366[[#This Row],[Uso diário]]*5</f>
        <v>68.5</v>
      </c>
      <c r="Q17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7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287.7</v>
      </c>
      <c r="S17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79" s="25">
        <v>1</v>
      </c>
    </row>
    <row r="180" spans="1:20" s="26" customFormat="1" x14ac:dyDescent="0.25">
      <c r="A180" s="16">
        <v>231584</v>
      </c>
      <c r="B180" s="30" t="s">
        <v>1149</v>
      </c>
      <c r="C180" s="20" t="s">
        <v>637</v>
      </c>
      <c r="D180" s="20" t="s">
        <v>696</v>
      </c>
      <c r="E180" s="20" t="s">
        <v>1894</v>
      </c>
      <c r="F180" s="20" t="s">
        <v>1895</v>
      </c>
      <c r="G180" s="21">
        <v>18.8</v>
      </c>
      <c r="H180" s="16">
        <v>24</v>
      </c>
      <c r="I180" s="16"/>
      <c r="J18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0" s="22"/>
      <c r="L180" s="23">
        <v>428.45</v>
      </c>
      <c r="M180" s="23">
        <f>SUM(Tabela1746810121422303226816192527313336242101214161824262830384024810121416202226283032343624268101214246101224262442626282626810262862366[[#This Row],[Saldo no cartão]:[Recarga Pendente]])</f>
        <v>428.45</v>
      </c>
      <c r="N180" s="19">
        <f>Tabela1746810121422303226816192527313336242101214161824262830384024810121416202226283032343624268101214246101224262442626282626810262862366[[#This Row],[Uso diário]]*2</f>
        <v>37.6</v>
      </c>
      <c r="O180" s="19">
        <f>Tabela1746810121422303226816192527313336242101214161824262830384024810121416202226283032343624268101214246101224262442626282626810262862366[[#This Row],[Total Acumulado]]-P180</f>
        <v>334.45</v>
      </c>
      <c r="P180" s="48">
        <f>Tabela1746810121422303226816192527313336242101214161824262830384024810121416202226283032343624268101214246101224262442626282626810262862366[[#This Row],[Uso diário]]*5</f>
        <v>94</v>
      </c>
      <c r="Q18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334.45</v>
      </c>
      <c r="R18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116.75000000000006</v>
      </c>
      <c r="S180" s="18" t="s">
        <v>11</v>
      </c>
      <c r="T180" s="25">
        <v>1</v>
      </c>
    </row>
    <row r="181" spans="1:20" s="26" customFormat="1" x14ac:dyDescent="0.25">
      <c r="A181" s="16">
        <v>231719</v>
      </c>
      <c r="B181" s="30" t="s">
        <v>813</v>
      </c>
      <c r="C181" s="20" t="s">
        <v>637</v>
      </c>
      <c r="D181" s="20" t="s">
        <v>696</v>
      </c>
      <c r="E181" s="20" t="s">
        <v>1896</v>
      </c>
      <c r="F181" s="20" t="s">
        <v>1897</v>
      </c>
      <c r="G181" s="21">
        <v>18.8</v>
      </c>
      <c r="H181" s="16">
        <v>24</v>
      </c>
      <c r="I181" s="16"/>
      <c r="J18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1" s="22"/>
      <c r="L181" s="23"/>
      <c r="M181" s="23">
        <f>SUM(Tabela1746810121422303226816192527313336242101214161824262830384024810121416202226283032343624268101214246101224262442626282626810262862366[[#This Row],[Saldo no cartão]:[Recarga Pendente]])</f>
        <v>0</v>
      </c>
      <c r="N181" s="19">
        <f>Tabela1746810121422303226816192527313336242101214161824262830384024810121416202226283032343624268101214246101224262442626282626810262862366[[#This Row],[Uso diário]]*2</f>
        <v>37.6</v>
      </c>
      <c r="O181" s="19">
        <f>Tabela1746810121422303226816192527313336242101214161824262830384024810121416202226283032343624268101214246101224262442626282626810262862366[[#This Row],[Total Acumulado]]-P181</f>
        <v>-94</v>
      </c>
      <c r="P181" s="48">
        <f>Tabela1746810121422303226816192527313336242101214161824262830384024810121416202226283032343624268101214246101224262442626282626810262862366[[#This Row],[Uso diário]]*5</f>
        <v>94</v>
      </c>
      <c r="Q18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8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1" s="25">
        <v>1</v>
      </c>
    </row>
    <row r="182" spans="1:20" s="26" customFormat="1" x14ac:dyDescent="0.25">
      <c r="A182" s="16">
        <v>231835</v>
      </c>
      <c r="B182" s="30" t="s">
        <v>814</v>
      </c>
      <c r="C182" s="20" t="s">
        <v>637</v>
      </c>
      <c r="D182" s="20" t="s">
        <v>696</v>
      </c>
      <c r="E182" s="20" t="s">
        <v>1898</v>
      </c>
      <c r="F182" s="20" t="s">
        <v>1899</v>
      </c>
      <c r="G182" s="21">
        <v>18.8</v>
      </c>
      <c r="H182" s="16">
        <v>24</v>
      </c>
      <c r="I182" s="16"/>
      <c r="J18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2" s="22"/>
      <c r="L182" s="23"/>
      <c r="M182" s="23">
        <f>SUM(Tabela1746810121422303226816192527313336242101214161824262830384024810121416202226283032343624268101214246101224262442626282626810262862366[[#This Row],[Saldo no cartão]:[Recarga Pendente]])</f>
        <v>0</v>
      </c>
      <c r="N182" s="19">
        <f>Tabela1746810121422303226816192527313336242101214161824262830384024810121416202226283032343624268101214246101224262442626282626810262862366[[#This Row],[Uso diário]]*2</f>
        <v>37.6</v>
      </c>
      <c r="O182" s="19">
        <f>Tabela1746810121422303226816192527313336242101214161824262830384024810121416202226283032343624268101214246101224262442626282626810262862366[[#This Row],[Total Acumulado]]-P182</f>
        <v>-94</v>
      </c>
      <c r="P182" s="48">
        <f>Tabela1746810121422303226816192527313336242101214161824262830384024810121416202226283032343624268101214246101224262442626282626810262862366[[#This Row],[Uso diário]]*5</f>
        <v>94</v>
      </c>
      <c r="Q18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8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2" s="25">
        <v>1</v>
      </c>
    </row>
    <row r="183" spans="1:20" s="26" customFormat="1" x14ac:dyDescent="0.25">
      <c r="A183" s="16">
        <v>231930</v>
      </c>
      <c r="B183" s="30" t="s">
        <v>1271</v>
      </c>
      <c r="C183" s="20" t="s">
        <v>637</v>
      </c>
      <c r="D183" s="20" t="s">
        <v>696</v>
      </c>
      <c r="E183" s="20" t="s">
        <v>1900</v>
      </c>
      <c r="F183" s="20" t="s">
        <v>1901</v>
      </c>
      <c r="G183" s="21">
        <v>18.8</v>
      </c>
      <c r="H183" s="16">
        <v>24</v>
      </c>
      <c r="I183" s="16"/>
      <c r="J18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3" s="22"/>
      <c r="L183" s="23">
        <v>357.2</v>
      </c>
      <c r="M183" s="23">
        <f>SUM(Tabela1746810121422303226816192527313336242101214161824262830384024810121416202226283032343624268101214246101224262442626282626810262862366[[#This Row],[Saldo no cartão]:[Recarga Pendente]])</f>
        <v>357.2</v>
      </c>
      <c r="N183" s="19">
        <f>Tabela1746810121422303226816192527313336242101214161824262830384024810121416202226283032343624268101214246101224262442626282626810262862366[[#This Row],[Uso diário]]*2</f>
        <v>37.6</v>
      </c>
      <c r="O183" s="19">
        <f>Tabela1746810121422303226816192527313336242101214161824262830384024810121416202226283032343624268101214246101224262442626282626810262862366[[#This Row],[Total Acumulado]]-P183</f>
        <v>263.2</v>
      </c>
      <c r="P183" s="48">
        <f>Tabela1746810121422303226816192527313336242101214161824262830384024810121416202226283032343624268101214246101224262442626282626810262862366[[#This Row],[Uso diário]]*5</f>
        <v>94</v>
      </c>
      <c r="Q18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263.2</v>
      </c>
      <c r="R18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188.00000000000006</v>
      </c>
      <c r="S183" s="18" t="s">
        <v>11</v>
      </c>
      <c r="T183" s="25">
        <v>1</v>
      </c>
    </row>
    <row r="184" spans="1:20" s="26" customFormat="1" x14ac:dyDescent="0.25">
      <c r="A184" s="16">
        <v>232038</v>
      </c>
      <c r="B184" s="30" t="s">
        <v>816</v>
      </c>
      <c r="C184" s="20" t="s">
        <v>637</v>
      </c>
      <c r="D184" s="20" t="s">
        <v>807</v>
      </c>
      <c r="E184" s="20" t="s">
        <v>1902</v>
      </c>
      <c r="F184" s="20" t="s">
        <v>1903</v>
      </c>
      <c r="G184" s="21">
        <v>18.8</v>
      </c>
      <c r="H184" s="16">
        <v>24</v>
      </c>
      <c r="I184" s="16"/>
      <c r="J18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4" s="22"/>
      <c r="L184" s="23"/>
      <c r="M184" s="23">
        <f>SUM(Tabela1746810121422303226816192527313336242101214161824262830384024810121416202226283032343624268101214246101224262442626282626810262862366[[#This Row],[Saldo no cartão]:[Recarga Pendente]])</f>
        <v>0</v>
      </c>
      <c r="N184" s="19">
        <f>Tabela1746810121422303226816192527313336242101214161824262830384024810121416202226283032343624268101214246101224262442626282626810262862366[[#This Row],[Uso diário]]*2</f>
        <v>37.6</v>
      </c>
      <c r="O184" s="19">
        <f>Tabela1746810121422303226816192527313336242101214161824262830384024810121416202226283032343624268101214246101224262442626282626810262862366[[#This Row],[Total Acumulado]]-P184</f>
        <v>-94</v>
      </c>
      <c r="P184" s="48">
        <f>Tabela1746810121422303226816192527313336242101214161824262830384024810121416202226283032343624268101214246101224262442626282626810262862366[[#This Row],[Uso diário]]*5</f>
        <v>94</v>
      </c>
      <c r="Q18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8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4" s="25">
        <v>1</v>
      </c>
    </row>
    <row r="185" spans="1:20" s="26" customFormat="1" x14ac:dyDescent="0.25">
      <c r="A185" s="16">
        <v>232338</v>
      </c>
      <c r="B185" s="30" t="s">
        <v>893</v>
      </c>
      <c r="C185" s="20" t="s">
        <v>637</v>
      </c>
      <c r="D185" s="20" t="s">
        <v>696</v>
      </c>
      <c r="E185" s="20" t="s">
        <v>1904</v>
      </c>
      <c r="F185" s="20" t="s">
        <v>1905</v>
      </c>
      <c r="G185" s="21">
        <v>18.8</v>
      </c>
      <c r="H185" s="16">
        <v>24</v>
      </c>
      <c r="I185" s="16"/>
      <c r="J18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5" s="22"/>
      <c r="L185" s="23"/>
      <c r="M185" s="23">
        <f>SUM(Tabela1746810121422303226816192527313336242101214161824262830384024810121416202226283032343624268101214246101224262442626282626810262862366[[#This Row],[Saldo no cartão]:[Recarga Pendente]])</f>
        <v>0</v>
      </c>
      <c r="N185" s="19">
        <f>Tabela1746810121422303226816192527313336242101214161824262830384024810121416202226283032343624268101214246101224262442626282626810262862366[[#This Row],[Uso diário]]*2</f>
        <v>37.6</v>
      </c>
      <c r="O185" s="19">
        <f>Tabela1746810121422303226816192527313336242101214161824262830384024810121416202226283032343624268101214246101224262442626282626810262862366[[#This Row],[Total Acumulado]]-P185</f>
        <v>-94</v>
      </c>
      <c r="P185" s="48">
        <f>Tabela1746810121422303226816192527313336242101214161824262830384024810121416202226283032343624268101214246101224262442626282626810262862366[[#This Row],[Uso diário]]*5</f>
        <v>94</v>
      </c>
      <c r="Q18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8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5" s="25">
        <v>1</v>
      </c>
    </row>
    <row r="186" spans="1:20" s="26" customFormat="1" x14ac:dyDescent="0.25">
      <c r="A186" s="16">
        <v>232339</v>
      </c>
      <c r="B186" s="30" t="s">
        <v>894</v>
      </c>
      <c r="C186" s="20" t="s">
        <v>637</v>
      </c>
      <c r="D186" s="20" t="s">
        <v>696</v>
      </c>
      <c r="E186" s="20" t="s">
        <v>1906</v>
      </c>
      <c r="F186" s="20" t="s">
        <v>1907</v>
      </c>
      <c r="G186" s="21">
        <v>18.8</v>
      </c>
      <c r="H186" s="16">
        <v>24</v>
      </c>
      <c r="I186" s="16"/>
      <c r="J18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86" s="22"/>
      <c r="L186" s="23"/>
      <c r="M186" s="23">
        <f>SUM(Tabela1746810121422303226816192527313336242101214161824262830384024810121416202226283032343624268101214246101224262442626282626810262862366[[#This Row],[Saldo no cartão]:[Recarga Pendente]])</f>
        <v>0</v>
      </c>
      <c r="N186" s="19">
        <f>Tabela1746810121422303226816192527313336242101214161824262830384024810121416202226283032343624268101214246101224262442626282626810262862366[[#This Row],[Uso diário]]*2</f>
        <v>37.6</v>
      </c>
      <c r="O186" s="19">
        <f>Tabela1746810121422303226816192527313336242101214161824262830384024810121416202226283032343624268101214246101224262442626282626810262862366[[#This Row],[Total Acumulado]]-P186</f>
        <v>-94</v>
      </c>
      <c r="P186" s="48">
        <f>Tabela1746810121422303226816192527313336242101214161824262830384024810121416202226283032343624268101214246101224262442626282626810262862366[[#This Row],[Uso diário]]*5</f>
        <v>94</v>
      </c>
      <c r="Q18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8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6" s="25">
        <v>1</v>
      </c>
    </row>
    <row r="187" spans="1:20" s="26" customFormat="1" x14ac:dyDescent="0.25">
      <c r="A187" s="16">
        <v>232422</v>
      </c>
      <c r="B187" s="30" t="s">
        <v>895</v>
      </c>
      <c r="C187" s="20" t="s">
        <v>637</v>
      </c>
      <c r="D187" s="20" t="s">
        <v>696</v>
      </c>
      <c r="E187" s="20" t="s">
        <v>1908</v>
      </c>
      <c r="F187" s="20" t="s">
        <v>1909</v>
      </c>
      <c r="G187" s="21">
        <v>18.8</v>
      </c>
      <c r="H187" s="16">
        <v>24</v>
      </c>
      <c r="I187" s="16">
        <v>4</v>
      </c>
      <c r="J18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187" s="22"/>
      <c r="L187" s="23"/>
      <c r="M187" s="23">
        <f>SUM(Tabela1746810121422303226816192527313336242101214161824262830384024810121416202226283032343624268101214246101224262442626282626810262862366[[#This Row],[Saldo no cartão]:[Recarga Pendente]])</f>
        <v>0</v>
      </c>
      <c r="N187" s="19">
        <f>Tabela1746810121422303226816192527313336242101214161824262830384024810121416202226283032343624268101214246101224262442626282626810262862366[[#This Row],[Uso diário]]*2</f>
        <v>37.6</v>
      </c>
      <c r="O187" s="19">
        <f>Tabela1746810121422303226816192527313336242101214161824262830384024810121416202226283032343624268101214246101224262442626282626810262862366[[#This Row],[Total Acumulado]]-P187</f>
        <v>-94</v>
      </c>
      <c r="P187" s="48">
        <f>Tabela1746810121422303226816192527313336242101214161824262830384024810121416202226283032343624268101214246101224262442626282626810262862366[[#This Row],[Uso diário]]*5</f>
        <v>94</v>
      </c>
      <c r="Q18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18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7" s="25">
        <v>1</v>
      </c>
    </row>
    <row r="188" spans="1:20" s="26" customFormat="1" x14ac:dyDescent="0.25">
      <c r="A188" s="16">
        <v>232587</v>
      </c>
      <c r="B188" s="30" t="s">
        <v>926</v>
      </c>
      <c r="C188" s="20" t="s">
        <v>637</v>
      </c>
      <c r="D188" s="20" t="s">
        <v>696</v>
      </c>
      <c r="E188" s="20" t="s">
        <v>1910</v>
      </c>
      <c r="F188" s="20" t="s">
        <v>1911</v>
      </c>
      <c r="G188" s="21">
        <v>18.8</v>
      </c>
      <c r="H188" s="16">
        <v>24</v>
      </c>
      <c r="I188" s="16">
        <v>3</v>
      </c>
      <c r="J18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188" s="22"/>
      <c r="L188" s="23"/>
      <c r="M188" s="23">
        <f>SUM(Tabela1746810121422303226816192527313336242101214161824262830384024810121416202226283032343624268101214246101224262442626282626810262862366[[#This Row],[Saldo no cartão]:[Recarga Pendente]])</f>
        <v>0</v>
      </c>
      <c r="N188" s="19">
        <f>Tabela1746810121422303226816192527313336242101214161824262830384024810121416202226283032343624268101214246101224262442626282626810262862366[[#This Row],[Uso diário]]*2</f>
        <v>37.6</v>
      </c>
      <c r="O188" s="19">
        <f>Tabela1746810121422303226816192527313336242101214161824262830384024810121416202226283032343624268101214246101224262442626282626810262862366[[#This Row],[Total Acumulado]]-P188</f>
        <v>-94</v>
      </c>
      <c r="P188" s="48">
        <f>Tabela1746810121422303226816192527313336242101214161824262830384024810121416202226283032343624268101214246101224262442626282626810262862366[[#This Row],[Uso diário]]*5</f>
        <v>94</v>
      </c>
      <c r="Q18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18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8" s="25">
        <v>1</v>
      </c>
    </row>
    <row r="189" spans="1:20" s="26" customFormat="1" x14ac:dyDescent="0.25">
      <c r="A189" s="16">
        <v>232620</v>
      </c>
      <c r="B189" s="30" t="s">
        <v>927</v>
      </c>
      <c r="C189" s="20" t="s">
        <v>637</v>
      </c>
      <c r="D189" s="20" t="s">
        <v>696</v>
      </c>
      <c r="E189" s="20" t="s">
        <v>1912</v>
      </c>
      <c r="F189" s="20" t="s">
        <v>1913</v>
      </c>
      <c r="G189" s="21">
        <v>18.8</v>
      </c>
      <c r="H189" s="16">
        <v>24</v>
      </c>
      <c r="I189" s="16">
        <v>2</v>
      </c>
      <c r="J18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89" s="22"/>
      <c r="L189" s="23"/>
      <c r="M189" s="23">
        <f>SUM(Tabela1746810121422303226816192527313336242101214161824262830384024810121416202226283032343624268101214246101224262442626282626810262862366[[#This Row],[Saldo no cartão]:[Recarga Pendente]])</f>
        <v>0</v>
      </c>
      <c r="N189" s="19">
        <f>Tabela1746810121422303226816192527313336242101214161824262830384024810121416202226283032343624268101214246101224262442626282626810262862366[[#This Row],[Uso diário]]*2</f>
        <v>37.6</v>
      </c>
      <c r="O189" s="19">
        <f>Tabela1746810121422303226816192527313336242101214161824262830384024810121416202226283032343624268101214246101224262442626282626810262862366[[#This Row],[Total Acumulado]]-P189</f>
        <v>-94</v>
      </c>
      <c r="P189" s="48">
        <f>Tabela1746810121422303226816192527313336242101214161824262830384024810121416202226283032343624268101214246101224262442626282626810262862366[[#This Row],[Uso diário]]*5</f>
        <v>94</v>
      </c>
      <c r="Q18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8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8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89" s="25">
        <v>1</v>
      </c>
    </row>
    <row r="190" spans="1:20" s="26" customFormat="1" x14ac:dyDescent="0.25">
      <c r="A190" s="16">
        <v>232705</v>
      </c>
      <c r="B190" s="30" t="s">
        <v>928</v>
      </c>
      <c r="C190" s="20" t="s">
        <v>637</v>
      </c>
      <c r="D190" s="20" t="s">
        <v>696</v>
      </c>
      <c r="E190" s="20" t="s">
        <v>1914</v>
      </c>
      <c r="F190" s="20" t="s">
        <v>1915</v>
      </c>
      <c r="G190" s="21">
        <v>18.8</v>
      </c>
      <c r="H190" s="16">
        <v>24</v>
      </c>
      <c r="I190" s="16"/>
      <c r="J19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190" s="22"/>
      <c r="L190" s="23"/>
      <c r="M190" s="23">
        <f>SUM(Tabela1746810121422303226816192527313336242101214161824262830384024810121416202226283032343624268101214246101224262442626282626810262862366[[#This Row],[Saldo no cartão]:[Recarga Pendente]])</f>
        <v>0</v>
      </c>
      <c r="N190" s="19">
        <f>Tabela1746810121422303226816192527313336242101214161824262830384024810121416202226283032343624268101214246101224262442626282626810262862366[[#This Row],[Uso diário]]*2</f>
        <v>37.6</v>
      </c>
      <c r="O190" s="19">
        <f>Tabela1746810121422303226816192527313336242101214161824262830384024810121416202226283032343624268101214246101224262442626282626810262862366[[#This Row],[Total Acumulado]]-P190</f>
        <v>-94</v>
      </c>
      <c r="P190" s="48">
        <f>Tabela1746810121422303226816192527313336242101214161824262830384024810121416202226283032343624268101214246101224262442626282626810262862366[[#This Row],[Uso diário]]*5</f>
        <v>94</v>
      </c>
      <c r="Q19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19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0" s="25">
        <v>1</v>
      </c>
    </row>
    <row r="191" spans="1:20" s="26" customFormat="1" x14ac:dyDescent="0.25">
      <c r="A191" s="16">
        <v>232706</v>
      </c>
      <c r="B191" s="30" t="s">
        <v>929</v>
      </c>
      <c r="C191" s="20" t="s">
        <v>637</v>
      </c>
      <c r="D191" s="20" t="s">
        <v>696</v>
      </c>
      <c r="E191" s="20" t="s">
        <v>1916</v>
      </c>
      <c r="F191" s="20" t="s">
        <v>1917</v>
      </c>
      <c r="G191" s="21">
        <v>18.8</v>
      </c>
      <c r="H191" s="16">
        <v>24</v>
      </c>
      <c r="I191" s="16">
        <v>6</v>
      </c>
      <c r="J19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338.40000000000003</v>
      </c>
      <c r="K191" s="22"/>
      <c r="L191" s="23"/>
      <c r="M191" s="23">
        <f>SUM(Tabela1746810121422303226816192527313336242101214161824262830384024810121416202226283032343624268101214246101224262442626282626810262862366[[#This Row],[Saldo no cartão]:[Recarga Pendente]])</f>
        <v>0</v>
      </c>
      <c r="N191" s="19">
        <f>Tabela1746810121422303226816192527313336242101214161824262830384024810121416202226283032343624268101214246101224262442626282626810262862366[[#This Row],[Uso diário]]*2</f>
        <v>37.6</v>
      </c>
      <c r="O191" s="19">
        <f>Tabela1746810121422303226816192527313336242101214161824262830384024810121416202226283032343624268101214246101224262442626282626810262862366[[#This Row],[Total Acumulado]]-P191</f>
        <v>-94</v>
      </c>
      <c r="P191" s="48">
        <f>Tabela1746810121422303226816192527313336242101214161824262830384024810121416202226283032343624268101214246101224262442626282626810262862366[[#This Row],[Uso diário]]*5</f>
        <v>94</v>
      </c>
      <c r="Q19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338.40000000000003</v>
      </c>
      <c r="S19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1" s="25">
        <v>1</v>
      </c>
    </row>
    <row r="192" spans="1:20" s="26" customFormat="1" x14ac:dyDescent="0.25">
      <c r="A192" s="16">
        <v>232707</v>
      </c>
      <c r="B192" s="30" t="s">
        <v>930</v>
      </c>
      <c r="C192" s="20" t="s">
        <v>637</v>
      </c>
      <c r="D192" s="20" t="s">
        <v>696</v>
      </c>
      <c r="E192" s="20" t="s">
        <v>1918</v>
      </c>
      <c r="F192" s="20" t="s">
        <v>1919</v>
      </c>
      <c r="G192" s="21">
        <v>18.8</v>
      </c>
      <c r="H192" s="16">
        <v>24</v>
      </c>
      <c r="I192" s="16">
        <v>1</v>
      </c>
      <c r="J19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92" s="22"/>
      <c r="L192" s="23">
        <v>18.8</v>
      </c>
      <c r="M192" s="23">
        <f>SUM(Tabela1746810121422303226816192527313336242101214161824262830384024810121416202226283032343624268101214246101224262442626282626810262862366[[#This Row],[Saldo no cartão]:[Recarga Pendente]])</f>
        <v>18.8</v>
      </c>
      <c r="N192" s="19">
        <f>Tabela1746810121422303226816192527313336242101214161824262830384024810121416202226283032343624268101214246101224262442626282626810262862366[[#This Row],[Uso diário]]*2</f>
        <v>37.6</v>
      </c>
      <c r="O192" s="19">
        <f>Tabela1746810121422303226816192527313336242101214161824262830384024810121416202226283032343624268101214246101224262442626282626810262862366[[#This Row],[Total Acumulado]]-P192</f>
        <v>-75.2</v>
      </c>
      <c r="P192" s="48">
        <f>Tabela1746810121422303226816192527313336242101214161824262830384024810121416202226283032343624268101214246101224262442626282626810262862366[[#This Row],[Uso diário]]*5</f>
        <v>94</v>
      </c>
      <c r="Q19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9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2" s="25">
        <v>1</v>
      </c>
    </row>
    <row r="193" spans="1:20" s="26" customFormat="1" x14ac:dyDescent="0.25">
      <c r="A193" s="16">
        <v>232708</v>
      </c>
      <c r="B193" s="30" t="s">
        <v>1404</v>
      </c>
      <c r="C193" s="20" t="s">
        <v>637</v>
      </c>
      <c r="D193" s="20" t="s">
        <v>696</v>
      </c>
      <c r="E193" s="20" t="s">
        <v>1920</v>
      </c>
      <c r="F193" s="20" t="s">
        <v>1921</v>
      </c>
      <c r="G193" s="21">
        <v>18.8</v>
      </c>
      <c r="H193" s="16">
        <v>27</v>
      </c>
      <c r="I193" s="16">
        <v>5</v>
      </c>
      <c r="J19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193" s="22"/>
      <c r="L193" s="23"/>
      <c r="M193" s="23">
        <f>SUM(Tabela1746810121422303226816192527313336242101214161824262830384024810121416202226283032343624268101214246101224262442626282626810262862366[[#This Row],[Saldo no cartão]:[Recarga Pendente]])</f>
        <v>0</v>
      </c>
      <c r="N193" s="19">
        <f>Tabela1746810121422303226816192527313336242101214161824262830384024810121416202226283032343624268101214246101224262442626282626810262862366[[#This Row],[Uso diário]]*2</f>
        <v>37.6</v>
      </c>
      <c r="O193" s="19">
        <f>Tabela1746810121422303226816192527313336242101214161824262830384024810121416202226283032343624268101214246101224262442626282626810262862366[[#This Row],[Total Acumulado]]-P193</f>
        <v>-94</v>
      </c>
      <c r="P193" s="48">
        <f>Tabela1746810121422303226816192527313336242101214161824262830384024810121416202226283032343624268101214246101224262442626282626810262862366[[#This Row],[Uso diário]]*5</f>
        <v>94</v>
      </c>
      <c r="Q19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19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3" s="25">
        <v>1</v>
      </c>
    </row>
    <row r="194" spans="1:20" s="26" customFormat="1" x14ac:dyDescent="0.25">
      <c r="A194" s="16">
        <v>232948</v>
      </c>
      <c r="B194" s="30" t="s">
        <v>960</v>
      </c>
      <c r="C194" s="20" t="s">
        <v>637</v>
      </c>
      <c r="D194" s="20" t="s">
        <v>696</v>
      </c>
      <c r="E194" s="20" t="s">
        <v>1922</v>
      </c>
      <c r="F194" s="20" t="s">
        <v>1923</v>
      </c>
      <c r="G194" s="21">
        <v>18.8</v>
      </c>
      <c r="H194" s="16">
        <v>24</v>
      </c>
      <c r="I194" s="16">
        <v>1</v>
      </c>
      <c r="J19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94" s="22"/>
      <c r="L194" s="23"/>
      <c r="M194" s="23">
        <f>SUM(Tabela1746810121422303226816192527313336242101214161824262830384024810121416202226283032343624268101214246101224262442626282626810262862366[[#This Row],[Saldo no cartão]:[Recarga Pendente]])</f>
        <v>0</v>
      </c>
      <c r="N194" s="19">
        <f>Tabela1746810121422303226816192527313336242101214161824262830384024810121416202226283032343624268101214246101224262442626282626810262862366[[#This Row],[Uso diário]]*2</f>
        <v>37.6</v>
      </c>
      <c r="O194" s="19">
        <f>Tabela1746810121422303226816192527313336242101214161824262830384024810121416202226283032343624268101214246101224262442626282626810262862366[[#This Row],[Total Acumulado]]-P194</f>
        <v>-94</v>
      </c>
      <c r="P194" s="48">
        <f>Tabela1746810121422303226816192527313336242101214161824262830384024810121416202226283032343624268101214246101224262442626282626810262862366[[#This Row],[Uso diário]]*5</f>
        <v>94</v>
      </c>
      <c r="Q19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9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4" s="25">
        <v>1</v>
      </c>
    </row>
    <row r="195" spans="1:20" s="26" customFormat="1" x14ac:dyDescent="0.25">
      <c r="A195" s="16">
        <v>232972</v>
      </c>
      <c r="B195" s="30" t="s">
        <v>961</v>
      </c>
      <c r="C195" s="20" t="s">
        <v>637</v>
      </c>
      <c r="D195" s="20" t="s">
        <v>696</v>
      </c>
      <c r="E195" s="20" t="s">
        <v>1924</v>
      </c>
      <c r="F195" s="20" t="s">
        <v>1925</v>
      </c>
      <c r="G195" s="21">
        <v>18.8</v>
      </c>
      <c r="H195" s="16">
        <v>24</v>
      </c>
      <c r="I195" s="16">
        <v>1</v>
      </c>
      <c r="J19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195" s="22"/>
      <c r="L195" s="23"/>
      <c r="M195" s="23">
        <f>SUM(Tabela1746810121422303226816192527313336242101214161824262830384024810121416202226283032343624268101214246101224262442626282626810262862366[[#This Row],[Saldo no cartão]:[Recarga Pendente]])</f>
        <v>0</v>
      </c>
      <c r="N195" s="19">
        <f>Tabela1746810121422303226816192527313336242101214161824262830384024810121416202226283032343624268101214246101224262442626282626810262862366[[#This Row],[Uso diário]]*2</f>
        <v>37.6</v>
      </c>
      <c r="O195" s="19">
        <f>Tabela1746810121422303226816192527313336242101214161824262830384024810121416202226283032343624268101214246101224262442626282626810262862366[[#This Row],[Total Acumulado]]-P195</f>
        <v>-94</v>
      </c>
      <c r="P195" s="48">
        <f>Tabela1746810121422303226816192527313336242101214161824262830384024810121416202226283032343624268101214246101224262442626282626810262862366[[#This Row],[Uso diário]]*5</f>
        <v>94</v>
      </c>
      <c r="Q19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19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5" s="25">
        <v>1</v>
      </c>
    </row>
    <row r="196" spans="1:20" s="26" customFormat="1" x14ac:dyDescent="0.25">
      <c r="A196" s="16">
        <v>233310</v>
      </c>
      <c r="B196" s="30" t="s">
        <v>1033</v>
      </c>
      <c r="C196" s="20" t="s">
        <v>637</v>
      </c>
      <c r="D196" s="20" t="s">
        <v>696</v>
      </c>
      <c r="E196" s="20" t="s">
        <v>1926</v>
      </c>
      <c r="F196" s="20" t="s">
        <v>1927</v>
      </c>
      <c r="G196" s="21">
        <v>18.8</v>
      </c>
      <c r="H196" s="16">
        <v>27</v>
      </c>
      <c r="I196" s="16">
        <v>14</v>
      </c>
      <c r="J19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244.4</v>
      </c>
      <c r="K196" s="22"/>
      <c r="L196" s="23"/>
      <c r="M196" s="23">
        <f>SUM(Tabela1746810121422303226816192527313336242101214161824262830384024810121416202226283032343624268101214246101224262442626282626810262862366[[#This Row],[Saldo no cartão]:[Recarga Pendente]])</f>
        <v>0</v>
      </c>
      <c r="N196" s="19">
        <f>Tabela1746810121422303226816192527313336242101214161824262830384024810121416202226283032343624268101214246101224262442626282626810262862366[[#This Row],[Uso diário]]*2</f>
        <v>37.6</v>
      </c>
      <c r="O196" s="19">
        <f>Tabela1746810121422303226816192527313336242101214161824262830384024810121416202226283032343624268101214246101224262442626282626810262862366[[#This Row],[Total Acumulado]]-P196</f>
        <v>-94</v>
      </c>
      <c r="P196" s="48">
        <f>Tabela1746810121422303226816192527313336242101214161824262830384024810121416202226283032343624268101214246101224262442626282626810262862366[[#This Row],[Uso diário]]*5</f>
        <v>94</v>
      </c>
      <c r="Q19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244.4</v>
      </c>
      <c r="S19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6" s="25">
        <v>1</v>
      </c>
    </row>
    <row r="197" spans="1:20" s="26" customFormat="1" x14ac:dyDescent="0.25">
      <c r="A197" s="16">
        <v>233311</v>
      </c>
      <c r="B197" s="30" t="s">
        <v>1034</v>
      </c>
      <c r="C197" s="20" t="s">
        <v>637</v>
      </c>
      <c r="D197" s="20" t="s">
        <v>696</v>
      </c>
      <c r="E197" s="20" t="s">
        <v>1928</v>
      </c>
      <c r="F197" s="20" t="s">
        <v>1929</v>
      </c>
      <c r="G197" s="21">
        <v>18.8</v>
      </c>
      <c r="H197" s="16">
        <v>24</v>
      </c>
      <c r="I197" s="16">
        <v>14</v>
      </c>
      <c r="J19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188</v>
      </c>
      <c r="K197" s="22"/>
      <c r="L197" s="23"/>
      <c r="M197" s="23">
        <f>SUM(Tabela1746810121422303226816192527313336242101214161824262830384024810121416202226283032343624268101214246101224262442626282626810262862366[[#This Row],[Saldo no cartão]:[Recarga Pendente]])</f>
        <v>0</v>
      </c>
      <c r="N197" s="19">
        <f>Tabela1746810121422303226816192527313336242101214161824262830384024810121416202226283032343624268101214246101224262442626282626810262862366[[#This Row],[Uso diário]]*2</f>
        <v>37.6</v>
      </c>
      <c r="O197" s="19">
        <f>Tabela1746810121422303226816192527313336242101214161824262830384024810121416202226283032343624268101214246101224262442626282626810262862366[[#This Row],[Total Acumulado]]-P197</f>
        <v>-94</v>
      </c>
      <c r="P197" s="48">
        <f>Tabela1746810121422303226816192527313336242101214161824262830384024810121416202226283032343624268101214246101224262442626282626810262862366[[#This Row],[Uso diário]]*5</f>
        <v>94</v>
      </c>
      <c r="Q19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188</v>
      </c>
      <c r="S19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7" s="25">
        <v>1</v>
      </c>
    </row>
    <row r="198" spans="1:20" s="26" customFormat="1" x14ac:dyDescent="0.25">
      <c r="A198" s="16">
        <v>233312</v>
      </c>
      <c r="B198" s="30" t="s">
        <v>1035</v>
      </c>
      <c r="C198" s="20" t="s">
        <v>637</v>
      </c>
      <c r="D198" s="20" t="s">
        <v>696</v>
      </c>
      <c r="E198" s="20" t="s">
        <v>1930</v>
      </c>
      <c r="F198" s="20" t="s">
        <v>1931</v>
      </c>
      <c r="G198" s="21">
        <v>13.4</v>
      </c>
      <c r="H198" s="16">
        <v>24</v>
      </c>
      <c r="I198" s="16">
        <v>1</v>
      </c>
      <c r="J19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308.2</v>
      </c>
      <c r="K198" s="22"/>
      <c r="L198" s="23">
        <v>13.4</v>
      </c>
      <c r="M198" s="23">
        <f>SUM(Tabela1746810121422303226816192527313336242101214161824262830384024810121416202226283032343624268101214246101224262442626282626810262862366[[#This Row],[Saldo no cartão]:[Recarga Pendente]])</f>
        <v>13.4</v>
      </c>
      <c r="N198" s="19">
        <f>Tabela1746810121422303226816192527313336242101214161824262830384024810121416202226283032343624268101214246101224262442626282626810262862366[[#This Row],[Uso diário]]*2</f>
        <v>26.8</v>
      </c>
      <c r="O198" s="19">
        <f>Tabela1746810121422303226816192527313336242101214161824262830384024810121416202226283032343624268101214246101224262442626282626810262862366[[#This Row],[Total Acumulado]]-P198</f>
        <v>-53.6</v>
      </c>
      <c r="P198" s="48">
        <f>Tabela1746810121422303226816192527313336242101214161824262830384024810121416202226283032343624268101214246101224262442626282626810262862366[[#This Row],[Uso diário]]*5</f>
        <v>67</v>
      </c>
      <c r="Q19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308.2</v>
      </c>
      <c r="S19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8" s="25">
        <v>1</v>
      </c>
    </row>
    <row r="199" spans="1:20" s="26" customFormat="1" x14ac:dyDescent="0.25">
      <c r="A199" s="16">
        <v>233484</v>
      </c>
      <c r="B199" s="30" t="s">
        <v>1036</v>
      </c>
      <c r="C199" s="20" t="s">
        <v>637</v>
      </c>
      <c r="D199" s="20" t="s">
        <v>696</v>
      </c>
      <c r="E199" s="20" t="s">
        <v>1932</v>
      </c>
      <c r="F199" s="20" t="s">
        <v>1933</v>
      </c>
      <c r="G199" s="21">
        <v>18.8</v>
      </c>
      <c r="H199" s="16">
        <v>24</v>
      </c>
      <c r="I199" s="16">
        <v>4</v>
      </c>
      <c r="J19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199" s="22"/>
      <c r="L199" s="23"/>
      <c r="M199" s="23">
        <f>SUM(Tabela1746810121422303226816192527313336242101214161824262830384024810121416202226283032343624268101214246101224262442626282626810262862366[[#This Row],[Saldo no cartão]:[Recarga Pendente]])</f>
        <v>0</v>
      </c>
      <c r="N199" s="19">
        <f>Tabela1746810121422303226816192527313336242101214161824262830384024810121416202226283032343624268101214246101224262442626282626810262862366[[#This Row],[Uso diário]]*2</f>
        <v>37.6</v>
      </c>
      <c r="O199" s="19">
        <f>Tabela1746810121422303226816192527313336242101214161824262830384024810121416202226283032343624268101214246101224262442626282626810262862366[[#This Row],[Total Acumulado]]-P199</f>
        <v>-94</v>
      </c>
      <c r="P199" s="48">
        <f>Tabela1746810121422303226816192527313336242101214161824262830384024810121416202226283032343624268101214246101224262442626282626810262862366[[#This Row],[Uso diário]]*5</f>
        <v>94</v>
      </c>
      <c r="Q19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19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19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199" s="25">
        <v>1</v>
      </c>
    </row>
    <row r="200" spans="1:20" s="26" customFormat="1" x14ac:dyDescent="0.25">
      <c r="A200" s="16">
        <v>233545</v>
      </c>
      <c r="B200" s="30" t="s">
        <v>1037</v>
      </c>
      <c r="C200" s="20" t="s">
        <v>637</v>
      </c>
      <c r="D200" s="20" t="s">
        <v>696</v>
      </c>
      <c r="E200" s="20" t="s">
        <v>1934</v>
      </c>
      <c r="F200" s="20" t="s">
        <v>1935</v>
      </c>
      <c r="G200" s="21">
        <v>18.8</v>
      </c>
      <c r="H200" s="16">
        <v>27</v>
      </c>
      <c r="I200" s="16"/>
      <c r="J20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507.6</v>
      </c>
      <c r="K200" s="22"/>
      <c r="L200" s="23"/>
      <c r="M200" s="23">
        <f>SUM(Tabela1746810121422303226816192527313336242101214161824262830384024810121416202226283032343624268101214246101224262442626282626810262862366[[#This Row],[Saldo no cartão]:[Recarga Pendente]])</f>
        <v>0</v>
      </c>
      <c r="N200" s="19">
        <f>Tabela1746810121422303226816192527313336242101214161824262830384024810121416202226283032343624268101214246101224262442626282626810262862366[[#This Row],[Uso diário]]*2</f>
        <v>37.6</v>
      </c>
      <c r="O200" s="19">
        <f>Tabela1746810121422303226816192527313336242101214161824262830384024810121416202226283032343624268101214246101224262442626282626810262862366[[#This Row],[Total Acumulado]]-P200</f>
        <v>-94</v>
      </c>
      <c r="P200" s="48">
        <f>Tabela1746810121422303226816192527313336242101214161824262830384024810121416202226283032343624268101214246101224262442626282626810262862366[[#This Row],[Uso diário]]*5</f>
        <v>94</v>
      </c>
      <c r="Q20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507.6</v>
      </c>
      <c r="S20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0" s="25">
        <v>1</v>
      </c>
    </row>
    <row r="201" spans="1:20" s="26" customFormat="1" x14ac:dyDescent="0.25">
      <c r="A201" s="16">
        <v>233881</v>
      </c>
      <c r="B201" s="30" t="s">
        <v>1038</v>
      </c>
      <c r="C201" s="20" t="s">
        <v>637</v>
      </c>
      <c r="D201" s="20" t="s">
        <v>696</v>
      </c>
      <c r="E201" s="20" t="s">
        <v>1936</v>
      </c>
      <c r="F201" s="20" t="s">
        <v>1937</v>
      </c>
      <c r="G201" s="21">
        <v>18.8</v>
      </c>
      <c r="H201" s="16">
        <v>27</v>
      </c>
      <c r="I201" s="16">
        <v>8</v>
      </c>
      <c r="J20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201" s="22"/>
      <c r="L201" s="23"/>
      <c r="M201" s="23">
        <f>SUM(Tabela1746810121422303226816192527313336242101214161824262830384024810121416202226283032343624268101214246101224262442626282626810262862366[[#This Row],[Saldo no cartão]:[Recarga Pendente]])</f>
        <v>0</v>
      </c>
      <c r="N201" s="19">
        <f>Tabela1746810121422303226816192527313336242101214161824262830384024810121416202226283032343624268101214246101224262442626282626810262862366[[#This Row],[Uso diário]]*2</f>
        <v>37.6</v>
      </c>
      <c r="O201" s="19">
        <f>Tabela1746810121422303226816192527313336242101214161824262830384024810121416202226283032343624268101214246101224262442626282626810262862366[[#This Row],[Total Acumulado]]-P201</f>
        <v>-94</v>
      </c>
      <c r="P201" s="48">
        <f>Tabela1746810121422303226816192527313336242101214161824262830384024810121416202226283032343624268101214246101224262442626282626810262862366[[#This Row],[Uso diário]]*5</f>
        <v>94</v>
      </c>
      <c r="Q20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357.2</v>
      </c>
      <c r="S20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1" s="25">
        <v>1</v>
      </c>
    </row>
    <row r="202" spans="1:20" s="26" customFormat="1" x14ac:dyDescent="0.25">
      <c r="A202" s="16">
        <v>234204</v>
      </c>
      <c r="B202" s="30" t="s">
        <v>1272</v>
      </c>
      <c r="C202" s="20" t="s">
        <v>637</v>
      </c>
      <c r="D202" s="20" t="s">
        <v>696</v>
      </c>
      <c r="E202" s="20" t="s">
        <v>1938</v>
      </c>
      <c r="F202" s="20" t="s">
        <v>1939</v>
      </c>
      <c r="G202" s="21">
        <v>13.7</v>
      </c>
      <c r="H202" s="16">
        <v>24</v>
      </c>
      <c r="I202" s="16"/>
      <c r="J20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328.79999999999995</v>
      </c>
      <c r="K202" s="22"/>
      <c r="L202" s="23"/>
      <c r="M202" s="23">
        <f>SUM(Tabela1746810121422303226816192527313336242101214161824262830384024810121416202226283032343624268101214246101224262442626282626810262862366[[#This Row],[Saldo no cartão]:[Recarga Pendente]])</f>
        <v>0</v>
      </c>
      <c r="N202" s="19">
        <f>Tabela1746810121422303226816192527313336242101214161824262830384024810121416202226283032343624268101214246101224262442626282626810262862366[[#This Row],[Uso diário]]*2</f>
        <v>27.4</v>
      </c>
      <c r="O202" s="19">
        <f>Tabela1746810121422303226816192527313336242101214161824262830384024810121416202226283032343624268101214246101224262442626282626810262862366[[#This Row],[Total Acumulado]]-P202</f>
        <v>-68.5</v>
      </c>
      <c r="P202" s="48">
        <f>Tabela1746810121422303226816192527313336242101214161824262830384024810121416202226283032343624268101214246101224262442626282626810262862366[[#This Row],[Uso diário]]*5</f>
        <v>68.5</v>
      </c>
      <c r="Q20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328.79999999999995</v>
      </c>
      <c r="S20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2" s="25">
        <v>1</v>
      </c>
    </row>
    <row r="203" spans="1:20" s="26" customFormat="1" x14ac:dyDescent="0.25">
      <c r="A203" s="16">
        <v>234393</v>
      </c>
      <c r="B203" s="30" t="s">
        <v>1274</v>
      </c>
      <c r="C203" s="20" t="s">
        <v>637</v>
      </c>
      <c r="D203" s="20" t="s">
        <v>696</v>
      </c>
      <c r="E203" s="20" t="s">
        <v>1940</v>
      </c>
      <c r="F203" s="20" t="s">
        <v>1941</v>
      </c>
      <c r="G203" s="21">
        <v>18.8</v>
      </c>
      <c r="H203" s="16">
        <v>24</v>
      </c>
      <c r="I203" s="16"/>
      <c r="J20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03" s="22"/>
      <c r="L203" s="23"/>
      <c r="M203" s="23">
        <f>SUM(Tabela1746810121422303226816192527313336242101214161824262830384024810121416202226283032343624268101214246101224262442626282626810262862366[[#This Row],[Saldo no cartão]:[Recarga Pendente]])</f>
        <v>0</v>
      </c>
      <c r="N203" s="19">
        <f>Tabela1746810121422303226816192527313336242101214161824262830384024810121416202226283032343624268101214246101224262442626282626810262862366[[#This Row],[Uso diário]]*2</f>
        <v>37.6</v>
      </c>
      <c r="O203" s="19">
        <f>Tabela1746810121422303226816192527313336242101214161824262830384024810121416202226283032343624268101214246101224262442626282626810262862366[[#This Row],[Total Acumulado]]-P203</f>
        <v>-94</v>
      </c>
      <c r="P203" s="48">
        <f>Tabela1746810121422303226816192527313336242101214161824262830384024810121416202226283032343624268101214246101224262442626282626810262862366[[#This Row],[Uso diário]]*5</f>
        <v>94</v>
      </c>
      <c r="Q20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0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3" s="25">
        <v>1</v>
      </c>
    </row>
    <row r="204" spans="1:20" s="26" customFormat="1" x14ac:dyDescent="0.25">
      <c r="A204" s="16">
        <v>234413</v>
      </c>
      <c r="B204" s="30" t="s">
        <v>1275</v>
      </c>
      <c r="C204" s="20" t="s">
        <v>637</v>
      </c>
      <c r="D204" s="20" t="s">
        <v>696</v>
      </c>
      <c r="E204" s="20" t="s">
        <v>1942</v>
      </c>
      <c r="F204" s="20" t="s">
        <v>1943</v>
      </c>
      <c r="G204" s="21">
        <v>13.4</v>
      </c>
      <c r="H204" s="16">
        <v>24</v>
      </c>
      <c r="I204" s="16">
        <v>2</v>
      </c>
      <c r="J20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04" s="22"/>
      <c r="L204" s="23"/>
      <c r="M204" s="23">
        <f>SUM(Tabela1746810121422303226816192527313336242101214161824262830384024810121416202226283032343624268101214246101224262442626282626810262862366[[#This Row],[Saldo no cartão]:[Recarga Pendente]])</f>
        <v>0</v>
      </c>
      <c r="N204" s="19">
        <f>Tabela1746810121422303226816192527313336242101214161824262830384024810121416202226283032343624268101214246101224262442626282626810262862366[[#This Row],[Uso diário]]*2</f>
        <v>26.8</v>
      </c>
      <c r="O204" s="19">
        <f>Tabela1746810121422303226816192527313336242101214161824262830384024810121416202226283032343624268101214246101224262442626282626810262862366[[#This Row],[Total Acumulado]]-P204</f>
        <v>-67</v>
      </c>
      <c r="P204" s="48">
        <f>Tabela1746810121422303226816192527313336242101214161824262830384024810121416202226283032343624268101214246101224262442626282626810262862366[[#This Row],[Uso diário]]*5</f>
        <v>67</v>
      </c>
      <c r="Q20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0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4" s="25">
        <v>1</v>
      </c>
    </row>
    <row r="205" spans="1:20" s="26" customFormat="1" x14ac:dyDescent="0.25">
      <c r="A205" s="16">
        <v>234541</v>
      </c>
      <c r="B205" s="30" t="s">
        <v>1305</v>
      </c>
      <c r="C205" s="20" t="s">
        <v>637</v>
      </c>
      <c r="D205" s="20" t="s">
        <v>696</v>
      </c>
      <c r="E205" s="20" t="s">
        <v>1944</v>
      </c>
      <c r="F205" s="20" t="s">
        <v>1945</v>
      </c>
      <c r="G205" s="21">
        <v>13.4</v>
      </c>
      <c r="H205" s="16">
        <v>24</v>
      </c>
      <c r="I205" s="16"/>
      <c r="J20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321.60000000000002</v>
      </c>
      <c r="K205" s="22"/>
      <c r="L205" s="23"/>
      <c r="M205" s="23">
        <f>SUM(Tabela1746810121422303226816192527313336242101214161824262830384024810121416202226283032343624268101214246101224262442626282626810262862366[[#This Row],[Saldo no cartão]:[Recarga Pendente]])</f>
        <v>0</v>
      </c>
      <c r="N205" s="19">
        <f>Tabela1746810121422303226816192527313336242101214161824262830384024810121416202226283032343624268101214246101224262442626282626810262862366[[#This Row],[Uso diário]]*2</f>
        <v>26.8</v>
      </c>
      <c r="O205" s="19">
        <f>Tabela1746810121422303226816192527313336242101214161824262830384024810121416202226283032343624268101214246101224262442626282626810262862366[[#This Row],[Total Acumulado]]-P205</f>
        <v>-67</v>
      </c>
      <c r="P205" s="48">
        <f>Tabela1746810121422303226816192527313336242101214161824262830384024810121416202226283032343624268101214246101224262442626282626810262862366[[#This Row],[Uso diário]]*5</f>
        <v>67</v>
      </c>
      <c r="Q20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321.60000000000002</v>
      </c>
      <c r="S20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5" s="25">
        <v>1</v>
      </c>
    </row>
    <row r="206" spans="1:20" s="26" customFormat="1" x14ac:dyDescent="0.25">
      <c r="A206" s="16">
        <v>234693</v>
      </c>
      <c r="B206" s="30" t="s">
        <v>1341</v>
      </c>
      <c r="C206" s="20" t="s">
        <v>637</v>
      </c>
      <c r="D206" s="20" t="s">
        <v>696</v>
      </c>
      <c r="E206" s="20" t="s">
        <v>1946</v>
      </c>
      <c r="F206" s="20" t="s">
        <v>1947</v>
      </c>
      <c r="G206" s="21">
        <v>13.4</v>
      </c>
      <c r="H206" s="16">
        <v>24</v>
      </c>
      <c r="I206" s="16">
        <v>2</v>
      </c>
      <c r="J20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06" s="22"/>
      <c r="L206" s="23">
        <v>11.9</v>
      </c>
      <c r="M206" s="23">
        <f>SUM(Tabela1746810121422303226816192527313336242101214161824262830384024810121416202226283032343624268101214246101224262442626282626810262862366[[#This Row],[Saldo no cartão]:[Recarga Pendente]])</f>
        <v>11.9</v>
      </c>
      <c r="N206" s="19">
        <f>Tabela1746810121422303226816192527313336242101214161824262830384024810121416202226283032343624268101214246101224262442626282626810262862366[[#This Row],[Uso diário]]*2</f>
        <v>26.8</v>
      </c>
      <c r="O206" s="19">
        <f>Tabela1746810121422303226816192527313336242101214161824262830384024810121416202226283032343624268101214246101224262442626282626810262862366[[#This Row],[Total Acumulado]]-P206</f>
        <v>-55.1</v>
      </c>
      <c r="P206" s="48">
        <f>Tabela1746810121422303226816192527313336242101214161824262830384024810121416202226283032343624268101214246101224262442626282626810262862366[[#This Row],[Uso diário]]*5</f>
        <v>67</v>
      </c>
      <c r="Q20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0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6" s="25">
        <v>1</v>
      </c>
    </row>
    <row r="207" spans="1:20" s="26" customFormat="1" x14ac:dyDescent="0.25">
      <c r="A207" s="16">
        <v>234739</v>
      </c>
      <c r="B207" s="30" t="s">
        <v>1342</v>
      </c>
      <c r="C207" s="20" t="s">
        <v>637</v>
      </c>
      <c r="D207" s="20" t="s">
        <v>696</v>
      </c>
      <c r="E207" s="20" t="s">
        <v>1948</v>
      </c>
      <c r="F207" s="20" t="s">
        <v>4182</v>
      </c>
      <c r="G207" s="21">
        <v>15.4</v>
      </c>
      <c r="H207" s="16">
        <v>24</v>
      </c>
      <c r="I207" s="16"/>
      <c r="J20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369.6</v>
      </c>
      <c r="K207" s="22"/>
      <c r="L207" s="23"/>
      <c r="M207" s="23">
        <f>SUM(Tabela1746810121422303226816192527313336242101214161824262830384024810121416202226283032343624268101214246101224262442626282626810262862366[[#This Row],[Saldo no cartão]:[Recarga Pendente]])</f>
        <v>0</v>
      </c>
      <c r="N207" s="19">
        <f>Tabela1746810121422303226816192527313336242101214161824262830384024810121416202226283032343624268101214246101224262442626282626810262862366[[#This Row],[Uso diário]]*2</f>
        <v>30.8</v>
      </c>
      <c r="O207" s="19">
        <f>Tabela1746810121422303226816192527313336242101214161824262830384024810121416202226283032343624268101214246101224262442626282626810262862366[[#This Row],[Total Acumulado]]-P207</f>
        <v>-77</v>
      </c>
      <c r="P207" s="48">
        <f>Tabela1746810121422303226816192527313336242101214161824262830384024810121416202226283032343624268101214246101224262442626282626810262862366[[#This Row],[Uso diário]]*5</f>
        <v>77</v>
      </c>
      <c r="Q20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369.6</v>
      </c>
      <c r="S20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7" s="25">
        <v>1</v>
      </c>
    </row>
    <row r="208" spans="1:20" s="26" customFormat="1" x14ac:dyDescent="0.25">
      <c r="A208" s="16">
        <v>234801</v>
      </c>
      <c r="B208" s="30" t="s">
        <v>1344</v>
      </c>
      <c r="C208" s="20" t="s">
        <v>637</v>
      </c>
      <c r="D208" s="20" t="s">
        <v>696</v>
      </c>
      <c r="E208" s="20" t="s">
        <v>1951</v>
      </c>
      <c r="F208" s="20" t="s">
        <v>1952</v>
      </c>
      <c r="G208" s="21">
        <v>18.8</v>
      </c>
      <c r="H208" s="16">
        <v>24</v>
      </c>
      <c r="I208" s="16">
        <v>1</v>
      </c>
      <c r="J20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208" s="22"/>
      <c r="L208" s="23"/>
      <c r="M208" s="23">
        <f>SUM(Tabela1746810121422303226816192527313336242101214161824262830384024810121416202226283032343624268101214246101224262442626282626810262862366[[#This Row],[Saldo no cartão]:[Recarga Pendente]])</f>
        <v>0</v>
      </c>
      <c r="N208" s="19">
        <f>Tabela1746810121422303226816192527313336242101214161824262830384024810121416202226283032343624268101214246101224262442626282626810262862366[[#This Row],[Uso diário]]*2</f>
        <v>37.6</v>
      </c>
      <c r="O208" s="19">
        <f>Tabela1746810121422303226816192527313336242101214161824262830384024810121416202226283032343624268101214246101224262442626282626810262862366[[#This Row],[Total Acumulado]]-P208</f>
        <v>-94</v>
      </c>
      <c r="P208" s="48">
        <f>Tabela1746810121422303226816192527313336242101214161824262830384024810121416202226283032343624268101214246101224262442626282626810262862366[[#This Row],[Uso diário]]*5</f>
        <v>94</v>
      </c>
      <c r="Q20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20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8" s="25">
        <v>1</v>
      </c>
    </row>
    <row r="209" spans="1:20" s="26" customFormat="1" x14ac:dyDescent="0.25">
      <c r="A209" s="16">
        <v>234831</v>
      </c>
      <c r="B209" s="30" t="s">
        <v>1405</v>
      </c>
      <c r="C209" s="20" t="s">
        <v>637</v>
      </c>
      <c r="D209" s="20" t="s">
        <v>696</v>
      </c>
      <c r="E209" s="20" t="s">
        <v>1953</v>
      </c>
      <c r="F209" s="20" t="s">
        <v>1954</v>
      </c>
      <c r="G209" s="21">
        <v>18.8</v>
      </c>
      <c r="H209" s="16">
        <v>27</v>
      </c>
      <c r="I209" s="16">
        <v>2</v>
      </c>
      <c r="J20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09" s="22"/>
      <c r="L209" s="23">
        <v>94</v>
      </c>
      <c r="M209" s="23">
        <f>SUM(Tabela1746810121422303226816192527313336242101214161824262830384024810121416202226283032343624268101214246101224262442626282626810262862366[[#This Row],[Saldo no cartão]:[Recarga Pendente]])</f>
        <v>94</v>
      </c>
      <c r="N209" s="19">
        <f>Tabela1746810121422303226816192527313336242101214161824262830384024810121416202226283032343624268101214246101224262442626282626810262862366[[#This Row],[Uso diário]]*2</f>
        <v>37.6</v>
      </c>
      <c r="O209" s="19">
        <f>Tabela1746810121422303226816192527313336242101214161824262830384024810121416202226283032343624268101214246101224262442626282626810262862366[[#This Row],[Total Acumulado]]-P209</f>
        <v>0</v>
      </c>
      <c r="P209" s="48">
        <f>Tabela1746810121422303226816192527313336242101214161824262830384024810121416202226283032343624268101214246101224262442626282626810262862366[[#This Row],[Uso diário]]*5</f>
        <v>94</v>
      </c>
      <c r="Q20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0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0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09" s="25">
        <v>1</v>
      </c>
    </row>
    <row r="210" spans="1:20" s="26" customFormat="1" x14ac:dyDescent="0.25">
      <c r="A210" s="16">
        <v>234833</v>
      </c>
      <c r="B210" s="30" t="s">
        <v>1406</v>
      </c>
      <c r="C210" s="20" t="s">
        <v>637</v>
      </c>
      <c r="D210" s="20" t="s">
        <v>696</v>
      </c>
      <c r="E210" s="20" t="s">
        <v>1955</v>
      </c>
      <c r="F210" s="20" t="s">
        <v>1956</v>
      </c>
      <c r="G210" s="21">
        <v>15.4</v>
      </c>
      <c r="H210" s="16">
        <v>24</v>
      </c>
      <c r="I210" s="16"/>
      <c r="J21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369.6</v>
      </c>
      <c r="K210" s="22"/>
      <c r="L210" s="23"/>
      <c r="M210" s="23">
        <f>SUM(Tabela1746810121422303226816192527313336242101214161824262830384024810121416202226283032343624268101214246101224262442626282626810262862366[[#This Row],[Saldo no cartão]:[Recarga Pendente]])</f>
        <v>0</v>
      </c>
      <c r="N210" s="19">
        <f>Tabela1746810121422303226816192527313336242101214161824262830384024810121416202226283032343624268101214246101224262442626282626810262862366[[#This Row],[Uso diário]]*2</f>
        <v>30.8</v>
      </c>
      <c r="O210" s="19">
        <f>Tabela1746810121422303226816192527313336242101214161824262830384024810121416202226283032343624268101214246101224262442626282626810262862366[[#This Row],[Total Acumulado]]-P210</f>
        <v>-77</v>
      </c>
      <c r="P210" s="48">
        <f>Tabela1746810121422303226816192527313336242101214161824262830384024810121416202226283032343624268101214246101224262442626282626810262862366[[#This Row],[Uso diário]]*5</f>
        <v>77</v>
      </c>
      <c r="Q21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369.6</v>
      </c>
      <c r="S21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0" s="25">
        <v>1</v>
      </c>
    </row>
    <row r="211" spans="1:20" s="26" customFormat="1" x14ac:dyDescent="0.25">
      <c r="A211" s="16">
        <v>234835</v>
      </c>
      <c r="B211" s="30" t="s">
        <v>1407</v>
      </c>
      <c r="C211" s="20" t="s">
        <v>637</v>
      </c>
      <c r="D211" s="20" t="s">
        <v>696</v>
      </c>
      <c r="E211" s="20" t="s">
        <v>1957</v>
      </c>
      <c r="F211" s="20" t="s">
        <v>1958</v>
      </c>
      <c r="G211" s="21">
        <v>18.8</v>
      </c>
      <c r="H211" s="16">
        <v>24</v>
      </c>
      <c r="I211" s="16"/>
      <c r="J21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11" s="22"/>
      <c r="L211" s="23">
        <v>94</v>
      </c>
      <c r="M211" s="23">
        <f>SUM(Tabela1746810121422303226816192527313336242101214161824262830384024810121416202226283032343624268101214246101224262442626282626810262862366[[#This Row],[Saldo no cartão]:[Recarga Pendente]])</f>
        <v>94</v>
      </c>
      <c r="N211" s="19">
        <f>Tabela1746810121422303226816192527313336242101214161824262830384024810121416202226283032343624268101214246101224262442626282626810262862366[[#This Row],[Uso diário]]*2</f>
        <v>37.6</v>
      </c>
      <c r="O211" s="19">
        <f>Tabela1746810121422303226816192527313336242101214161824262830384024810121416202226283032343624268101214246101224262442626282626810262862366[[#This Row],[Total Acumulado]]-P211</f>
        <v>0</v>
      </c>
      <c r="P211" s="48">
        <f>Tabela1746810121422303226816192527313336242101214161824262830384024810121416202226283032343624268101214246101224262442626282626810262862366[[#This Row],[Uso diário]]*5</f>
        <v>94</v>
      </c>
      <c r="Q21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1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1" s="25">
        <v>1</v>
      </c>
    </row>
    <row r="212" spans="1:20" s="26" customFormat="1" x14ac:dyDescent="0.25">
      <c r="A212" s="16">
        <v>234894</v>
      </c>
      <c r="B212" s="30" t="s">
        <v>1408</v>
      </c>
      <c r="C212" s="20" t="s">
        <v>637</v>
      </c>
      <c r="D212" s="20" t="s">
        <v>696</v>
      </c>
      <c r="E212" s="20" t="s">
        <v>1959</v>
      </c>
      <c r="F212" s="20" t="s">
        <v>1960</v>
      </c>
      <c r="G212" s="21">
        <v>18.8</v>
      </c>
      <c r="H212" s="16">
        <v>24</v>
      </c>
      <c r="I212" s="16"/>
      <c r="J21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12" s="22"/>
      <c r="L212" s="23"/>
      <c r="M212" s="23">
        <f>SUM(Tabela1746810121422303226816192527313336242101214161824262830384024810121416202226283032343624268101214246101224262442626282626810262862366[[#This Row],[Saldo no cartão]:[Recarga Pendente]])</f>
        <v>0</v>
      </c>
      <c r="N212" s="19">
        <f>Tabela1746810121422303226816192527313336242101214161824262830384024810121416202226283032343624268101214246101224262442626282626810262862366[[#This Row],[Uso diário]]*2</f>
        <v>37.6</v>
      </c>
      <c r="O212" s="19">
        <f>Tabela1746810121422303226816192527313336242101214161824262830384024810121416202226283032343624268101214246101224262442626282626810262862366[[#This Row],[Total Acumulado]]-P212</f>
        <v>-94</v>
      </c>
      <c r="P212" s="48">
        <f>Tabela1746810121422303226816192527313336242101214161824262830384024810121416202226283032343624268101214246101224262442626282626810262862366[[#This Row],[Uso diário]]*5</f>
        <v>94</v>
      </c>
      <c r="Q21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1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2" s="25">
        <v>1</v>
      </c>
    </row>
    <row r="213" spans="1:20" s="26" customFormat="1" x14ac:dyDescent="0.25">
      <c r="A213" s="16">
        <v>234895</v>
      </c>
      <c r="B213" s="30" t="s">
        <v>1409</v>
      </c>
      <c r="C213" s="20" t="s">
        <v>637</v>
      </c>
      <c r="D213" s="20" t="s">
        <v>696</v>
      </c>
      <c r="E213" s="20" t="s">
        <v>1961</v>
      </c>
      <c r="F213" s="20" t="s">
        <v>1962</v>
      </c>
      <c r="G213" s="21">
        <v>18.8</v>
      </c>
      <c r="H213" s="16">
        <v>27</v>
      </c>
      <c r="I213" s="16"/>
      <c r="J21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507.6</v>
      </c>
      <c r="K213" s="22"/>
      <c r="L213" s="23"/>
      <c r="M213" s="23">
        <f>SUM(Tabela1746810121422303226816192527313336242101214161824262830384024810121416202226283032343624268101214246101224262442626282626810262862366[[#This Row],[Saldo no cartão]:[Recarga Pendente]])</f>
        <v>0</v>
      </c>
      <c r="N213" s="19">
        <f>Tabela1746810121422303226816192527313336242101214161824262830384024810121416202226283032343624268101214246101224262442626282626810262862366[[#This Row],[Uso diário]]*2</f>
        <v>37.6</v>
      </c>
      <c r="O213" s="19">
        <f>Tabela1746810121422303226816192527313336242101214161824262830384024810121416202226283032343624268101214246101224262442626282626810262862366[[#This Row],[Total Acumulado]]-P213</f>
        <v>-94</v>
      </c>
      <c r="P213" s="48">
        <f>Tabela1746810121422303226816192527313336242101214161824262830384024810121416202226283032343624268101214246101224262442626282626810262862366[[#This Row],[Uso diário]]*5</f>
        <v>94</v>
      </c>
      <c r="Q21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507.6</v>
      </c>
      <c r="S21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3" s="25">
        <v>1</v>
      </c>
    </row>
    <row r="214" spans="1:20" s="26" customFormat="1" x14ac:dyDescent="0.25">
      <c r="A214" s="16">
        <v>234965</v>
      </c>
      <c r="B214" s="30" t="s">
        <v>1410</v>
      </c>
      <c r="C214" s="20" t="s">
        <v>637</v>
      </c>
      <c r="D214" s="20" t="s">
        <v>696</v>
      </c>
      <c r="E214" s="20" t="s">
        <v>1963</v>
      </c>
      <c r="F214" s="20" t="s">
        <v>4184</v>
      </c>
      <c r="G214" s="21">
        <v>18.8</v>
      </c>
      <c r="H214" s="16">
        <v>24</v>
      </c>
      <c r="I214" s="16"/>
      <c r="J21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14" s="22"/>
      <c r="L214" s="23"/>
      <c r="M214" s="23">
        <f>SUM(Tabela1746810121422303226816192527313336242101214161824262830384024810121416202226283032343624268101214246101224262442626282626810262862366[[#This Row],[Saldo no cartão]:[Recarga Pendente]])</f>
        <v>0</v>
      </c>
      <c r="N214" s="19">
        <f>Tabela1746810121422303226816192527313336242101214161824262830384024810121416202226283032343624268101214246101224262442626282626810262862366[[#This Row],[Uso diário]]*2</f>
        <v>37.6</v>
      </c>
      <c r="O214" s="19">
        <f>Tabela1746810121422303226816192527313336242101214161824262830384024810121416202226283032343624268101214246101224262442626282626810262862366[[#This Row],[Total Acumulado]]-P214</f>
        <v>-94</v>
      </c>
      <c r="P214" s="48">
        <f>Tabela1746810121422303226816192527313336242101214161824262830384024810121416202226283032343624268101214246101224262442626282626810262862366[[#This Row],[Uso diário]]*5</f>
        <v>94</v>
      </c>
      <c r="Q21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1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4" s="25">
        <v>1</v>
      </c>
    </row>
    <row r="215" spans="1:20" s="26" customFormat="1" x14ac:dyDescent="0.25">
      <c r="A215" s="16">
        <v>234967</v>
      </c>
      <c r="B215" s="30" t="s">
        <v>1411</v>
      </c>
      <c r="C215" s="20" t="s">
        <v>637</v>
      </c>
      <c r="D215" s="20" t="s">
        <v>696</v>
      </c>
      <c r="E215" s="20" t="s">
        <v>1964</v>
      </c>
      <c r="F215" s="20" t="s">
        <v>1965</v>
      </c>
      <c r="G215" s="21">
        <v>18.8</v>
      </c>
      <c r="H215" s="16">
        <v>24</v>
      </c>
      <c r="I215" s="16"/>
      <c r="J21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15" s="22"/>
      <c r="L215" s="23"/>
      <c r="M215" s="23">
        <f>SUM(Tabela1746810121422303226816192527313336242101214161824262830384024810121416202226283032343624268101214246101224262442626282626810262862366[[#This Row],[Saldo no cartão]:[Recarga Pendente]])</f>
        <v>0</v>
      </c>
      <c r="N215" s="19">
        <f>Tabela1746810121422303226816192527313336242101214161824262830384024810121416202226283032343624268101214246101224262442626282626810262862366[[#This Row],[Uso diário]]*2</f>
        <v>37.6</v>
      </c>
      <c r="O215" s="19">
        <f>Tabela1746810121422303226816192527313336242101214161824262830384024810121416202226283032343624268101214246101224262442626282626810262862366[[#This Row],[Total Acumulado]]-P215</f>
        <v>-94</v>
      </c>
      <c r="P215" s="48">
        <f>Tabela1746810121422303226816192527313336242101214161824262830384024810121416202226283032343624268101214246101224262442626282626810262862366[[#This Row],[Uso diário]]*5</f>
        <v>94</v>
      </c>
      <c r="Q21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1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5" s="25">
        <v>1</v>
      </c>
    </row>
    <row r="216" spans="1:20" s="26" customFormat="1" x14ac:dyDescent="0.25">
      <c r="A216" s="16">
        <v>235052</v>
      </c>
      <c r="B216" s="30" t="s">
        <v>1412</v>
      </c>
      <c r="C216" s="20" t="s">
        <v>637</v>
      </c>
      <c r="D216" s="20" t="s">
        <v>696</v>
      </c>
      <c r="E216" s="20" t="s">
        <v>1966</v>
      </c>
      <c r="F216" s="20" t="s">
        <v>4185</v>
      </c>
      <c r="G216" s="21">
        <v>13.4</v>
      </c>
      <c r="H216" s="16">
        <v>24</v>
      </c>
      <c r="I216" s="16"/>
      <c r="J21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321.60000000000002</v>
      </c>
      <c r="K216" s="22"/>
      <c r="L216" s="23"/>
      <c r="M216" s="23">
        <f>SUM(Tabela1746810121422303226816192527313336242101214161824262830384024810121416202226283032343624268101214246101224262442626282626810262862366[[#This Row],[Saldo no cartão]:[Recarga Pendente]])</f>
        <v>0</v>
      </c>
      <c r="N216" s="19">
        <f>Tabela1746810121422303226816192527313336242101214161824262830384024810121416202226283032343624268101214246101224262442626282626810262862366[[#This Row],[Uso diário]]*2</f>
        <v>26.8</v>
      </c>
      <c r="O216" s="19">
        <f>Tabela1746810121422303226816192527313336242101214161824262830384024810121416202226283032343624268101214246101224262442626282626810262862366[[#This Row],[Total Acumulado]]-P216</f>
        <v>-67</v>
      </c>
      <c r="P216" s="48">
        <f>Tabela1746810121422303226816192527313336242101214161824262830384024810121416202226283032343624268101214246101224262442626282626810262862366[[#This Row],[Uso diário]]*5</f>
        <v>67</v>
      </c>
      <c r="Q21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321.60000000000002</v>
      </c>
      <c r="S21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6" s="25">
        <v>1</v>
      </c>
    </row>
    <row r="217" spans="1:20" s="26" customFormat="1" x14ac:dyDescent="0.25">
      <c r="A217" s="16">
        <v>235085</v>
      </c>
      <c r="B217" s="30" t="s">
        <v>1413</v>
      </c>
      <c r="C217" s="20" t="s">
        <v>637</v>
      </c>
      <c r="D217" s="20" t="s">
        <v>696</v>
      </c>
      <c r="E217" s="20" t="s">
        <v>1967</v>
      </c>
      <c r="F217" s="20" t="s">
        <v>1968</v>
      </c>
      <c r="G217" s="21">
        <v>18.8</v>
      </c>
      <c r="H217" s="16">
        <v>24</v>
      </c>
      <c r="I217" s="16"/>
      <c r="J21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17" s="22"/>
      <c r="L217" s="23"/>
      <c r="M217" s="23">
        <f>SUM(Tabela1746810121422303226816192527313336242101214161824262830384024810121416202226283032343624268101214246101224262442626282626810262862366[[#This Row],[Saldo no cartão]:[Recarga Pendente]])</f>
        <v>0</v>
      </c>
      <c r="N217" s="19">
        <f>Tabela1746810121422303226816192527313336242101214161824262830384024810121416202226283032343624268101214246101224262442626282626810262862366[[#This Row],[Uso diário]]*2</f>
        <v>37.6</v>
      </c>
      <c r="O217" s="19">
        <f>Tabela1746810121422303226816192527313336242101214161824262830384024810121416202226283032343624268101214246101224262442626282626810262862366[[#This Row],[Total Acumulado]]-P217</f>
        <v>-94</v>
      </c>
      <c r="P217" s="48">
        <f>Tabela1746810121422303226816192527313336242101214161824262830384024810121416202226283032343624268101214246101224262442626282626810262862366[[#This Row],[Uso diário]]*5</f>
        <v>94</v>
      </c>
      <c r="Q21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1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7" s="25">
        <v>1</v>
      </c>
    </row>
    <row r="218" spans="1:20" s="26" customFormat="1" x14ac:dyDescent="0.25">
      <c r="A218" s="16">
        <v>20574</v>
      </c>
      <c r="B218" s="30" t="s">
        <v>144</v>
      </c>
      <c r="C218" s="20" t="s">
        <v>638</v>
      </c>
      <c r="D218" s="20" t="s">
        <v>691</v>
      </c>
      <c r="E218" s="20" t="s">
        <v>1969</v>
      </c>
      <c r="F218" s="20" t="s">
        <v>1970</v>
      </c>
      <c r="G218" s="21">
        <v>18.8</v>
      </c>
      <c r="H218" s="16">
        <v>22</v>
      </c>
      <c r="I218" s="16"/>
      <c r="J21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18" s="22"/>
      <c r="L218" s="23"/>
      <c r="M218" s="23">
        <f>SUM(Tabela1746810121422303226816192527313336242101214161824262830384024810121416202226283032343624268101214246101224262442626282626810262862366[[#This Row],[Saldo no cartão]:[Recarga Pendente]])</f>
        <v>0</v>
      </c>
      <c r="N218" s="19">
        <f>Tabela1746810121422303226816192527313336242101214161824262830384024810121416202226283032343624268101214246101224262442626282626810262862366[[#This Row],[Uso diário]]*2</f>
        <v>37.6</v>
      </c>
      <c r="O218" s="19">
        <f>Tabela1746810121422303226816192527313336242101214161824262830384024810121416202226283032343624268101214246101224262442626282626810262862366[[#This Row],[Total Acumulado]]-P218</f>
        <v>-94</v>
      </c>
      <c r="P218" s="48">
        <f>Tabela1746810121422303226816192527313336242101214161824262830384024810121416202226283032343624268101214246101224262442626282626810262862366[[#This Row],[Uso diário]]*5</f>
        <v>94</v>
      </c>
      <c r="Q21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1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8" s="25">
        <v>1</v>
      </c>
    </row>
    <row r="219" spans="1:20" s="26" customFormat="1" x14ac:dyDescent="0.25">
      <c r="A219" s="16">
        <v>205867</v>
      </c>
      <c r="B219" s="30" t="s">
        <v>1150</v>
      </c>
      <c r="C219" s="20" t="s">
        <v>638</v>
      </c>
      <c r="D219" s="20" t="s">
        <v>691</v>
      </c>
      <c r="E219" s="20" t="s">
        <v>1971</v>
      </c>
      <c r="F219" s="20" t="s">
        <v>1972</v>
      </c>
      <c r="G219" s="21">
        <v>10</v>
      </c>
      <c r="H219" s="16">
        <v>22</v>
      </c>
      <c r="I219" s="16"/>
      <c r="J21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219" s="22"/>
      <c r="L219" s="23"/>
      <c r="M219" s="23">
        <f>SUM(Tabela1746810121422303226816192527313336242101214161824262830384024810121416202226283032343624268101214246101224262442626282626810262862366[[#This Row],[Saldo no cartão]:[Recarga Pendente]])</f>
        <v>0</v>
      </c>
      <c r="N219" s="19">
        <f>Tabela1746810121422303226816192527313336242101214161824262830384024810121416202226283032343624268101214246101224262442626282626810262862366[[#This Row],[Uso diário]]*2</f>
        <v>20</v>
      </c>
      <c r="O219" s="19">
        <f>Tabela1746810121422303226816192527313336242101214161824262830384024810121416202226283032343624268101214246101224262442626282626810262862366[[#This Row],[Total Acumulado]]-P219</f>
        <v>-50</v>
      </c>
      <c r="P219" s="48">
        <f>Tabela1746810121422303226816192527313336242101214161824262830384024810121416202226283032343624268101214246101224262442626282626810262862366[[#This Row],[Uso diário]]*5</f>
        <v>50</v>
      </c>
      <c r="Q21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1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21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19" s="25">
        <v>1</v>
      </c>
    </row>
    <row r="220" spans="1:20" s="26" customFormat="1" x14ac:dyDescent="0.25">
      <c r="A220" s="16">
        <v>215192</v>
      </c>
      <c r="B220" s="30" t="s">
        <v>145</v>
      </c>
      <c r="C220" s="20" t="s">
        <v>638</v>
      </c>
      <c r="D220" s="20" t="s">
        <v>691</v>
      </c>
      <c r="E220" s="20" t="s">
        <v>1973</v>
      </c>
      <c r="F220" s="20" t="s">
        <v>1974</v>
      </c>
      <c r="G220" s="21">
        <v>18.8</v>
      </c>
      <c r="H220" s="16">
        <v>22</v>
      </c>
      <c r="I220" s="16"/>
      <c r="J22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20" s="22"/>
      <c r="L220" s="23"/>
      <c r="M220" s="23">
        <f>SUM(Tabela1746810121422303226816192527313336242101214161824262830384024810121416202226283032343624268101214246101224262442626282626810262862366[[#This Row],[Saldo no cartão]:[Recarga Pendente]])</f>
        <v>0</v>
      </c>
      <c r="N220" s="19">
        <f>Tabela1746810121422303226816192527313336242101214161824262830384024810121416202226283032343624268101214246101224262442626282626810262862366[[#This Row],[Uso diário]]*2</f>
        <v>37.6</v>
      </c>
      <c r="O220" s="19">
        <f>Tabela1746810121422303226816192527313336242101214161824262830384024810121416202226283032343624268101214246101224262442626282626810262862366[[#This Row],[Total Acumulado]]-P220</f>
        <v>-94</v>
      </c>
      <c r="P220" s="48">
        <f>Tabela1746810121422303226816192527313336242101214161824262830384024810121416202226283032343624268101214246101224262442626282626810262862366[[#This Row],[Uso diário]]*5</f>
        <v>94</v>
      </c>
      <c r="Q22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2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0" s="25">
        <v>1</v>
      </c>
    </row>
    <row r="221" spans="1:20" s="26" customFormat="1" x14ac:dyDescent="0.25">
      <c r="A221" s="16">
        <v>218269</v>
      </c>
      <c r="B221" s="30" t="s">
        <v>146</v>
      </c>
      <c r="C221" s="20" t="s">
        <v>638</v>
      </c>
      <c r="D221" s="20" t="s">
        <v>694</v>
      </c>
      <c r="E221" s="20" t="s">
        <v>1975</v>
      </c>
      <c r="F221" s="20" t="s">
        <v>1976</v>
      </c>
      <c r="G221" s="21">
        <v>18.8</v>
      </c>
      <c r="H221" s="16">
        <v>22</v>
      </c>
      <c r="I221" s="16">
        <v>1</v>
      </c>
      <c r="J22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221" s="22"/>
      <c r="L221" s="23"/>
      <c r="M221" s="23">
        <f>SUM(Tabela1746810121422303226816192527313336242101214161824262830384024810121416202226283032343624268101214246101224262442626282626810262862366[[#This Row],[Saldo no cartão]:[Recarga Pendente]])</f>
        <v>0</v>
      </c>
      <c r="N221" s="19">
        <f>Tabela1746810121422303226816192527313336242101214161824262830384024810121416202226283032343624268101214246101224262442626282626810262862366[[#This Row],[Uso diário]]*2</f>
        <v>37.6</v>
      </c>
      <c r="O221" s="19">
        <f>Tabela1746810121422303226816192527313336242101214161824262830384024810121416202226283032343624268101214246101224262442626282626810262862366[[#This Row],[Total Acumulado]]-P221</f>
        <v>-94</v>
      </c>
      <c r="P221" s="48">
        <f>Tabela1746810121422303226816192527313336242101214161824262830384024810121416202226283032343624268101214246101224262442626282626810262862366[[#This Row],[Uso diário]]*5</f>
        <v>94</v>
      </c>
      <c r="Q22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22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1" s="25">
        <v>1</v>
      </c>
    </row>
    <row r="222" spans="1:20" s="26" customFormat="1" x14ac:dyDescent="0.25">
      <c r="A222" s="16">
        <v>219779</v>
      </c>
      <c r="B222" s="30" t="s">
        <v>1414</v>
      </c>
      <c r="C222" s="20" t="s">
        <v>638</v>
      </c>
      <c r="D222" s="20" t="s">
        <v>691</v>
      </c>
      <c r="E222" s="20" t="s">
        <v>1977</v>
      </c>
      <c r="F222" s="20" t="s">
        <v>1978</v>
      </c>
      <c r="G222" s="21">
        <v>18.8</v>
      </c>
      <c r="H222" s="16">
        <v>24</v>
      </c>
      <c r="I222" s="16"/>
      <c r="J22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22" s="22"/>
      <c r="L222" s="23">
        <v>18.8</v>
      </c>
      <c r="M222" s="23">
        <f>SUM(Tabela1746810121422303226816192527313336242101214161824262830384024810121416202226283032343624268101214246101224262442626282626810262862366[[#This Row],[Saldo no cartão]:[Recarga Pendente]])</f>
        <v>18.8</v>
      </c>
      <c r="N222" s="19">
        <f>Tabela1746810121422303226816192527313336242101214161824262830384024810121416202226283032343624268101214246101224262442626282626810262862366[[#This Row],[Uso diário]]*2</f>
        <v>37.6</v>
      </c>
      <c r="O222" s="19">
        <f>Tabela1746810121422303226816192527313336242101214161824262830384024810121416202226283032343624268101214246101224262442626282626810262862366[[#This Row],[Total Acumulado]]-P222</f>
        <v>-75.2</v>
      </c>
      <c r="P222" s="48">
        <f>Tabela1746810121422303226816192527313336242101214161824262830384024810121416202226283032343624268101214246101224262442626282626810262862366[[#This Row],[Uso diário]]*5</f>
        <v>94</v>
      </c>
      <c r="Q22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2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2" s="25">
        <v>1</v>
      </c>
    </row>
    <row r="223" spans="1:20" s="26" customFormat="1" x14ac:dyDescent="0.25">
      <c r="A223" s="16">
        <v>221900</v>
      </c>
      <c r="B223" s="30" t="s">
        <v>147</v>
      </c>
      <c r="C223" s="20" t="s">
        <v>638</v>
      </c>
      <c r="D223" s="20" t="s">
        <v>691</v>
      </c>
      <c r="E223" s="20" t="s">
        <v>1979</v>
      </c>
      <c r="F223" s="20" t="s">
        <v>1980</v>
      </c>
      <c r="G223" s="21">
        <v>18.8</v>
      </c>
      <c r="H223" s="16">
        <v>22</v>
      </c>
      <c r="I223" s="16">
        <v>1</v>
      </c>
      <c r="J22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223" s="22"/>
      <c r="L223" s="23"/>
      <c r="M223" s="23">
        <f>SUM(Tabela1746810121422303226816192527313336242101214161824262830384024810121416202226283032343624268101214246101224262442626282626810262862366[[#This Row],[Saldo no cartão]:[Recarga Pendente]])</f>
        <v>0</v>
      </c>
      <c r="N223" s="19">
        <f>Tabela1746810121422303226816192527313336242101214161824262830384024810121416202226283032343624268101214246101224262442626282626810262862366[[#This Row],[Uso diário]]*2</f>
        <v>37.6</v>
      </c>
      <c r="O223" s="19">
        <f>Tabela1746810121422303226816192527313336242101214161824262830384024810121416202226283032343624268101214246101224262442626282626810262862366[[#This Row],[Total Acumulado]]-P223</f>
        <v>-94</v>
      </c>
      <c r="P223" s="48">
        <f>Tabela1746810121422303226816192527313336242101214161824262830384024810121416202226283032343624268101214246101224262442626282626810262862366[[#This Row],[Uso diário]]*5</f>
        <v>94</v>
      </c>
      <c r="Q22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22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3" s="25">
        <v>1</v>
      </c>
    </row>
    <row r="224" spans="1:20" s="26" customFormat="1" x14ac:dyDescent="0.25">
      <c r="A224" s="16">
        <v>226946</v>
      </c>
      <c r="B224" s="30" t="s">
        <v>1040</v>
      </c>
      <c r="C224" s="20" t="s">
        <v>638</v>
      </c>
      <c r="D224" s="20" t="s">
        <v>696</v>
      </c>
      <c r="E224" s="20" t="s">
        <v>1981</v>
      </c>
      <c r="F224" s="20" t="s">
        <v>1982</v>
      </c>
      <c r="G224" s="21">
        <v>13.4</v>
      </c>
      <c r="H224" s="16">
        <v>22</v>
      </c>
      <c r="I224" s="16"/>
      <c r="J22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24" s="22"/>
      <c r="L224" s="23"/>
      <c r="M224" s="23">
        <f>SUM(Tabela1746810121422303226816192527313336242101214161824262830384024810121416202226283032343624268101214246101224262442626282626810262862366[[#This Row],[Saldo no cartão]:[Recarga Pendente]])</f>
        <v>0</v>
      </c>
      <c r="N224" s="19">
        <f>Tabela1746810121422303226816192527313336242101214161824262830384024810121416202226283032343624268101214246101224262442626282626810262862366[[#This Row],[Uso diário]]*2</f>
        <v>26.8</v>
      </c>
      <c r="O224" s="19">
        <f>Tabela1746810121422303226816192527313336242101214161824262830384024810121416202226283032343624268101214246101224262442626282626810262862366[[#This Row],[Total Acumulado]]-P224</f>
        <v>-67</v>
      </c>
      <c r="P224" s="48">
        <f>Tabela1746810121422303226816192527313336242101214161824262830384024810121416202226283032343624268101214246101224262442626282626810262862366[[#This Row],[Uso diário]]*5</f>
        <v>67</v>
      </c>
      <c r="Q22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2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4" s="25">
        <v>1</v>
      </c>
    </row>
    <row r="225" spans="1:20" s="26" customFormat="1" x14ac:dyDescent="0.25">
      <c r="A225" s="16">
        <v>228426</v>
      </c>
      <c r="B225" s="30" t="s">
        <v>122</v>
      </c>
      <c r="C225" s="20" t="s">
        <v>638</v>
      </c>
      <c r="D225" s="20" t="s">
        <v>696</v>
      </c>
      <c r="E225" s="20" t="s">
        <v>1983</v>
      </c>
      <c r="F225" s="20" t="s">
        <v>1984</v>
      </c>
      <c r="G225" s="21">
        <v>18.8</v>
      </c>
      <c r="H225" s="16">
        <v>22</v>
      </c>
      <c r="I225" s="16"/>
      <c r="J22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25" s="22"/>
      <c r="L225" s="23"/>
      <c r="M225" s="23">
        <f>SUM(Tabela1746810121422303226816192527313336242101214161824262830384024810121416202226283032343624268101214246101224262442626282626810262862366[[#This Row],[Saldo no cartão]:[Recarga Pendente]])</f>
        <v>0</v>
      </c>
      <c r="N225" s="19">
        <f>Tabela1746810121422303226816192527313336242101214161824262830384024810121416202226283032343624268101214246101224262442626282626810262862366[[#This Row],[Uso diário]]*2</f>
        <v>37.6</v>
      </c>
      <c r="O225" s="19">
        <f>Tabela1746810121422303226816192527313336242101214161824262830384024810121416202226283032343624268101214246101224262442626282626810262862366[[#This Row],[Total Acumulado]]-P225</f>
        <v>-94</v>
      </c>
      <c r="P225" s="48">
        <f>Tabela1746810121422303226816192527313336242101214161824262830384024810121416202226283032343624268101214246101224262442626282626810262862366[[#This Row],[Uso diário]]*5</f>
        <v>94</v>
      </c>
      <c r="Q22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2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5" s="25">
        <v>1</v>
      </c>
    </row>
    <row r="226" spans="1:20" s="26" customFormat="1" x14ac:dyDescent="0.25">
      <c r="A226" s="16">
        <v>230763</v>
      </c>
      <c r="B226" s="30" t="s">
        <v>142</v>
      </c>
      <c r="C226" s="20" t="s">
        <v>638</v>
      </c>
      <c r="D226" s="20" t="s">
        <v>696</v>
      </c>
      <c r="E226" s="20" t="s">
        <v>1985</v>
      </c>
      <c r="F226" s="20" t="s">
        <v>1986</v>
      </c>
      <c r="G226" s="21">
        <v>18.8</v>
      </c>
      <c r="H226" s="16">
        <v>22</v>
      </c>
      <c r="I226" s="16">
        <v>5</v>
      </c>
      <c r="J22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319.60000000000002</v>
      </c>
      <c r="K226" s="22"/>
      <c r="L226" s="23"/>
      <c r="M226" s="23">
        <f>SUM(Tabela1746810121422303226816192527313336242101214161824262830384024810121416202226283032343624268101214246101224262442626282626810262862366[[#This Row],[Saldo no cartão]:[Recarga Pendente]])</f>
        <v>0</v>
      </c>
      <c r="N226" s="19">
        <f>Tabela1746810121422303226816192527313336242101214161824262830384024810121416202226283032343624268101214246101224262442626282626810262862366[[#This Row],[Uso diário]]*2</f>
        <v>37.6</v>
      </c>
      <c r="O226" s="19">
        <f>Tabela1746810121422303226816192527313336242101214161824262830384024810121416202226283032343624268101214246101224262442626282626810262862366[[#This Row],[Total Acumulado]]-P226</f>
        <v>-94</v>
      </c>
      <c r="P226" s="48">
        <f>Tabela1746810121422303226816192527313336242101214161824262830384024810121416202226283032343624268101214246101224262442626282626810262862366[[#This Row],[Uso diário]]*5</f>
        <v>94</v>
      </c>
      <c r="Q22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319.60000000000002</v>
      </c>
      <c r="S22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6" s="25">
        <v>1</v>
      </c>
    </row>
    <row r="227" spans="1:20" s="26" customFormat="1" x14ac:dyDescent="0.25">
      <c r="A227" s="16">
        <v>222165</v>
      </c>
      <c r="B227" s="30" t="s">
        <v>1041</v>
      </c>
      <c r="C227" s="20" t="s">
        <v>1123</v>
      </c>
      <c r="D227" s="20" t="s">
        <v>1126</v>
      </c>
      <c r="E227" s="20" t="s">
        <v>1987</v>
      </c>
      <c r="F227" s="20" t="s">
        <v>1988</v>
      </c>
      <c r="G227" s="21">
        <v>13.4</v>
      </c>
      <c r="H227" s="16">
        <v>22</v>
      </c>
      <c r="I227" s="16">
        <v>10</v>
      </c>
      <c r="J22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160.80000000000001</v>
      </c>
      <c r="K227" s="22"/>
      <c r="L227" s="23"/>
      <c r="M227" s="23">
        <f>SUM(Tabela1746810121422303226816192527313336242101214161824262830384024810121416202226283032343624268101214246101224262442626282626810262862366[[#This Row],[Saldo no cartão]:[Recarga Pendente]])</f>
        <v>0</v>
      </c>
      <c r="N227" s="19">
        <f>Tabela1746810121422303226816192527313336242101214161824262830384024810121416202226283032343624268101214246101224262442626282626810262862366[[#This Row],[Uso diário]]*2</f>
        <v>26.8</v>
      </c>
      <c r="O227" s="19">
        <f>Tabela1746810121422303226816192527313336242101214161824262830384024810121416202226283032343624268101214246101224262442626282626810262862366[[#This Row],[Total Acumulado]]-P227</f>
        <v>-67</v>
      </c>
      <c r="P227" s="48">
        <f>Tabela1746810121422303226816192527313336242101214161824262830384024810121416202226283032343624268101214246101224262442626282626810262862366[[#This Row],[Uso diário]]*5</f>
        <v>67</v>
      </c>
      <c r="Q22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160.80000000000001</v>
      </c>
      <c r="S22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7" s="25">
        <v>1</v>
      </c>
    </row>
    <row r="228" spans="1:20" s="26" customFormat="1" ht="22.5" x14ac:dyDescent="0.25">
      <c r="A228" s="16">
        <v>225012</v>
      </c>
      <c r="B228" s="30" t="s">
        <v>148</v>
      </c>
      <c r="C228" s="20" t="s">
        <v>639</v>
      </c>
      <c r="D228" s="20" t="s">
        <v>699</v>
      </c>
      <c r="E228" s="20" t="s">
        <v>1989</v>
      </c>
      <c r="F228" s="20" t="s">
        <v>1990</v>
      </c>
      <c r="G228" s="21">
        <v>18.8</v>
      </c>
      <c r="H228" s="16">
        <v>22</v>
      </c>
      <c r="I228" s="16">
        <v>3</v>
      </c>
      <c r="J22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228" s="22"/>
      <c r="L228" s="23">
        <v>640.15</v>
      </c>
      <c r="M228" s="23">
        <f>SUM(Tabela1746810121422303226816192527313336242101214161824262830384024810121416202226283032343624268101214246101224262442626282626810262862366[[#This Row],[Saldo no cartão]:[Recarga Pendente]])</f>
        <v>640.15</v>
      </c>
      <c r="N228" s="19">
        <f>Tabela1746810121422303226816192527313336242101214161824262830384024810121416202226283032343624268101214246101224262442626282626810262862366[[#This Row],[Uso diário]]*2</f>
        <v>37.6</v>
      </c>
      <c r="O228" s="19">
        <f>Tabela1746810121422303226816192527313336242101214161824262830384024810121416202226283032343624268101214246101224262442626282626810262862366[[#This Row],[Total Acumulado]]-P228</f>
        <v>546.15</v>
      </c>
      <c r="P228" s="48">
        <f>Tabela1746810121422303226816192527313336242101214161824262830384024810121416202226283032343624268101214246101224262442626282626810262862366[[#This Row],[Uso diário]]*5</f>
        <v>94</v>
      </c>
      <c r="Q22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546.15</v>
      </c>
      <c r="R22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0</v>
      </c>
      <c r="S228" s="18" t="str">
        <f>IF(Tabela1746810121422303226816192527313336242101214161824262830384024810121416202226283032343624268101214246101224262442626282626810262862366[[#This Row],[Pedido Final]]=0,"NÃO EFETUAR RECARGA","RECARGA NORMAL")</f>
        <v>NÃO EFETUAR RECARGA</v>
      </c>
      <c r="T228" s="25">
        <v>1</v>
      </c>
    </row>
    <row r="229" spans="1:20" s="26" customFormat="1" x14ac:dyDescent="0.25">
      <c r="A229" s="16">
        <v>233023</v>
      </c>
      <c r="B229" s="30" t="s">
        <v>962</v>
      </c>
      <c r="C229" s="20" t="s">
        <v>639</v>
      </c>
      <c r="D229" s="20" t="s">
        <v>1019</v>
      </c>
      <c r="E229" s="20" t="s">
        <v>1991</v>
      </c>
      <c r="F229" s="20" t="s">
        <v>1992</v>
      </c>
      <c r="G229" s="21">
        <v>18.8</v>
      </c>
      <c r="H229" s="16">
        <v>22</v>
      </c>
      <c r="I229" s="16"/>
      <c r="J22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29" s="22"/>
      <c r="L229" s="23">
        <v>53.55</v>
      </c>
      <c r="M229" s="23">
        <f>SUM(Tabela1746810121422303226816192527313336242101214161824262830384024810121416202226283032343624268101214246101224262442626282626810262862366[[#This Row],[Saldo no cartão]:[Recarga Pendente]])</f>
        <v>53.55</v>
      </c>
      <c r="N229" s="19">
        <f>Tabela1746810121422303226816192527313336242101214161824262830384024810121416202226283032343624268101214246101224262442626282626810262862366[[#This Row],[Uso diário]]*2</f>
        <v>37.6</v>
      </c>
      <c r="O229" s="19">
        <f>Tabela1746810121422303226816192527313336242101214161824262830384024810121416202226283032343624268101214246101224262442626282626810262862366[[#This Row],[Total Acumulado]]-P229</f>
        <v>-40.450000000000003</v>
      </c>
      <c r="P229" s="48">
        <f>Tabela1746810121422303226816192527313336242101214161824262830384024810121416202226283032343624268101214246101224262442626282626810262862366[[#This Row],[Uso diário]]*5</f>
        <v>94</v>
      </c>
      <c r="Q22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2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2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29" s="25">
        <v>1</v>
      </c>
    </row>
    <row r="230" spans="1:20" s="26" customFormat="1" x14ac:dyDescent="0.25">
      <c r="A230" s="16">
        <v>226945</v>
      </c>
      <c r="B230" s="30" t="s">
        <v>1039</v>
      </c>
      <c r="C230" s="20" t="s">
        <v>640</v>
      </c>
      <c r="D230" s="20" t="s">
        <v>701</v>
      </c>
      <c r="E230" s="20" t="s">
        <v>1993</v>
      </c>
      <c r="F230" s="20" t="s">
        <v>1994</v>
      </c>
      <c r="G230" s="21">
        <v>18.8</v>
      </c>
      <c r="H230" s="16">
        <v>26</v>
      </c>
      <c r="I230" s="16">
        <v>1</v>
      </c>
      <c r="J23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30" s="22"/>
      <c r="L230" s="23">
        <v>18.8</v>
      </c>
      <c r="M230" s="23">
        <f>SUM(Tabela1746810121422303226816192527313336242101214161824262830384024810121416202226283032343624268101214246101224262442626282626810262862366[[#This Row],[Saldo no cartão]:[Recarga Pendente]])</f>
        <v>18.8</v>
      </c>
      <c r="N230" s="19">
        <f>Tabela1746810121422303226816192527313336242101214161824262830384024810121416202226283032343624268101214246101224262442626282626810262862366[[#This Row],[Uso diário]]*2</f>
        <v>37.6</v>
      </c>
      <c r="O230" s="19">
        <f>Tabela1746810121422303226816192527313336242101214161824262830384024810121416202226283032343624268101214246101224262442626282626810262862366[[#This Row],[Total Acumulado]]-P230</f>
        <v>-75.2</v>
      </c>
      <c r="P230" s="48">
        <f>Tabela1746810121422303226816192527313336242101214161824262830384024810121416202226283032343624268101214246101224262442626282626810262862366[[#This Row],[Uso diário]]*5</f>
        <v>94</v>
      </c>
      <c r="Q23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3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0" s="25">
        <v>1</v>
      </c>
    </row>
    <row r="231" spans="1:20" s="26" customFormat="1" x14ac:dyDescent="0.25">
      <c r="A231" s="16">
        <v>229497</v>
      </c>
      <c r="B231" s="30" t="s">
        <v>403</v>
      </c>
      <c r="C231" s="20" t="s">
        <v>640</v>
      </c>
      <c r="D231" s="20" t="s">
        <v>701</v>
      </c>
      <c r="E231" s="20" t="s">
        <v>1995</v>
      </c>
      <c r="F231" s="20" t="s">
        <v>1996</v>
      </c>
      <c r="G231" s="21">
        <v>18.8</v>
      </c>
      <c r="H231" s="16">
        <v>26</v>
      </c>
      <c r="I231" s="16"/>
      <c r="J23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31" s="22"/>
      <c r="L231" s="23">
        <v>18.8</v>
      </c>
      <c r="M231" s="23">
        <f>SUM(Tabela1746810121422303226816192527313336242101214161824262830384024810121416202226283032343624268101214246101224262442626282626810262862366[[#This Row],[Saldo no cartão]:[Recarga Pendente]])</f>
        <v>18.8</v>
      </c>
      <c r="N231" s="19">
        <f>Tabela1746810121422303226816192527313336242101214161824262830384024810121416202226283032343624268101214246101224262442626282626810262862366[[#This Row],[Uso diário]]*2</f>
        <v>37.6</v>
      </c>
      <c r="O231" s="19">
        <f>Tabela1746810121422303226816192527313336242101214161824262830384024810121416202226283032343624268101214246101224262442626282626810262862366[[#This Row],[Total Acumulado]]-P231</f>
        <v>-75.2</v>
      </c>
      <c r="P231" s="48">
        <f>Tabela1746810121422303226816192527313336242101214161824262830384024810121416202226283032343624268101214246101224262442626282626810262862366[[#This Row],[Uso diário]]*5</f>
        <v>94</v>
      </c>
      <c r="Q23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3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1" s="25">
        <v>1</v>
      </c>
    </row>
    <row r="232" spans="1:20" s="26" customFormat="1" x14ac:dyDescent="0.25">
      <c r="A232" s="16">
        <v>230916</v>
      </c>
      <c r="B232" s="30" t="s">
        <v>149</v>
      </c>
      <c r="C232" s="20" t="s">
        <v>640</v>
      </c>
      <c r="D232" s="20" t="s">
        <v>701</v>
      </c>
      <c r="E232" s="20" t="s">
        <v>1997</v>
      </c>
      <c r="F232" s="20" t="s">
        <v>1998</v>
      </c>
      <c r="G232" s="21">
        <v>18.8</v>
      </c>
      <c r="H232" s="16">
        <v>26</v>
      </c>
      <c r="I232" s="16">
        <v>3</v>
      </c>
      <c r="J23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232" s="22"/>
      <c r="L232" s="23"/>
      <c r="M232" s="23">
        <f>SUM(Tabela1746810121422303226816192527313336242101214161824262830384024810121416202226283032343624268101214246101224262442626282626810262862366[[#This Row],[Saldo no cartão]:[Recarga Pendente]])</f>
        <v>0</v>
      </c>
      <c r="N232" s="19">
        <f>Tabela1746810121422303226816192527313336242101214161824262830384024810121416202226283032343624268101214246101224262442626282626810262862366[[#This Row],[Uso diário]]*2</f>
        <v>37.6</v>
      </c>
      <c r="O232" s="19">
        <f>Tabela1746810121422303226816192527313336242101214161824262830384024810121416202226283032343624268101214246101224262442626282626810262862366[[#This Row],[Total Acumulado]]-P232</f>
        <v>-94</v>
      </c>
      <c r="P232" s="48">
        <f>Tabela1746810121422303226816192527313336242101214161824262830384024810121416202226283032343624268101214246101224262442626282626810262862366[[#This Row],[Uso diário]]*5</f>
        <v>94</v>
      </c>
      <c r="Q23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23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2" s="25">
        <v>1</v>
      </c>
    </row>
    <row r="233" spans="1:20" s="26" customFormat="1" x14ac:dyDescent="0.25">
      <c r="A233" s="16">
        <v>231268</v>
      </c>
      <c r="B233" s="30" t="s">
        <v>785</v>
      </c>
      <c r="C233" s="20" t="s">
        <v>640</v>
      </c>
      <c r="D233" s="20" t="s">
        <v>700</v>
      </c>
      <c r="E233" s="20" t="s">
        <v>1999</v>
      </c>
      <c r="F233" s="20" t="s">
        <v>2000</v>
      </c>
      <c r="G233" s="21">
        <v>18.8</v>
      </c>
      <c r="H233" s="16">
        <v>26</v>
      </c>
      <c r="I233" s="16">
        <v>9</v>
      </c>
      <c r="J23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319.60000000000002</v>
      </c>
      <c r="K233" s="22"/>
      <c r="L233" s="23"/>
      <c r="M233" s="23">
        <f>SUM(Tabela1746810121422303226816192527313336242101214161824262830384024810121416202226283032343624268101214246101224262442626282626810262862366[[#This Row],[Saldo no cartão]:[Recarga Pendente]])</f>
        <v>0</v>
      </c>
      <c r="N233" s="19">
        <f>Tabela1746810121422303226816192527313336242101214161824262830384024810121416202226283032343624268101214246101224262442626282626810262862366[[#This Row],[Uso diário]]*2</f>
        <v>37.6</v>
      </c>
      <c r="O233" s="19">
        <f>Tabela1746810121422303226816192527313336242101214161824262830384024810121416202226283032343624268101214246101224262442626282626810262862366[[#This Row],[Total Acumulado]]-P233</f>
        <v>-94</v>
      </c>
      <c r="P233" s="48">
        <f>Tabela1746810121422303226816192527313336242101214161824262830384024810121416202226283032343624268101214246101224262442626282626810262862366[[#This Row],[Uso diário]]*5</f>
        <v>94</v>
      </c>
      <c r="Q23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319.60000000000002</v>
      </c>
      <c r="S23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3" s="25">
        <v>1</v>
      </c>
    </row>
    <row r="234" spans="1:20" s="26" customFormat="1" x14ac:dyDescent="0.25">
      <c r="A234" s="16">
        <v>232663</v>
      </c>
      <c r="B234" s="30" t="s">
        <v>931</v>
      </c>
      <c r="C234" s="20" t="s">
        <v>640</v>
      </c>
      <c r="D234" s="20" t="s">
        <v>703</v>
      </c>
      <c r="E234" s="20" t="s">
        <v>2001</v>
      </c>
      <c r="F234" s="20" t="s">
        <v>2002</v>
      </c>
      <c r="G234" s="21">
        <v>18.8</v>
      </c>
      <c r="H234" s="16">
        <v>26</v>
      </c>
      <c r="I234" s="16"/>
      <c r="J23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34" s="22"/>
      <c r="L234" s="23"/>
      <c r="M234" s="23">
        <f>SUM(Tabela1746810121422303226816192527313336242101214161824262830384024810121416202226283032343624268101214246101224262442626282626810262862366[[#This Row],[Saldo no cartão]:[Recarga Pendente]])</f>
        <v>0</v>
      </c>
      <c r="N234" s="19">
        <f>Tabela1746810121422303226816192527313336242101214161824262830384024810121416202226283032343624268101214246101224262442626282626810262862366[[#This Row],[Uso diário]]*2</f>
        <v>37.6</v>
      </c>
      <c r="O234" s="19">
        <f>Tabela1746810121422303226816192527313336242101214161824262830384024810121416202226283032343624268101214246101224262442626282626810262862366[[#This Row],[Total Acumulado]]-P234</f>
        <v>-94</v>
      </c>
      <c r="P234" s="48">
        <f>Tabela1746810121422303226816192527313336242101214161824262830384024810121416202226283032343624268101214246101224262442626282626810262862366[[#This Row],[Uso diário]]*5</f>
        <v>94</v>
      </c>
      <c r="Q23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3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4" s="25">
        <v>1</v>
      </c>
    </row>
    <row r="235" spans="1:20" s="26" customFormat="1" x14ac:dyDescent="0.25">
      <c r="A235" s="16">
        <v>234286</v>
      </c>
      <c r="B235" s="30" t="s">
        <v>1151</v>
      </c>
      <c r="C235" s="20" t="s">
        <v>640</v>
      </c>
      <c r="D235" s="20" t="s">
        <v>703</v>
      </c>
      <c r="E235" s="20" t="s">
        <v>2003</v>
      </c>
      <c r="F235" s="20" t="s">
        <v>2004</v>
      </c>
      <c r="G235" s="21">
        <v>18.8</v>
      </c>
      <c r="H235" s="16">
        <v>26</v>
      </c>
      <c r="I235" s="16"/>
      <c r="J23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35" s="22"/>
      <c r="L235" s="23">
        <v>18.8</v>
      </c>
      <c r="M235" s="23">
        <f>SUM(Tabela1746810121422303226816192527313336242101214161824262830384024810121416202226283032343624268101214246101224262442626282626810262862366[[#This Row],[Saldo no cartão]:[Recarga Pendente]])</f>
        <v>18.8</v>
      </c>
      <c r="N235" s="19">
        <f>Tabela1746810121422303226816192527313336242101214161824262830384024810121416202226283032343624268101214246101224262442626282626810262862366[[#This Row],[Uso diário]]*2</f>
        <v>37.6</v>
      </c>
      <c r="O235" s="19">
        <f>Tabela1746810121422303226816192527313336242101214161824262830384024810121416202226283032343624268101214246101224262442626282626810262862366[[#This Row],[Total Acumulado]]-P235</f>
        <v>-75.2</v>
      </c>
      <c r="P235" s="48">
        <f>Tabela1746810121422303226816192527313336242101214161824262830384024810121416202226283032343624268101214246101224262442626282626810262862366[[#This Row],[Uso diário]]*5</f>
        <v>94</v>
      </c>
      <c r="Q23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3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5" s="25">
        <v>1</v>
      </c>
    </row>
    <row r="236" spans="1:20" s="26" customFormat="1" x14ac:dyDescent="0.25">
      <c r="A236" s="16">
        <v>234300</v>
      </c>
      <c r="B236" s="30" t="s">
        <v>1276</v>
      </c>
      <c r="C236" s="20" t="s">
        <v>640</v>
      </c>
      <c r="D236" s="20" t="s">
        <v>701</v>
      </c>
      <c r="E236" s="20" t="s">
        <v>2005</v>
      </c>
      <c r="F236" s="20" t="s">
        <v>2006</v>
      </c>
      <c r="G236" s="21">
        <v>13.4</v>
      </c>
      <c r="H236" s="16">
        <v>26</v>
      </c>
      <c r="I236" s="16">
        <v>4</v>
      </c>
      <c r="J23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36" s="22"/>
      <c r="L236" s="23"/>
      <c r="M236" s="23">
        <f>SUM(Tabela1746810121422303226816192527313336242101214161824262830384024810121416202226283032343624268101214246101224262442626282626810262862366[[#This Row],[Saldo no cartão]:[Recarga Pendente]])</f>
        <v>0</v>
      </c>
      <c r="N236" s="19">
        <f>Tabela1746810121422303226816192527313336242101214161824262830384024810121416202226283032343624268101214246101224262442626282626810262862366[[#This Row],[Uso diário]]*2</f>
        <v>26.8</v>
      </c>
      <c r="O236" s="19">
        <f>Tabela1746810121422303226816192527313336242101214161824262830384024810121416202226283032343624268101214246101224262442626282626810262862366[[#This Row],[Total Acumulado]]-P236</f>
        <v>-67</v>
      </c>
      <c r="P236" s="48">
        <f>Tabela1746810121422303226816192527313336242101214161824262830384024810121416202226283032343624268101214246101224262442626282626810262862366[[#This Row],[Uso diário]]*5</f>
        <v>67</v>
      </c>
      <c r="Q23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3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6" s="25">
        <v>1</v>
      </c>
    </row>
    <row r="237" spans="1:20" s="26" customFormat="1" x14ac:dyDescent="0.25">
      <c r="A237" s="16">
        <v>234760</v>
      </c>
      <c r="B237" s="30" t="s">
        <v>1345</v>
      </c>
      <c r="C237" s="20" t="s">
        <v>640</v>
      </c>
      <c r="D237" s="20" t="s">
        <v>701</v>
      </c>
      <c r="E237" s="20" t="s">
        <v>2007</v>
      </c>
      <c r="F237" s="20" t="s">
        <v>2008</v>
      </c>
      <c r="G237" s="21">
        <v>18.8</v>
      </c>
      <c r="H237" s="16">
        <v>5</v>
      </c>
      <c r="I237" s="16"/>
      <c r="J23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94</v>
      </c>
      <c r="K237" s="22"/>
      <c r="L237" s="23"/>
      <c r="M237" s="23">
        <f>SUM(Tabela1746810121422303226816192527313336242101214161824262830384024810121416202226283032343624268101214246101224262442626282626810262862366[[#This Row],[Saldo no cartão]:[Recarga Pendente]])</f>
        <v>0</v>
      </c>
      <c r="N237" s="19">
        <f>Tabela1746810121422303226816192527313336242101214161824262830384024810121416202226283032343624268101214246101224262442626282626810262862366[[#This Row],[Uso diário]]*2</f>
        <v>37.6</v>
      </c>
      <c r="O237" s="19">
        <f>Tabela1746810121422303226816192527313336242101214161824262830384024810121416202226283032343624268101214246101224262442626282626810262862366[[#This Row],[Total Acumulado]]-P237</f>
        <v>-94</v>
      </c>
      <c r="P237" s="48">
        <f>Tabela1746810121422303226816192527313336242101214161824262830384024810121416202226283032343624268101214246101224262442626282626810262862366[[#This Row],[Uso diário]]*5</f>
        <v>94</v>
      </c>
      <c r="Q23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94</v>
      </c>
      <c r="S23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7" s="25">
        <v>1</v>
      </c>
    </row>
    <row r="238" spans="1:20" s="26" customFormat="1" x14ac:dyDescent="0.25">
      <c r="A238" s="16">
        <v>234893</v>
      </c>
      <c r="B238" s="30" t="s">
        <v>1415</v>
      </c>
      <c r="C238" s="20" t="s">
        <v>640</v>
      </c>
      <c r="D238" s="20" t="s">
        <v>701</v>
      </c>
      <c r="E238" s="20" t="s">
        <v>2009</v>
      </c>
      <c r="F238" s="20" t="s">
        <v>2010</v>
      </c>
      <c r="G238" s="21">
        <v>18.8</v>
      </c>
      <c r="H238" s="16">
        <v>26</v>
      </c>
      <c r="I238" s="16"/>
      <c r="J23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38" s="22"/>
      <c r="L238" s="23">
        <v>94</v>
      </c>
      <c r="M238" s="23">
        <f>SUM(Tabela1746810121422303226816192527313336242101214161824262830384024810121416202226283032343624268101214246101224262442626282626810262862366[[#This Row],[Saldo no cartão]:[Recarga Pendente]])</f>
        <v>94</v>
      </c>
      <c r="N238" s="19">
        <f>Tabela1746810121422303226816192527313336242101214161824262830384024810121416202226283032343624268101214246101224262442626282626810262862366[[#This Row],[Uso diário]]*2</f>
        <v>37.6</v>
      </c>
      <c r="O238" s="19">
        <f>Tabela1746810121422303226816192527313336242101214161824262830384024810121416202226283032343624268101214246101224262442626282626810262862366[[#This Row],[Total Acumulado]]-P238</f>
        <v>0</v>
      </c>
      <c r="P238" s="48">
        <f>Tabela1746810121422303226816192527313336242101214161824262830384024810121416202226283032343624268101214246101224262442626282626810262862366[[#This Row],[Uso diário]]*5</f>
        <v>94</v>
      </c>
      <c r="Q23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3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8" s="25">
        <v>1</v>
      </c>
    </row>
    <row r="239" spans="1:20" s="26" customFormat="1" x14ac:dyDescent="0.25">
      <c r="A239" s="16">
        <v>224996</v>
      </c>
      <c r="B239" s="30" t="s">
        <v>172</v>
      </c>
      <c r="C239" s="20" t="s">
        <v>1124</v>
      </c>
      <c r="D239" s="20" t="s">
        <v>1127</v>
      </c>
      <c r="E239" s="20" t="s">
        <v>2011</v>
      </c>
      <c r="F239" s="20" t="s">
        <v>2012</v>
      </c>
      <c r="G239" s="21">
        <v>18.8</v>
      </c>
      <c r="H239" s="16">
        <v>26</v>
      </c>
      <c r="I239" s="16"/>
      <c r="J23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39" s="22"/>
      <c r="L239" s="23"/>
      <c r="M239" s="23">
        <f>SUM(Tabela1746810121422303226816192527313336242101214161824262830384024810121416202226283032343624268101214246101224262442626282626810262862366[[#This Row],[Saldo no cartão]:[Recarga Pendente]])</f>
        <v>0</v>
      </c>
      <c r="N239" s="19">
        <f>Tabela1746810121422303226816192527313336242101214161824262830384024810121416202226283032343624268101214246101224262442626282626810262862366[[#This Row],[Uso diário]]*2</f>
        <v>37.6</v>
      </c>
      <c r="O239" s="19">
        <f>Tabela1746810121422303226816192527313336242101214161824262830384024810121416202226283032343624268101214246101224262442626282626810262862366[[#This Row],[Total Acumulado]]-P239</f>
        <v>-94</v>
      </c>
      <c r="P239" s="48">
        <f>Tabela1746810121422303226816192527313336242101214161824262830384024810121416202226283032343624268101214246101224262442626282626810262862366[[#This Row],[Uso diário]]*5</f>
        <v>94</v>
      </c>
      <c r="Q23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3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3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39" s="25">
        <v>1</v>
      </c>
    </row>
    <row r="240" spans="1:20" s="26" customFormat="1" x14ac:dyDescent="0.25">
      <c r="A240" s="16">
        <v>205832</v>
      </c>
      <c r="B240" s="30" t="s">
        <v>150</v>
      </c>
      <c r="C240" s="20" t="s">
        <v>641</v>
      </c>
      <c r="D240" s="20" t="s">
        <v>705</v>
      </c>
      <c r="E240" s="20" t="s">
        <v>2013</v>
      </c>
      <c r="F240" s="20" t="s">
        <v>2014</v>
      </c>
      <c r="G240" s="21">
        <v>18.8</v>
      </c>
      <c r="H240" s="16">
        <v>26</v>
      </c>
      <c r="I240" s="16">
        <v>2</v>
      </c>
      <c r="J24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40" s="22"/>
      <c r="L240" s="23">
        <v>37.6</v>
      </c>
      <c r="M240" s="23">
        <f>SUM(Tabela1746810121422303226816192527313336242101214161824262830384024810121416202226283032343624268101214246101224262442626282626810262862366[[#This Row],[Saldo no cartão]:[Recarga Pendente]])</f>
        <v>37.6</v>
      </c>
      <c r="N240" s="19">
        <f>Tabela1746810121422303226816192527313336242101214161824262830384024810121416202226283032343624268101214246101224262442626282626810262862366[[#This Row],[Uso diário]]*2</f>
        <v>37.6</v>
      </c>
      <c r="O240" s="19">
        <f>Tabela1746810121422303226816192527313336242101214161824262830384024810121416202226283032343624268101214246101224262442626282626810262862366[[#This Row],[Total Acumulado]]-P240</f>
        <v>-56.4</v>
      </c>
      <c r="P240" s="48">
        <f>Tabela1746810121422303226816192527313336242101214161824262830384024810121416202226283032343624268101214246101224262442626282626810262862366[[#This Row],[Uso diário]]*5</f>
        <v>94</v>
      </c>
      <c r="Q24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4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0" s="25">
        <v>1</v>
      </c>
    </row>
    <row r="241" spans="1:20" s="26" customFormat="1" x14ac:dyDescent="0.25">
      <c r="A241" s="16">
        <v>213247</v>
      </c>
      <c r="B241" s="30" t="s">
        <v>151</v>
      </c>
      <c r="C241" s="20" t="s">
        <v>641</v>
      </c>
      <c r="D241" s="20" t="s">
        <v>705</v>
      </c>
      <c r="E241" s="20" t="s">
        <v>2015</v>
      </c>
      <c r="F241" s="20" t="s">
        <v>2016</v>
      </c>
      <c r="G241" s="21">
        <v>18.8</v>
      </c>
      <c r="H241" s="16">
        <v>26</v>
      </c>
      <c r="I241" s="16"/>
      <c r="J24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41" s="22"/>
      <c r="L241" s="23"/>
      <c r="M241" s="23">
        <f>SUM(Tabela1746810121422303226816192527313336242101214161824262830384024810121416202226283032343624268101214246101224262442626282626810262862366[[#This Row],[Saldo no cartão]:[Recarga Pendente]])</f>
        <v>0</v>
      </c>
      <c r="N241" s="19">
        <f>Tabela1746810121422303226816192527313336242101214161824262830384024810121416202226283032343624268101214246101224262442626282626810262862366[[#This Row],[Uso diário]]*2</f>
        <v>37.6</v>
      </c>
      <c r="O241" s="19">
        <f>Tabela1746810121422303226816192527313336242101214161824262830384024810121416202226283032343624268101214246101224262442626282626810262862366[[#This Row],[Total Acumulado]]-P241</f>
        <v>-94</v>
      </c>
      <c r="P241" s="48">
        <f>Tabela1746810121422303226816192527313336242101214161824262830384024810121416202226283032343624268101214246101224262442626282626810262862366[[#This Row],[Uso diário]]*5</f>
        <v>94</v>
      </c>
      <c r="Q24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4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1" s="25">
        <v>1</v>
      </c>
    </row>
    <row r="242" spans="1:20" s="26" customFormat="1" x14ac:dyDescent="0.25">
      <c r="A242" s="16">
        <v>213358</v>
      </c>
      <c r="B242" s="30" t="s">
        <v>152</v>
      </c>
      <c r="C242" s="20" t="s">
        <v>641</v>
      </c>
      <c r="D242" s="20" t="s">
        <v>704</v>
      </c>
      <c r="E242" s="20" t="s">
        <v>2017</v>
      </c>
      <c r="F242" s="20" t="s">
        <v>2018</v>
      </c>
      <c r="G242" s="21">
        <v>18.8</v>
      </c>
      <c r="H242" s="16">
        <v>26</v>
      </c>
      <c r="I242" s="16">
        <v>2</v>
      </c>
      <c r="J24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42" s="22"/>
      <c r="L242" s="23">
        <v>18.8</v>
      </c>
      <c r="M242" s="23">
        <f>SUM(Tabela1746810121422303226816192527313336242101214161824262830384024810121416202226283032343624268101214246101224262442626282626810262862366[[#This Row],[Saldo no cartão]:[Recarga Pendente]])</f>
        <v>18.8</v>
      </c>
      <c r="N242" s="19">
        <f>Tabela1746810121422303226816192527313336242101214161824262830384024810121416202226283032343624268101214246101224262442626282626810262862366[[#This Row],[Uso diário]]*2</f>
        <v>37.6</v>
      </c>
      <c r="O242" s="19">
        <f>Tabela1746810121422303226816192527313336242101214161824262830384024810121416202226283032343624268101214246101224262442626282626810262862366[[#This Row],[Total Acumulado]]-P242</f>
        <v>-75.2</v>
      </c>
      <c r="P242" s="48">
        <f>Tabela1746810121422303226816192527313336242101214161824262830384024810121416202226283032343624268101214246101224262442626282626810262862366[[#This Row],[Uso diário]]*5</f>
        <v>94</v>
      </c>
      <c r="Q24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4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2" s="25">
        <v>1</v>
      </c>
    </row>
    <row r="243" spans="1:20" s="26" customFormat="1" x14ac:dyDescent="0.25">
      <c r="A243" s="16">
        <v>215659</v>
      </c>
      <c r="B243" s="30" t="s">
        <v>153</v>
      </c>
      <c r="C243" s="20" t="s">
        <v>641</v>
      </c>
      <c r="D243" s="20" t="s">
        <v>705</v>
      </c>
      <c r="E243" s="20" t="s">
        <v>2019</v>
      </c>
      <c r="F243" s="20" t="s">
        <v>2020</v>
      </c>
      <c r="G243" s="21">
        <v>18.8</v>
      </c>
      <c r="H243" s="16">
        <v>26</v>
      </c>
      <c r="I243" s="16">
        <v>2</v>
      </c>
      <c r="J24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43" s="22"/>
      <c r="L243" s="23">
        <v>18.8</v>
      </c>
      <c r="M243" s="23">
        <f>SUM(Tabela1746810121422303226816192527313336242101214161824262830384024810121416202226283032343624268101214246101224262442626282626810262862366[[#This Row],[Saldo no cartão]:[Recarga Pendente]])</f>
        <v>18.8</v>
      </c>
      <c r="N243" s="19">
        <f>Tabela1746810121422303226816192527313336242101214161824262830384024810121416202226283032343624268101214246101224262442626282626810262862366[[#This Row],[Uso diário]]*2</f>
        <v>37.6</v>
      </c>
      <c r="O243" s="19">
        <f>Tabela1746810121422303226816192527313336242101214161824262830384024810121416202226283032343624268101214246101224262442626282626810262862366[[#This Row],[Total Acumulado]]-P243</f>
        <v>-75.2</v>
      </c>
      <c r="P243" s="48">
        <f>Tabela1746810121422303226816192527313336242101214161824262830384024810121416202226283032343624268101214246101224262442626282626810262862366[[#This Row],[Uso diário]]*5</f>
        <v>94</v>
      </c>
      <c r="Q24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4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3" s="25">
        <v>1</v>
      </c>
    </row>
    <row r="244" spans="1:20" s="26" customFormat="1" x14ac:dyDescent="0.25">
      <c r="A244" s="16">
        <v>218149</v>
      </c>
      <c r="B244" s="30" t="s">
        <v>1152</v>
      </c>
      <c r="C244" s="20" t="s">
        <v>641</v>
      </c>
      <c r="D244" s="20" t="s">
        <v>705</v>
      </c>
      <c r="E244" s="20" t="s">
        <v>2021</v>
      </c>
      <c r="F244" s="20" t="s">
        <v>2022</v>
      </c>
      <c r="G244" s="21">
        <v>18.8</v>
      </c>
      <c r="H244" s="16">
        <v>26</v>
      </c>
      <c r="I244" s="16">
        <v>2</v>
      </c>
      <c r="J24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44" s="22"/>
      <c r="L244" s="23">
        <v>18.8</v>
      </c>
      <c r="M244" s="23">
        <f>SUM(Tabela1746810121422303226816192527313336242101214161824262830384024810121416202226283032343624268101214246101224262442626282626810262862366[[#This Row],[Saldo no cartão]:[Recarga Pendente]])</f>
        <v>18.8</v>
      </c>
      <c r="N244" s="19">
        <f>Tabela1746810121422303226816192527313336242101214161824262830384024810121416202226283032343624268101214246101224262442626282626810262862366[[#This Row],[Uso diário]]*2</f>
        <v>37.6</v>
      </c>
      <c r="O244" s="19">
        <f>Tabela1746810121422303226816192527313336242101214161824262830384024810121416202226283032343624268101214246101224262442626282626810262862366[[#This Row],[Total Acumulado]]-P244</f>
        <v>-75.2</v>
      </c>
      <c r="P244" s="48">
        <f>Tabela1746810121422303226816192527313336242101214161824262830384024810121416202226283032343624268101214246101224262442626282626810262862366[[#This Row],[Uso diário]]*5</f>
        <v>94</v>
      </c>
      <c r="Q24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4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4" s="25">
        <v>1</v>
      </c>
    </row>
    <row r="245" spans="1:20" s="26" customFormat="1" x14ac:dyDescent="0.25">
      <c r="A245" s="16">
        <v>218151</v>
      </c>
      <c r="B245" s="30" t="s">
        <v>154</v>
      </c>
      <c r="C245" s="20" t="s">
        <v>641</v>
      </c>
      <c r="D245" s="20" t="s">
        <v>705</v>
      </c>
      <c r="E245" s="20" t="s">
        <v>2023</v>
      </c>
      <c r="F245" s="20" t="s">
        <v>2024</v>
      </c>
      <c r="G245" s="21">
        <v>13.4</v>
      </c>
      <c r="H245" s="16">
        <v>26</v>
      </c>
      <c r="I245" s="16">
        <v>1</v>
      </c>
      <c r="J24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335</v>
      </c>
      <c r="K245" s="22"/>
      <c r="L245" s="23"/>
      <c r="M245" s="23">
        <f>SUM(Tabela1746810121422303226816192527313336242101214161824262830384024810121416202226283032343624268101214246101224262442626282626810262862366[[#This Row],[Saldo no cartão]:[Recarga Pendente]])</f>
        <v>0</v>
      </c>
      <c r="N245" s="19">
        <f>Tabela1746810121422303226816192527313336242101214161824262830384024810121416202226283032343624268101214246101224262442626282626810262862366[[#This Row],[Uso diário]]*2</f>
        <v>26.8</v>
      </c>
      <c r="O245" s="19">
        <f>Tabela1746810121422303226816192527313336242101214161824262830384024810121416202226283032343624268101214246101224262442626282626810262862366[[#This Row],[Total Acumulado]]-P245</f>
        <v>-67</v>
      </c>
      <c r="P245" s="48">
        <f>Tabela1746810121422303226816192527313336242101214161824262830384024810121416202226283032343624268101214246101224262442626282626810262862366[[#This Row],[Uso diário]]*5</f>
        <v>67</v>
      </c>
      <c r="Q24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335</v>
      </c>
      <c r="S24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5" s="25">
        <v>1</v>
      </c>
    </row>
    <row r="246" spans="1:20" s="26" customFormat="1" x14ac:dyDescent="0.25">
      <c r="A246" s="16">
        <v>218373</v>
      </c>
      <c r="B246" s="30" t="s">
        <v>1416</v>
      </c>
      <c r="C246" s="20" t="s">
        <v>641</v>
      </c>
      <c r="D246" s="20" t="s">
        <v>704</v>
      </c>
      <c r="E246" s="20" t="s">
        <v>2025</v>
      </c>
      <c r="F246" s="20" t="s">
        <v>2026</v>
      </c>
      <c r="G246" s="21">
        <v>18.8</v>
      </c>
      <c r="H246" s="16">
        <v>26</v>
      </c>
      <c r="I246" s="16"/>
      <c r="J24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46" s="22"/>
      <c r="L246" s="23"/>
      <c r="M246" s="23">
        <f>SUM(Tabela1746810121422303226816192527313336242101214161824262830384024810121416202226283032343624268101214246101224262442626282626810262862366[[#This Row],[Saldo no cartão]:[Recarga Pendente]])</f>
        <v>0</v>
      </c>
      <c r="N246" s="19">
        <f>Tabela1746810121422303226816192527313336242101214161824262830384024810121416202226283032343624268101214246101224262442626282626810262862366[[#This Row],[Uso diário]]*2</f>
        <v>37.6</v>
      </c>
      <c r="O246" s="19">
        <f>Tabela1746810121422303226816192527313336242101214161824262830384024810121416202226283032343624268101214246101224262442626282626810262862366[[#This Row],[Total Acumulado]]-P246</f>
        <v>-94</v>
      </c>
      <c r="P246" s="48">
        <f>Tabela1746810121422303226816192527313336242101214161824262830384024810121416202226283032343624268101214246101224262442626282626810262862366[[#This Row],[Uso diário]]*5</f>
        <v>94</v>
      </c>
      <c r="Q24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4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6" s="25">
        <v>1</v>
      </c>
    </row>
    <row r="247" spans="1:20" s="26" customFormat="1" x14ac:dyDescent="0.25">
      <c r="A247" s="16">
        <v>219187</v>
      </c>
      <c r="B247" s="30" t="s">
        <v>170</v>
      </c>
      <c r="C247" s="20" t="s">
        <v>641</v>
      </c>
      <c r="D247" s="20" t="s">
        <v>704</v>
      </c>
      <c r="E247" s="20" t="s">
        <v>2027</v>
      </c>
      <c r="F247" s="20" t="s">
        <v>2028</v>
      </c>
      <c r="G247" s="21">
        <v>18.8</v>
      </c>
      <c r="H247" s="16">
        <v>26</v>
      </c>
      <c r="I247" s="16">
        <v>3</v>
      </c>
      <c r="J24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432.40000000000003</v>
      </c>
      <c r="K247" s="22"/>
      <c r="L247" s="23"/>
      <c r="M247" s="23">
        <f>SUM(Tabela1746810121422303226816192527313336242101214161824262830384024810121416202226283032343624268101214246101224262442626282626810262862366[[#This Row],[Saldo no cartão]:[Recarga Pendente]])</f>
        <v>0</v>
      </c>
      <c r="N247" s="19">
        <f>Tabela1746810121422303226816192527313336242101214161824262830384024810121416202226283032343624268101214246101224262442626282626810262862366[[#This Row],[Uso diário]]*2</f>
        <v>37.6</v>
      </c>
      <c r="O247" s="19">
        <f>Tabela1746810121422303226816192527313336242101214161824262830384024810121416202226283032343624268101214246101224262442626282626810262862366[[#This Row],[Total Acumulado]]-P247</f>
        <v>-94</v>
      </c>
      <c r="P247" s="48">
        <f>Tabela1746810121422303226816192527313336242101214161824262830384024810121416202226283032343624268101214246101224262442626282626810262862366[[#This Row],[Uso diário]]*5</f>
        <v>94</v>
      </c>
      <c r="Q24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432.40000000000003</v>
      </c>
      <c r="S24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7" s="25">
        <v>1</v>
      </c>
    </row>
    <row r="248" spans="1:20" s="26" customFormat="1" x14ac:dyDescent="0.25">
      <c r="A248" s="16">
        <v>219273</v>
      </c>
      <c r="B248" s="30" t="s">
        <v>155</v>
      </c>
      <c r="C248" s="20" t="s">
        <v>641</v>
      </c>
      <c r="D248" s="20" t="s">
        <v>705</v>
      </c>
      <c r="E248" s="20" t="s">
        <v>2029</v>
      </c>
      <c r="F248" s="20" t="s">
        <v>2030</v>
      </c>
      <c r="G248" s="21">
        <v>18.8</v>
      </c>
      <c r="H248" s="16">
        <v>26</v>
      </c>
      <c r="I248" s="16">
        <v>2</v>
      </c>
      <c r="J24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48" s="22"/>
      <c r="L248" s="23">
        <v>37.6</v>
      </c>
      <c r="M248" s="23">
        <f>SUM(Tabela1746810121422303226816192527313336242101214161824262830384024810121416202226283032343624268101214246101224262442626282626810262862366[[#This Row],[Saldo no cartão]:[Recarga Pendente]])</f>
        <v>37.6</v>
      </c>
      <c r="N248" s="19">
        <f>Tabela1746810121422303226816192527313336242101214161824262830384024810121416202226283032343624268101214246101224262442626282626810262862366[[#This Row],[Uso diário]]*2</f>
        <v>37.6</v>
      </c>
      <c r="O248" s="19">
        <f>Tabela1746810121422303226816192527313336242101214161824262830384024810121416202226283032343624268101214246101224262442626282626810262862366[[#This Row],[Total Acumulado]]-P248</f>
        <v>-56.4</v>
      </c>
      <c r="P248" s="48">
        <f>Tabela1746810121422303226816192527313336242101214161824262830384024810121416202226283032343624268101214246101224262442626282626810262862366[[#This Row],[Uso diário]]*5</f>
        <v>94</v>
      </c>
      <c r="Q24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4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8" s="25">
        <v>1</v>
      </c>
    </row>
    <row r="249" spans="1:20" s="26" customFormat="1" x14ac:dyDescent="0.25">
      <c r="A249" s="16">
        <v>220950</v>
      </c>
      <c r="B249" s="30" t="s">
        <v>61</v>
      </c>
      <c r="C249" s="20" t="s">
        <v>641</v>
      </c>
      <c r="D249" s="20" t="s">
        <v>704</v>
      </c>
      <c r="E249" s="20" t="s">
        <v>2031</v>
      </c>
      <c r="F249" s="20" t="s">
        <v>2032</v>
      </c>
      <c r="G249" s="21">
        <v>13.4</v>
      </c>
      <c r="H249" s="16">
        <v>26</v>
      </c>
      <c r="I249" s="16">
        <v>1</v>
      </c>
      <c r="J24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335</v>
      </c>
      <c r="K249" s="22"/>
      <c r="L249" s="23">
        <v>13.4</v>
      </c>
      <c r="M249" s="23">
        <f>SUM(Tabela1746810121422303226816192527313336242101214161824262830384024810121416202226283032343624268101214246101224262442626282626810262862366[[#This Row],[Saldo no cartão]:[Recarga Pendente]])</f>
        <v>13.4</v>
      </c>
      <c r="N249" s="19">
        <f>Tabela1746810121422303226816192527313336242101214161824262830384024810121416202226283032343624268101214246101224262442626282626810262862366[[#This Row],[Uso diário]]*2</f>
        <v>26.8</v>
      </c>
      <c r="O249" s="19">
        <f>Tabela1746810121422303226816192527313336242101214161824262830384024810121416202226283032343624268101214246101224262442626282626810262862366[[#This Row],[Total Acumulado]]-P249</f>
        <v>-53.6</v>
      </c>
      <c r="P249" s="48">
        <f>Tabela1746810121422303226816192527313336242101214161824262830384024810121416202226283032343624268101214246101224262442626282626810262862366[[#This Row],[Uso diário]]*5</f>
        <v>67</v>
      </c>
      <c r="Q24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4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335</v>
      </c>
      <c r="S24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49" s="25">
        <v>1</v>
      </c>
    </row>
    <row r="250" spans="1:20" s="26" customFormat="1" x14ac:dyDescent="0.25">
      <c r="A250" s="16">
        <v>221946</v>
      </c>
      <c r="B250" s="30" t="s">
        <v>156</v>
      </c>
      <c r="C250" s="20" t="s">
        <v>641</v>
      </c>
      <c r="D250" s="20" t="s">
        <v>704</v>
      </c>
      <c r="E250" s="20" t="s">
        <v>2033</v>
      </c>
      <c r="F250" s="20" t="s">
        <v>2034</v>
      </c>
      <c r="G250" s="21">
        <v>18.8</v>
      </c>
      <c r="H250" s="16">
        <v>26</v>
      </c>
      <c r="I250" s="16">
        <v>5</v>
      </c>
      <c r="J25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250" s="22"/>
      <c r="L250" s="23"/>
      <c r="M250" s="23">
        <f>SUM(Tabela1746810121422303226816192527313336242101214161824262830384024810121416202226283032343624268101214246101224262442626282626810262862366[[#This Row],[Saldo no cartão]:[Recarga Pendente]])</f>
        <v>0</v>
      </c>
      <c r="N250" s="19">
        <f>Tabela1746810121422303226816192527313336242101214161824262830384024810121416202226283032343624268101214246101224262442626282626810262862366[[#This Row],[Uso diário]]*2</f>
        <v>37.6</v>
      </c>
      <c r="O250" s="19">
        <f>Tabela1746810121422303226816192527313336242101214161824262830384024810121416202226283032343624268101214246101224262442626282626810262862366[[#This Row],[Total Acumulado]]-P250</f>
        <v>-94</v>
      </c>
      <c r="P250" s="48">
        <f>Tabela1746810121422303226816192527313336242101214161824262830384024810121416202226283032343624268101214246101224262442626282626810262862366[[#This Row],[Uso diário]]*5</f>
        <v>94</v>
      </c>
      <c r="Q25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25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0" s="25">
        <v>1</v>
      </c>
    </row>
    <row r="251" spans="1:20" s="26" customFormat="1" x14ac:dyDescent="0.25">
      <c r="A251" s="16">
        <v>222231</v>
      </c>
      <c r="B251" s="30" t="s">
        <v>1417</v>
      </c>
      <c r="C251" s="20" t="s">
        <v>641</v>
      </c>
      <c r="D251" s="20" t="s">
        <v>705</v>
      </c>
      <c r="E251" s="20" t="s">
        <v>2035</v>
      </c>
      <c r="F251" s="20" t="s">
        <v>2036</v>
      </c>
      <c r="G251" s="21">
        <v>18.8</v>
      </c>
      <c r="H251" s="16">
        <v>26</v>
      </c>
      <c r="I251" s="16">
        <v>1</v>
      </c>
      <c r="J25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51" s="22"/>
      <c r="L251" s="23">
        <v>37.6</v>
      </c>
      <c r="M251" s="23">
        <f>SUM(Tabela1746810121422303226816192527313336242101214161824262830384024810121416202226283032343624268101214246101224262442626282626810262862366[[#This Row],[Saldo no cartão]:[Recarga Pendente]])</f>
        <v>37.6</v>
      </c>
      <c r="N251" s="19">
        <f>Tabela1746810121422303226816192527313336242101214161824262830384024810121416202226283032343624268101214246101224262442626282626810262862366[[#This Row],[Uso diário]]*2</f>
        <v>37.6</v>
      </c>
      <c r="O251" s="19">
        <f>Tabela1746810121422303226816192527313336242101214161824262830384024810121416202226283032343624268101214246101224262442626282626810262862366[[#This Row],[Total Acumulado]]-P251</f>
        <v>-56.4</v>
      </c>
      <c r="P251" s="48">
        <f>Tabela1746810121422303226816192527313336242101214161824262830384024810121416202226283032343624268101214246101224262442626282626810262862366[[#This Row],[Uso diário]]*5</f>
        <v>94</v>
      </c>
      <c r="Q25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5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1" s="25">
        <v>1</v>
      </c>
    </row>
    <row r="252" spans="1:20" s="26" customFormat="1" x14ac:dyDescent="0.25">
      <c r="A252" s="16">
        <v>222718</v>
      </c>
      <c r="B252" s="30" t="s">
        <v>1153</v>
      </c>
      <c r="C252" s="20" t="s">
        <v>641</v>
      </c>
      <c r="D252" s="20" t="s">
        <v>705</v>
      </c>
      <c r="E252" s="20" t="s">
        <v>2037</v>
      </c>
      <c r="F252" s="20" t="s">
        <v>2038</v>
      </c>
      <c r="G252" s="21">
        <v>18.8</v>
      </c>
      <c r="H252" s="16">
        <v>26</v>
      </c>
      <c r="I252" s="16">
        <v>2</v>
      </c>
      <c r="J25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451.20000000000005</v>
      </c>
      <c r="K252" s="22"/>
      <c r="L252" s="23">
        <v>56.4</v>
      </c>
      <c r="M252" s="23">
        <f>SUM(Tabela1746810121422303226816192527313336242101214161824262830384024810121416202226283032343624268101214246101224262442626282626810262862366[[#This Row],[Saldo no cartão]:[Recarga Pendente]])</f>
        <v>56.4</v>
      </c>
      <c r="N252" s="19">
        <f>Tabela1746810121422303226816192527313336242101214161824262830384024810121416202226283032343624268101214246101224262442626282626810262862366[[#This Row],[Uso diário]]*2</f>
        <v>37.6</v>
      </c>
      <c r="O252" s="19">
        <f>Tabela1746810121422303226816192527313336242101214161824262830384024810121416202226283032343624268101214246101224262442626282626810262862366[[#This Row],[Total Acumulado]]-P252</f>
        <v>-37.6</v>
      </c>
      <c r="P252" s="48">
        <f>Tabela1746810121422303226816192527313336242101214161824262830384024810121416202226283032343624268101214246101224262442626282626810262862366[[#This Row],[Uso diário]]*5</f>
        <v>94</v>
      </c>
      <c r="Q25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451.20000000000005</v>
      </c>
      <c r="S25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2" s="25">
        <v>1</v>
      </c>
    </row>
    <row r="253" spans="1:20" s="26" customFormat="1" x14ac:dyDescent="0.25">
      <c r="A253" s="16">
        <v>223048</v>
      </c>
      <c r="B253" s="30" t="s">
        <v>157</v>
      </c>
      <c r="C253" s="20" t="s">
        <v>641</v>
      </c>
      <c r="D253" s="20" t="s">
        <v>705</v>
      </c>
      <c r="E253" s="20" t="s">
        <v>2039</v>
      </c>
      <c r="F253" s="20" t="s">
        <v>2040</v>
      </c>
      <c r="G253" s="21">
        <v>18.8</v>
      </c>
      <c r="H253" s="16">
        <v>26</v>
      </c>
      <c r="I253" s="16">
        <v>1</v>
      </c>
      <c r="J25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53" s="22"/>
      <c r="L253" s="23">
        <v>18.8</v>
      </c>
      <c r="M253" s="23">
        <f>SUM(Tabela1746810121422303226816192527313336242101214161824262830384024810121416202226283032343624268101214246101224262442626282626810262862366[[#This Row],[Saldo no cartão]:[Recarga Pendente]])</f>
        <v>18.8</v>
      </c>
      <c r="N253" s="19">
        <f>Tabela1746810121422303226816192527313336242101214161824262830384024810121416202226283032343624268101214246101224262442626282626810262862366[[#This Row],[Uso diário]]*2</f>
        <v>37.6</v>
      </c>
      <c r="O253" s="19">
        <f>Tabela1746810121422303226816192527313336242101214161824262830384024810121416202226283032343624268101214246101224262442626282626810262862366[[#This Row],[Total Acumulado]]-P253</f>
        <v>-75.2</v>
      </c>
      <c r="P253" s="48">
        <f>Tabela1746810121422303226816192527313336242101214161824262830384024810121416202226283032343624268101214246101224262442626282626810262862366[[#This Row],[Uso diário]]*5</f>
        <v>94</v>
      </c>
      <c r="Q25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5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3" s="25">
        <v>1</v>
      </c>
    </row>
    <row r="254" spans="1:20" s="26" customFormat="1" x14ac:dyDescent="0.25">
      <c r="A254" s="16">
        <v>223715</v>
      </c>
      <c r="B254" s="30" t="s">
        <v>158</v>
      </c>
      <c r="C254" s="20" t="s">
        <v>641</v>
      </c>
      <c r="D254" s="20" t="s">
        <v>705</v>
      </c>
      <c r="E254" s="20" t="s">
        <v>2041</v>
      </c>
      <c r="F254" s="20" t="s">
        <v>2042</v>
      </c>
      <c r="G254" s="21">
        <v>18.8</v>
      </c>
      <c r="H254" s="16">
        <v>26</v>
      </c>
      <c r="I254" s="16">
        <v>1</v>
      </c>
      <c r="J25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54" s="22"/>
      <c r="L254" s="23"/>
      <c r="M254" s="23">
        <f>SUM(Tabela1746810121422303226816192527313336242101214161824262830384024810121416202226283032343624268101214246101224262442626282626810262862366[[#This Row],[Saldo no cartão]:[Recarga Pendente]])</f>
        <v>0</v>
      </c>
      <c r="N254" s="19">
        <f>Tabela1746810121422303226816192527313336242101214161824262830384024810121416202226283032343624268101214246101224262442626282626810262862366[[#This Row],[Uso diário]]*2</f>
        <v>37.6</v>
      </c>
      <c r="O254" s="19">
        <f>Tabela1746810121422303226816192527313336242101214161824262830384024810121416202226283032343624268101214246101224262442626282626810262862366[[#This Row],[Total Acumulado]]-P254</f>
        <v>-94</v>
      </c>
      <c r="P254" s="48">
        <f>Tabela1746810121422303226816192527313336242101214161824262830384024810121416202226283032343624268101214246101224262442626282626810262862366[[#This Row],[Uso diário]]*5</f>
        <v>94</v>
      </c>
      <c r="Q25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5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4" s="25">
        <v>1</v>
      </c>
    </row>
    <row r="255" spans="1:20" s="26" customFormat="1" x14ac:dyDescent="0.25">
      <c r="A255" s="16">
        <v>223935</v>
      </c>
      <c r="B255" s="30" t="s">
        <v>159</v>
      </c>
      <c r="C255" s="20" t="s">
        <v>641</v>
      </c>
      <c r="D255" s="20" t="s">
        <v>705</v>
      </c>
      <c r="E255" s="20" t="s">
        <v>2043</v>
      </c>
      <c r="F255" s="20" t="s">
        <v>2044</v>
      </c>
      <c r="G255" s="21">
        <v>18.8</v>
      </c>
      <c r="H255" s="16">
        <v>26</v>
      </c>
      <c r="I255" s="16">
        <v>1</v>
      </c>
      <c r="J25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55" s="22"/>
      <c r="L255" s="23"/>
      <c r="M255" s="23">
        <f>SUM(Tabela1746810121422303226816192527313336242101214161824262830384024810121416202226283032343624268101214246101224262442626282626810262862366[[#This Row],[Saldo no cartão]:[Recarga Pendente]])</f>
        <v>0</v>
      </c>
      <c r="N255" s="19">
        <f>Tabela1746810121422303226816192527313336242101214161824262830384024810121416202226283032343624268101214246101224262442626282626810262862366[[#This Row],[Uso diário]]*2</f>
        <v>37.6</v>
      </c>
      <c r="O255" s="19">
        <f>Tabela1746810121422303226816192527313336242101214161824262830384024810121416202226283032343624268101214246101224262442626282626810262862366[[#This Row],[Total Acumulado]]-P255</f>
        <v>-94</v>
      </c>
      <c r="P255" s="48">
        <f>Tabela1746810121422303226816192527313336242101214161824262830384024810121416202226283032343624268101214246101224262442626282626810262862366[[#This Row],[Uso diário]]*5</f>
        <v>94</v>
      </c>
      <c r="Q25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5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5" s="25">
        <v>1</v>
      </c>
    </row>
    <row r="256" spans="1:20" s="26" customFormat="1" x14ac:dyDescent="0.25">
      <c r="A256" s="16">
        <v>226381</v>
      </c>
      <c r="B256" s="30" t="s">
        <v>160</v>
      </c>
      <c r="C256" s="20" t="s">
        <v>641</v>
      </c>
      <c r="D256" s="20" t="s">
        <v>704</v>
      </c>
      <c r="E256" s="20" t="s">
        <v>2045</v>
      </c>
      <c r="F256" s="20" t="s">
        <v>2046</v>
      </c>
      <c r="G256" s="21">
        <v>10</v>
      </c>
      <c r="H256" s="16">
        <v>26</v>
      </c>
      <c r="I256" s="16">
        <v>1</v>
      </c>
      <c r="J25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250</v>
      </c>
      <c r="K256" s="22"/>
      <c r="L256" s="23"/>
      <c r="M256" s="23">
        <f>SUM(Tabela1746810121422303226816192527313336242101214161824262830384024810121416202226283032343624268101214246101224262442626282626810262862366[[#This Row],[Saldo no cartão]:[Recarga Pendente]])</f>
        <v>0</v>
      </c>
      <c r="N256" s="19">
        <f>Tabela1746810121422303226816192527313336242101214161824262830384024810121416202226283032343624268101214246101224262442626282626810262862366[[#This Row],[Uso diário]]*2</f>
        <v>20</v>
      </c>
      <c r="O256" s="19">
        <f>Tabela1746810121422303226816192527313336242101214161824262830384024810121416202226283032343624268101214246101224262442626282626810262862366[[#This Row],[Total Acumulado]]-P256</f>
        <v>-50</v>
      </c>
      <c r="P256" s="48">
        <f>Tabela1746810121422303226816192527313336242101214161824262830384024810121416202226283032343624268101214246101224262442626282626810262862366[[#This Row],[Uso diário]]*5</f>
        <v>50</v>
      </c>
      <c r="Q25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250</v>
      </c>
      <c r="S25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6" s="25">
        <v>1</v>
      </c>
    </row>
    <row r="257" spans="1:20" s="26" customFormat="1" x14ac:dyDescent="0.25">
      <c r="A257" s="16">
        <v>231999</v>
      </c>
      <c r="B257" s="30" t="s">
        <v>817</v>
      </c>
      <c r="C257" s="20" t="s">
        <v>641</v>
      </c>
      <c r="D257" s="20" t="s">
        <v>704</v>
      </c>
      <c r="E257" s="20" t="s">
        <v>2049</v>
      </c>
      <c r="F257" s="20" t="s">
        <v>2050</v>
      </c>
      <c r="G257" s="21">
        <v>13.4</v>
      </c>
      <c r="H257" s="16">
        <v>26</v>
      </c>
      <c r="I257" s="16">
        <v>1</v>
      </c>
      <c r="J25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335</v>
      </c>
      <c r="K257" s="22"/>
      <c r="L257" s="23"/>
      <c r="M257" s="23">
        <f>SUM(Tabela1746810121422303226816192527313336242101214161824262830384024810121416202226283032343624268101214246101224262442626282626810262862366[[#This Row],[Saldo no cartão]:[Recarga Pendente]])</f>
        <v>0</v>
      </c>
      <c r="N257" s="19">
        <f>Tabela1746810121422303226816192527313336242101214161824262830384024810121416202226283032343624268101214246101224262442626282626810262862366[[#This Row],[Uso diário]]*2</f>
        <v>26.8</v>
      </c>
      <c r="O257" s="19">
        <f>Tabela1746810121422303226816192527313336242101214161824262830384024810121416202226283032343624268101214246101224262442626282626810262862366[[#This Row],[Total Acumulado]]-P257</f>
        <v>-67</v>
      </c>
      <c r="P257" s="48">
        <f>Tabela1746810121422303226816192527313336242101214161824262830384024810121416202226283032343624268101214246101224262442626282626810262862366[[#This Row],[Uso diário]]*5</f>
        <v>67</v>
      </c>
      <c r="Q25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335</v>
      </c>
      <c r="S25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7" s="25">
        <v>1</v>
      </c>
    </row>
    <row r="258" spans="1:20" s="26" customFormat="1" x14ac:dyDescent="0.25">
      <c r="A258" s="16">
        <v>209363</v>
      </c>
      <c r="B258" s="30" t="s">
        <v>161</v>
      </c>
      <c r="C258" s="20" t="s">
        <v>642</v>
      </c>
      <c r="D258" s="20" t="s">
        <v>706</v>
      </c>
      <c r="E258" s="20" t="s">
        <v>2051</v>
      </c>
      <c r="F258" s="20" t="s">
        <v>2052</v>
      </c>
      <c r="G258" s="21">
        <v>13.4</v>
      </c>
      <c r="H258" s="16">
        <v>22</v>
      </c>
      <c r="I258" s="16"/>
      <c r="J25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58" s="22"/>
      <c r="L258" s="23"/>
      <c r="M258" s="23">
        <f>SUM(Tabela1746810121422303226816192527313336242101214161824262830384024810121416202226283032343624268101214246101224262442626282626810262862366[[#This Row],[Saldo no cartão]:[Recarga Pendente]])</f>
        <v>0</v>
      </c>
      <c r="N258" s="19">
        <f>Tabela1746810121422303226816192527313336242101214161824262830384024810121416202226283032343624268101214246101224262442626282626810262862366[[#This Row],[Uso diário]]*2</f>
        <v>26.8</v>
      </c>
      <c r="O258" s="19">
        <f>Tabela1746810121422303226816192527313336242101214161824262830384024810121416202226283032343624268101214246101224262442626282626810262862366[[#This Row],[Total Acumulado]]-P258</f>
        <v>-67</v>
      </c>
      <c r="P258" s="48">
        <f>Tabela1746810121422303226816192527313336242101214161824262830384024810121416202226283032343624268101214246101224262442626282626810262862366[[#This Row],[Uso diário]]*5</f>
        <v>67</v>
      </c>
      <c r="Q25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5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8" s="25">
        <v>1</v>
      </c>
    </row>
    <row r="259" spans="1:20" s="26" customFormat="1" x14ac:dyDescent="0.25">
      <c r="A259" s="16">
        <v>203783</v>
      </c>
      <c r="B259" s="30" t="s">
        <v>162</v>
      </c>
      <c r="C259" s="20" t="s">
        <v>643</v>
      </c>
      <c r="D259" s="20" t="s">
        <v>707</v>
      </c>
      <c r="E259" s="20" t="s">
        <v>2053</v>
      </c>
      <c r="F259" s="20" t="s">
        <v>2054</v>
      </c>
      <c r="G259" s="21">
        <v>13.4</v>
      </c>
      <c r="H259" s="16">
        <v>22</v>
      </c>
      <c r="I259" s="16">
        <v>1</v>
      </c>
      <c r="J25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281.40000000000003</v>
      </c>
      <c r="K259" s="22"/>
      <c r="L259" s="23"/>
      <c r="M259" s="23">
        <f>SUM(Tabela1746810121422303226816192527313336242101214161824262830384024810121416202226283032343624268101214246101224262442626282626810262862366[[#This Row],[Saldo no cartão]:[Recarga Pendente]])</f>
        <v>0</v>
      </c>
      <c r="N259" s="19">
        <f>Tabela1746810121422303226816192527313336242101214161824262830384024810121416202226283032343624268101214246101224262442626282626810262862366[[#This Row],[Uso diário]]*2</f>
        <v>26.8</v>
      </c>
      <c r="O259" s="19">
        <f>Tabela1746810121422303226816192527313336242101214161824262830384024810121416202226283032343624268101214246101224262442626282626810262862366[[#This Row],[Total Acumulado]]-P259</f>
        <v>-67</v>
      </c>
      <c r="P259" s="48">
        <f>Tabela1746810121422303226816192527313336242101214161824262830384024810121416202226283032343624268101214246101224262442626282626810262862366[[#This Row],[Uso diário]]*5</f>
        <v>67</v>
      </c>
      <c r="Q25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5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281.40000000000003</v>
      </c>
      <c r="S25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59" s="25">
        <v>1</v>
      </c>
    </row>
    <row r="260" spans="1:20" s="26" customFormat="1" x14ac:dyDescent="0.25">
      <c r="A260" s="16">
        <v>207605</v>
      </c>
      <c r="B260" s="30" t="s">
        <v>163</v>
      </c>
      <c r="C260" s="20" t="s">
        <v>643</v>
      </c>
      <c r="D260" s="20" t="s">
        <v>707</v>
      </c>
      <c r="E260" s="20" t="s">
        <v>2055</v>
      </c>
      <c r="F260" s="20" t="s">
        <v>2056</v>
      </c>
      <c r="G260" s="21">
        <v>13.4</v>
      </c>
      <c r="H260" s="16">
        <v>22</v>
      </c>
      <c r="I260" s="16"/>
      <c r="J26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60" s="22"/>
      <c r="L260" s="23"/>
      <c r="M260" s="23">
        <f>SUM(Tabela1746810121422303226816192527313336242101214161824262830384024810121416202226283032343624268101214246101224262442626282626810262862366[[#This Row],[Saldo no cartão]:[Recarga Pendente]])</f>
        <v>0</v>
      </c>
      <c r="N260" s="19">
        <f>Tabela1746810121422303226816192527313336242101214161824262830384024810121416202226283032343624268101214246101224262442626282626810262862366[[#This Row],[Uso diário]]*2</f>
        <v>26.8</v>
      </c>
      <c r="O260" s="19">
        <f>Tabela1746810121422303226816192527313336242101214161824262830384024810121416202226283032343624268101214246101224262442626282626810262862366[[#This Row],[Total Acumulado]]-P260</f>
        <v>-67</v>
      </c>
      <c r="P260" s="48">
        <f>Tabela1746810121422303226816192527313336242101214161824262830384024810121416202226283032343624268101214246101224262442626282626810262862366[[#This Row],[Uso diário]]*5</f>
        <v>67</v>
      </c>
      <c r="Q26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6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0" s="25">
        <v>1</v>
      </c>
    </row>
    <row r="261" spans="1:20" s="26" customFormat="1" x14ac:dyDescent="0.25">
      <c r="A261" s="16">
        <v>219229</v>
      </c>
      <c r="B261" s="30" t="s">
        <v>164</v>
      </c>
      <c r="C261" s="20" t="s">
        <v>643</v>
      </c>
      <c r="D261" s="20" t="s">
        <v>707</v>
      </c>
      <c r="E261" s="20" t="s">
        <v>2057</v>
      </c>
      <c r="F261" s="20" t="s">
        <v>2058</v>
      </c>
      <c r="G261" s="21">
        <v>26.8</v>
      </c>
      <c r="H261" s="16">
        <v>22</v>
      </c>
      <c r="I261" s="16"/>
      <c r="J26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589.6</v>
      </c>
      <c r="K261" s="22"/>
      <c r="L261" s="23"/>
      <c r="M261" s="23">
        <f>SUM(Tabela1746810121422303226816192527313336242101214161824262830384024810121416202226283032343624268101214246101224262442626282626810262862366[[#This Row],[Saldo no cartão]:[Recarga Pendente]])</f>
        <v>0</v>
      </c>
      <c r="N261" s="19">
        <f>Tabela1746810121422303226816192527313336242101214161824262830384024810121416202226283032343624268101214246101224262442626282626810262862366[[#This Row],[Uso diário]]*2</f>
        <v>53.6</v>
      </c>
      <c r="O261" s="19">
        <f>Tabela1746810121422303226816192527313336242101214161824262830384024810121416202226283032343624268101214246101224262442626282626810262862366[[#This Row],[Total Acumulado]]-P261</f>
        <v>-134</v>
      </c>
      <c r="P261" s="48">
        <f>Tabela1746810121422303226816192527313336242101214161824262830384024810121416202226283032343624268101214246101224262442626282626810262862366[[#This Row],[Uso diário]]*5</f>
        <v>134</v>
      </c>
      <c r="Q26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589.6</v>
      </c>
      <c r="S26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1" s="25">
        <v>1</v>
      </c>
    </row>
    <row r="262" spans="1:20" s="26" customFormat="1" x14ac:dyDescent="0.25">
      <c r="A262" s="16">
        <v>221960</v>
      </c>
      <c r="B262" s="30" t="s">
        <v>67</v>
      </c>
      <c r="C262" s="20" t="s">
        <v>643</v>
      </c>
      <c r="D262" s="20" t="s">
        <v>709</v>
      </c>
      <c r="E262" s="20" t="s">
        <v>2059</v>
      </c>
      <c r="F262" s="20" t="s">
        <v>2060</v>
      </c>
      <c r="G262" s="21">
        <v>10</v>
      </c>
      <c r="H262" s="16">
        <v>22</v>
      </c>
      <c r="I262" s="16"/>
      <c r="J26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220</v>
      </c>
      <c r="K262" s="22"/>
      <c r="L262" s="23"/>
      <c r="M262" s="23">
        <f>SUM(Tabela1746810121422303226816192527313336242101214161824262830384024810121416202226283032343624268101214246101224262442626282626810262862366[[#This Row],[Saldo no cartão]:[Recarga Pendente]])</f>
        <v>0</v>
      </c>
      <c r="N262" s="19">
        <f>Tabela1746810121422303226816192527313336242101214161824262830384024810121416202226283032343624268101214246101224262442626282626810262862366[[#This Row],[Uso diário]]*2</f>
        <v>20</v>
      </c>
      <c r="O262" s="19">
        <f>Tabela1746810121422303226816192527313336242101214161824262830384024810121416202226283032343624268101214246101224262442626282626810262862366[[#This Row],[Total Acumulado]]-P262</f>
        <v>-50</v>
      </c>
      <c r="P262" s="48">
        <f>Tabela1746810121422303226816192527313336242101214161824262830384024810121416202226283032343624268101214246101224262442626282626810262862366[[#This Row],[Uso diário]]*5</f>
        <v>50</v>
      </c>
      <c r="Q26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220</v>
      </c>
      <c r="S26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2" s="25">
        <v>1</v>
      </c>
    </row>
    <row r="263" spans="1:20" s="26" customFormat="1" x14ac:dyDescent="0.25">
      <c r="A263" s="16">
        <v>223066</v>
      </c>
      <c r="B263" s="30" t="s">
        <v>165</v>
      </c>
      <c r="C263" s="20" t="s">
        <v>643</v>
      </c>
      <c r="D263" s="20" t="s">
        <v>708</v>
      </c>
      <c r="E263" s="20" t="s">
        <v>2061</v>
      </c>
      <c r="F263" s="20" t="s">
        <v>2062</v>
      </c>
      <c r="G263" s="21">
        <v>16.2</v>
      </c>
      <c r="H263" s="16">
        <v>22</v>
      </c>
      <c r="I263" s="16"/>
      <c r="J26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356.4</v>
      </c>
      <c r="K263" s="22"/>
      <c r="L263" s="23"/>
      <c r="M263" s="23">
        <f>SUM(Tabela1746810121422303226816192527313336242101214161824262830384024810121416202226283032343624268101214246101224262442626282626810262862366[[#This Row],[Saldo no cartão]:[Recarga Pendente]])</f>
        <v>0</v>
      </c>
      <c r="N263" s="19">
        <f>Tabela1746810121422303226816192527313336242101214161824262830384024810121416202226283032343624268101214246101224262442626282626810262862366[[#This Row],[Uso diário]]*2</f>
        <v>32.4</v>
      </c>
      <c r="O263" s="19">
        <f>Tabela1746810121422303226816192527313336242101214161824262830384024810121416202226283032343624268101214246101224262442626282626810262862366[[#This Row],[Total Acumulado]]-P263</f>
        <v>-81</v>
      </c>
      <c r="P263" s="48">
        <f>Tabela1746810121422303226816192527313336242101214161824262830384024810121416202226283032343624268101214246101224262442626282626810262862366[[#This Row],[Uso diário]]*5</f>
        <v>81</v>
      </c>
      <c r="Q26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356.4</v>
      </c>
      <c r="S26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3" s="25">
        <v>1</v>
      </c>
    </row>
    <row r="264" spans="1:20" s="26" customFormat="1" x14ac:dyDescent="0.25">
      <c r="A264" s="16">
        <v>234391</v>
      </c>
      <c r="B264" s="30" t="s">
        <v>1277</v>
      </c>
      <c r="C264" s="20" t="s">
        <v>643</v>
      </c>
      <c r="D264" s="20" t="s">
        <v>1304</v>
      </c>
      <c r="E264" s="20" t="s">
        <v>2063</v>
      </c>
      <c r="F264" s="20" t="s">
        <v>2064</v>
      </c>
      <c r="G264" s="21">
        <v>18.8</v>
      </c>
      <c r="H264" s="16">
        <v>22</v>
      </c>
      <c r="I264" s="16">
        <v>3</v>
      </c>
      <c r="J26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357.2</v>
      </c>
      <c r="K264" s="22"/>
      <c r="L264" s="23"/>
      <c r="M264" s="23">
        <f>SUM(Tabela1746810121422303226816192527313336242101214161824262830384024810121416202226283032343624268101214246101224262442626282626810262862366[[#This Row],[Saldo no cartão]:[Recarga Pendente]])</f>
        <v>0</v>
      </c>
      <c r="N264" s="19">
        <f>Tabela1746810121422303226816192527313336242101214161824262830384024810121416202226283032343624268101214246101224262442626282626810262862366[[#This Row],[Uso diário]]*2</f>
        <v>37.6</v>
      </c>
      <c r="O264" s="19">
        <f>Tabela1746810121422303226816192527313336242101214161824262830384024810121416202226283032343624268101214246101224262442626282626810262862366[[#This Row],[Total Acumulado]]-P264</f>
        <v>-94</v>
      </c>
      <c r="P264" s="48">
        <f>Tabela1746810121422303226816192527313336242101214161824262830384024810121416202226283032343624268101214246101224262442626282626810262862366[[#This Row],[Uso diário]]*5</f>
        <v>94</v>
      </c>
      <c r="Q26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357.2</v>
      </c>
      <c r="S26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4" s="25">
        <v>1</v>
      </c>
    </row>
    <row r="265" spans="1:20" s="26" customFormat="1" x14ac:dyDescent="0.25">
      <c r="A265" s="16">
        <v>214228</v>
      </c>
      <c r="B265" s="30" t="s">
        <v>166</v>
      </c>
      <c r="C265" s="20" t="s">
        <v>644</v>
      </c>
      <c r="D265" s="20" t="s">
        <v>779</v>
      </c>
      <c r="E265" s="20" t="s">
        <v>2065</v>
      </c>
      <c r="F265" s="20" t="s">
        <v>2066</v>
      </c>
      <c r="G265" s="21">
        <v>13.4</v>
      </c>
      <c r="H265" s="16">
        <v>22</v>
      </c>
      <c r="I265" s="16"/>
      <c r="J26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294.8</v>
      </c>
      <c r="K265" s="22"/>
      <c r="L265" s="23"/>
      <c r="M265" s="23">
        <f>SUM(Tabela1746810121422303226816192527313336242101214161824262830384024810121416202226283032343624268101214246101224262442626282626810262862366[[#This Row],[Saldo no cartão]:[Recarga Pendente]])</f>
        <v>0</v>
      </c>
      <c r="N265" s="19">
        <f>Tabela1746810121422303226816192527313336242101214161824262830384024810121416202226283032343624268101214246101224262442626282626810262862366[[#This Row],[Uso diário]]*2</f>
        <v>26.8</v>
      </c>
      <c r="O265" s="19">
        <f>Tabela1746810121422303226816192527313336242101214161824262830384024810121416202226283032343624268101214246101224262442626282626810262862366[[#This Row],[Total Acumulado]]-P265</f>
        <v>-67</v>
      </c>
      <c r="P265" s="48">
        <f>Tabela1746810121422303226816192527313336242101214161824262830384024810121416202226283032343624268101214246101224262442626282626810262862366[[#This Row],[Uso diário]]*5</f>
        <v>67</v>
      </c>
      <c r="Q26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294.8</v>
      </c>
      <c r="S265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5" s="25">
        <v>1</v>
      </c>
    </row>
    <row r="266" spans="1:20" s="26" customFormat="1" x14ac:dyDescent="0.25">
      <c r="A266" s="16">
        <v>214486</v>
      </c>
      <c r="B266" s="30" t="s">
        <v>1418</v>
      </c>
      <c r="C266" s="20" t="s">
        <v>644</v>
      </c>
      <c r="D266" s="20" t="s">
        <v>779</v>
      </c>
      <c r="E266" s="20" t="s">
        <v>2067</v>
      </c>
      <c r="F266" s="20" t="s">
        <v>2068</v>
      </c>
      <c r="G266" s="21">
        <v>13.4</v>
      </c>
      <c r="H266" s="16">
        <v>22</v>
      </c>
      <c r="I266" s="16">
        <v>1</v>
      </c>
      <c r="J26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281.40000000000003</v>
      </c>
      <c r="K266" s="22"/>
      <c r="L266" s="23"/>
      <c r="M266" s="23">
        <f>SUM(Tabela1746810121422303226816192527313336242101214161824262830384024810121416202226283032343624268101214246101224262442626282626810262862366[[#This Row],[Saldo no cartão]:[Recarga Pendente]])</f>
        <v>0</v>
      </c>
      <c r="N266" s="19">
        <f>Tabela1746810121422303226816192527313336242101214161824262830384024810121416202226283032343624268101214246101224262442626282626810262862366[[#This Row],[Uso diário]]*2</f>
        <v>26.8</v>
      </c>
      <c r="O266" s="19">
        <f>Tabela1746810121422303226816192527313336242101214161824262830384024810121416202226283032343624268101214246101224262442626282626810262862366[[#This Row],[Total Acumulado]]-P266</f>
        <v>-67</v>
      </c>
      <c r="P266" s="48">
        <f>Tabela1746810121422303226816192527313336242101214161824262830384024810121416202226283032343624268101214246101224262442626282626810262862366[[#This Row],[Uso diário]]*5</f>
        <v>67</v>
      </c>
      <c r="Q26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281.40000000000003</v>
      </c>
      <c r="S26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6" s="25">
        <v>1</v>
      </c>
    </row>
    <row r="267" spans="1:20" s="26" customFormat="1" x14ac:dyDescent="0.25">
      <c r="A267" s="16">
        <v>224057</v>
      </c>
      <c r="B267" s="30" t="s">
        <v>167</v>
      </c>
      <c r="C267" s="20" t="s">
        <v>644</v>
      </c>
      <c r="D267" s="20" t="s">
        <v>710</v>
      </c>
      <c r="E267" s="20" t="s">
        <v>2069</v>
      </c>
      <c r="F267" s="20" t="s">
        <v>2070</v>
      </c>
      <c r="G267" s="21">
        <v>18.8</v>
      </c>
      <c r="H267" s="16">
        <v>22</v>
      </c>
      <c r="I267" s="16">
        <v>2</v>
      </c>
      <c r="J26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267" s="22"/>
      <c r="L267" s="23"/>
      <c r="M267" s="23">
        <f>SUM(Tabela1746810121422303226816192527313336242101214161824262830384024810121416202226283032343624268101214246101224262442626282626810262862366[[#This Row],[Saldo no cartão]:[Recarga Pendente]])</f>
        <v>0</v>
      </c>
      <c r="N267" s="19">
        <f>Tabela1746810121422303226816192527313336242101214161824262830384024810121416202226283032343624268101214246101224262442626282626810262862366[[#This Row],[Uso diário]]*2</f>
        <v>37.6</v>
      </c>
      <c r="O267" s="19">
        <f>Tabela1746810121422303226816192527313336242101214161824262830384024810121416202226283032343624268101214246101224262442626282626810262862366[[#This Row],[Total Acumulado]]-P267</f>
        <v>-94</v>
      </c>
      <c r="P267" s="48">
        <f>Tabela1746810121422303226816192527313336242101214161824262830384024810121416202226283032343624268101214246101224262442626282626810262862366[[#This Row],[Uso diário]]*5</f>
        <v>94</v>
      </c>
      <c r="Q26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26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7" s="25">
        <v>1</v>
      </c>
    </row>
    <row r="268" spans="1:20" s="26" customFormat="1" x14ac:dyDescent="0.25">
      <c r="A268" s="16">
        <v>211749</v>
      </c>
      <c r="B268" s="30" t="s">
        <v>168</v>
      </c>
      <c r="C268" s="20" t="s">
        <v>645</v>
      </c>
      <c r="D268" s="20" t="s">
        <v>711</v>
      </c>
      <c r="E268" s="20" t="s">
        <v>2071</v>
      </c>
      <c r="F268" s="20" t="s">
        <v>2072</v>
      </c>
      <c r="G268" s="21">
        <v>18.8</v>
      </c>
      <c r="H268" s="16">
        <v>26</v>
      </c>
      <c r="I268" s="16"/>
      <c r="J268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488.8</v>
      </c>
      <c r="K268" s="22"/>
      <c r="L268" s="23"/>
      <c r="M268" s="23">
        <f>SUM(Tabela1746810121422303226816192527313336242101214161824262830384024810121416202226283032343624268101214246101224262442626282626810262862366[[#This Row],[Saldo no cartão]:[Recarga Pendente]])</f>
        <v>0</v>
      </c>
      <c r="N268" s="19">
        <f>Tabela1746810121422303226816192527313336242101214161824262830384024810121416202226283032343624268101214246101224262442626282626810262862366[[#This Row],[Uso diário]]*2</f>
        <v>37.6</v>
      </c>
      <c r="O268" s="19">
        <f>Tabela1746810121422303226816192527313336242101214161824262830384024810121416202226283032343624268101214246101224262442626282626810262862366[[#This Row],[Total Acumulado]]-P268</f>
        <v>-94</v>
      </c>
      <c r="P268" s="48">
        <f>Tabela1746810121422303226816192527313336242101214161824262830384024810121416202226283032343624268101214246101224262442626282626810262862366[[#This Row],[Uso diário]]*5</f>
        <v>94</v>
      </c>
      <c r="Q268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8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488.8</v>
      </c>
      <c r="S268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8" s="25">
        <v>1</v>
      </c>
    </row>
    <row r="269" spans="1:20" s="26" customFormat="1" x14ac:dyDescent="0.25">
      <c r="A269" s="16">
        <v>215297</v>
      </c>
      <c r="B269" s="30" t="s">
        <v>169</v>
      </c>
      <c r="C269" s="20" t="s">
        <v>645</v>
      </c>
      <c r="D269" s="20" t="s">
        <v>711</v>
      </c>
      <c r="E269" s="20" t="s">
        <v>2073</v>
      </c>
      <c r="F269" s="20" t="s">
        <v>2074</v>
      </c>
      <c r="G269" s="21">
        <v>18.8</v>
      </c>
      <c r="H269" s="16">
        <v>26</v>
      </c>
      <c r="I269" s="16">
        <v>1</v>
      </c>
      <c r="J269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69" s="22"/>
      <c r="L269" s="23"/>
      <c r="M269" s="23">
        <f>SUM(Tabela1746810121422303226816192527313336242101214161824262830384024810121416202226283032343624268101214246101224262442626282626810262862366[[#This Row],[Saldo no cartão]:[Recarga Pendente]])</f>
        <v>0</v>
      </c>
      <c r="N269" s="19">
        <f>Tabela1746810121422303226816192527313336242101214161824262830384024810121416202226283032343624268101214246101224262442626282626810262862366[[#This Row],[Uso diário]]*2</f>
        <v>37.6</v>
      </c>
      <c r="O269" s="19">
        <f>Tabela1746810121422303226816192527313336242101214161824262830384024810121416202226283032343624268101214246101224262442626282626810262862366[[#This Row],[Total Acumulado]]-P269</f>
        <v>-94</v>
      </c>
      <c r="P269" s="48">
        <f>Tabela1746810121422303226816192527313336242101214161824262830384024810121416202226283032343624268101214246101224262442626282626810262862366[[#This Row],[Uso diário]]*5</f>
        <v>94</v>
      </c>
      <c r="Q269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69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69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69" s="25">
        <v>1</v>
      </c>
    </row>
    <row r="270" spans="1:20" s="26" customFormat="1" x14ac:dyDescent="0.25">
      <c r="A270" s="16">
        <v>216271</v>
      </c>
      <c r="B270" s="30" t="s">
        <v>1154</v>
      </c>
      <c r="C270" s="20" t="s">
        <v>645</v>
      </c>
      <c r="D270" s="20" t="s">
        <v>711</v>
      </c>
      <c r="E270" s="20" t="s">
        <v>2075</v>
      </c>
      <c r="F270" s="20" t="s">
        <v>2076</v>
      </c>
      <c r="G270" s="21">
        <v>18.8</v>
      </c>
      <c r="H270" s="16">
        <v>26</v>
      </c>
      <c r="I270" s="16">
        <v>1</v>
      </c>
      <c r="J270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70" s="22"/>
      <c r="L270" s="23"/>
      <c r="M270" s="23">
        <f>SUM(Tabela1746810121422303226816192527313336242101214161824262830384024810121416202226283032343624268101214246101224262442626282626810262862366[[#This Row],[Saldo no cartão]:[Recarga Pendente]])</f>
        <v>0</v>
      </c>
      <c r="N270" s="19">
        <f>Tabela1746810121422303226816192527313336242101214161824262830384024810121416202226283032343624268101214246101224262442626282626810262862366[[#This Row],[Uso diário]]*2</f>
        <v>37.6</v>
      </c>
      <c r="O270" s="19">
        <f>Tabela1746810121422303226816192527313336242101214161824262830384024810121416202226283032343624268101214246101224262442626282626810262862366[[#This Row],[Total Acumulado]]-P270</f>
        <v>-94</v>
      </c>
      <c r="P270" s="48">
        <f>Tabela1746810121422303226816192527313336242101214161824262830384024810121416202226283032343624268101214246101224262442626282626810262862366[[#This Row],[Uso diário]]*5</f>
        <v>94</v>
      </c>
      <c r="Q270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0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70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0" s="25">
        <v>1</v>
      </c>
    </row>
    <row r="271" spans="1:20" s="26" customFormat="1" x14ac:dyDescent="0.25">
      <c r="A271" s="16">
        <v>225519</v>
      </c>
      <c r="B271" s="30" t="s">
        <v>63</v>
      </c>
      <c r="C271" s="20" t="s">
        <v>645</v>
      </c>
      <c r="D271" s="20" t="s">
        <v>711</v>
      </c>
      <c r="E271" s="20" t="s">
        <v>2077</v>
      </c>
      <c r="F271" s="20" t="s">
        <v>2078</v>
      </c>
      <c r="G271" s="21">
        <v>18.8</v>
      </c>
      <c r="H271" s="16">
        <v>26</v>
      </c>
      <c r="I271" s="16">
        <v>4</v>
      </c>
      <c r="J271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71" s="22"/>
      <c r="L271" s="23"/>
      <c r="M271" s="23">
        <f>SUM(Tabela1746810121422303226816192527313336242101214161824262830384024810121416202226283032343624268101214246101224262442626282626810262862366[[#This Row],[Saldo no cartão]:[Recarga Pendente]])</f>
        <v>0</v>
      </c>
      <c r="N271" s="19">
        <f>Tabela1746810121422303226816192527313336242101214161824262830384024810121416202226283032343624268101214246101224262442626282626810262862366[[#This Row],[Uso diário]]*2</f>
        <v>37.6</v>
      </c>
      <c r="O271" s="19">
        <f>Tabela1746810121422303226816192527313336242101214161824262830384024810121416202226283032343624268101214246101224262442626282626810262862366[[#This Row],[Total Acumulado]]-P271</f>
        <v>-94</v>
      </c>
      <c r="P271" s="48">
        <f>Tabela1746810121422303226816192527313336242101214161824262830384024810121416202226283032343624268101214246101224262442626282626810262862366[[#This Row],[Uso diário]]*5</f>
        <v>94</v>
      </c>
      <c r="Q271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1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71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1" s="25">
        <v>1</v>
      </c>
    </row>
    <row r="272" spans="1:20" s="26" customFormat="1" x14ac:dyDescent="0.25">
      <c r="A272" s="16">
        <v>225884</v>
      </c>
      <c r="B272" s="30" t="s">
        <v>1043</v>
      </c>
      <c r="C272" s="20" t="s">
        <v>645</v>
      </c>
      <c r="D272" s="20" t="s">
        <v>711</v>
      </c>
      <c r="E272" s="20" t="s">
        <v>2079</v>
      </c>
      <c r="F272" s="20" t="s">
        <v>2080</v>
      </c>
      <c r="G272" s="21">
        <v>18.8</v>
      </c>
      <c r="H272" s="16">
        <v>26</v>
      </c>
      <c r="I272" s="16">
        <v>1</v>
      </c>
      <c r="J272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470</v>
      </c>
      <c r="K272" s="22"/>
      <c r="L272" s="23"/>
      <c r="M272" s="23">
        <f>SUM(Tabela1746810121422303226816192527313336242101214161824262830384024810121416202226283032343624268101214246101224262442626282626810262862366[[#This Row],[Saldo no cartão]:[Recarga Pendente]])</f>
        <v>0</v>
      </c>
      <c r="N272" s="19">
        <f>Tabela1746810121422303226816192527313336242101214161824262830384024810121416202226283032343624268101214246101224262442626282626810262862366[[#This Row],[Uso diário]]*2</f>
        <v>37.6</v>
      </c>
      <c r="O272" s="19">
        <f>Tabela1746810121422303226816192527313336242101214161824262830384024810121416202226283032343624268101214246101224262442626282626810262862366[[#This Row],[Total Acumulado]]-P272</f>
        <v>-94</v>
      </c>
      <c r="P272" s="48">
        <f>Tabela1746810121422303226816192527313336242101214161824262830384024810121416202226283032343624268101214246101224262442626282626810262862366[[#This Row],[Uso diário]]*5</f>
        <v>94</v>
      </c>
      <c r="Q272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2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470</v>
      </c>
      <c r="S272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2" s="25">
        <v>1</v>
      </c>
    </row>
    <row r="273" spans="1:20" s="26" customFormat="1" x14ac:dyDescent="0.25">
      <c r="A273" s="16">
        <v>226742</v>
      </c>
      <c r="B273" s="30" t="s">
        <v>171</v>
      </c>
      <c r="C273" s="20" t="s">
        <v>645</v>
      </c>
      <c r="D273" s="20" t="s">
        <v>711</v>
      </c>
      <c r="E273" s="20" t="s">
        <v>2081</v>
      </c>
      <c r="F273" s="20" t="s">
        <v>2082</v>
      </c>
      <c r="G273" s="21">
        <v>18.8</v>
      </c>
      <c r="H273" s="16">
        <v>22</v>
      </c>
      <c r="I273" s="16"/>
      <c r="J273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413.6</v>
      </c>
      <c r="K273" s="22"/>
      <c r="L273" s="23">
        <v>37.6</v>
      </c>
      <c r="M273" s="23">
        <f>SUM(Tabela1746810121422303226816192527313336242101214161824262830384024810121416202226283032343624268101214246101224262442626282626810262862366[[#This Row],[Saldo no cartão]:[Recarga Pendente]])</f>
        <v>37.6</v>
      </c>
      <c r="N273" s="19">
        <f>Tabela1746810121422303226816192527313336242101214161824262830384024810121416202226283032343624268101214246101224262442626282626810262862366[[#This Row],[Uso diário]]*2</f>
        <v>37.6</v>
      </c>
      <c r="O273" s="19">
        <f>Tabela1746810121422303226816192527313336242101214161824262830384024810121416202226283032343624268101214246101224262442626282626810262862366[[#This Row],[Total Acumulado]]-P273</f>
        <v>-56.4</v>
      </c>
      <c r="P273" s="48">
        <f>Tabela1746810121422303226816192527313336242101214161824262830384024810121416202226283032343624268101214246101224262442626282626810262862366[[#This Row],[Uso diário]]*5</f>
        <v>94</v>
      </c>
      <c r="Q273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3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413.6</v>
      </c>
      <c r="S273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3" s="25">
        <v>1</v>
      </c>
    </row>
    <row r="274" spans="1:20" s="26" customFormat="1" x14ac:dyDescent="0.25">
      <c r="A274" s="16">
        <v>232891</v>
      </c>
      <c r="B274" s="30" t="s">
        <v>963</v>
      </c>
      <c r="C274" s="20" t="s">
        <v>645</v>
      </c>
      <c r="D274" s="20" t="s">
        <v>711</v>
      </c>
      <c r="E274" s="20" t="s">
        <v>2083</v>
      </c>
      <c r="F274" s="20" t="s">
        <v>2084</v>
      </c>
      <c r="G274" s="21">
        <v>18.8</v>
      </c>
      <c r="H274" s="16">
        <v>26</v>
      </c>
      <c r="I274" s="16">
        <v>5</v>
      </c>
      <c r="J274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394.8</v>
      </c>
      <c r="K274" s="22"/>
      <c r="L274" s="23"/>
      <c r="M274" s="23">
        <f>SUM(Tabela1746810121422303226816192527313336242101214161824262830384024810121416202226283032343624268101214246101224262442626282626810262862366[[#This Row],[Saldo no cartão]:[Recarga Pendente]])</f>
        <v>0</v>
      </c>
      <c r="N274" s="19">
        <f>Tabela1746810121422303226816192527313336242101214161824262830384024810121416202226283032343624268101214246101224262442626282626810262862366[[#This Row],[Uso diário]]*2</f>
        <v>37.6</v>
      </c>
      <c r="O274" s="19">
        <f>Tabela1746810121422303226816192527313336242101214161824262830384024810121416202226283032343624268101214246101224262442626282626810262862366[[#This Row],[Total Acumulado]]-P274</f>
        <v>-94</v>
      </c>
      <c r="P274" s="48">
        <f>Tabela1746810121422303226816192527313336242101214161824262830384024810121416202226283032343624268101214246101224262442626282626810262862366[[#This Row],[Uso diário]]*5</f>
        <v>94</v>
      </c>
      <c r="Q274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4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394.8</v>
      </c>
      <c r="S274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4" s="25">
        <v>1</v>
      </c>
    </row>
    <row r="275" spans="1:20" s="26" customFormat="1" ht="22.5" x14ac:dyDescent="0.25">
      <c r="A275" s="16">
        <v>215752</v>
      </c>
      <c r="B275" s="30" t="s">
        <v>1155</v>
      </c>
      <c r="C275" s="20" t="s">
        <v>646</v>
      </c>
      <c r="D275" s="20" t="s">
        <v>1263</v>
      </c>
      <c r="E275" s="20" t="s">
        <v>4186</v>
      </c>
      <c r="F275" s="20" t="s">
        <v>4183</v>
      </c>
      <c r="G275" s="21">
        <v>15.8</v>
      </c>
      <c r="H275" s="16">
        <v>0</v>
      </c>
      <c r="I275" s="16"/>
      <c r="J275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0</v>
      </c>
      <c r="K275" s="22"/>
      <c r="L275" s="23"/>
      <c r="M275" s="23">
        <f>SUM(Tabela1746810121422303226816192527313336242101214161824262830384024810121416202226283032343624268101214246101224262442626282626810262862366[[#This Row],[Saldo no cartão]:[Recarga Pendente]])</f>
        <v>0</v>
      </c>
      <c r="N275" s="19">
        <f>Tabela1746810121422303226816192527313336242101214161824262830384024810121416202226283032343624268101214246101224262442626282626810262862366[[#This Row],[Uso diário]]*2</f>
        <v>31.6</v>
      </c>
      <c r="O275" s="19">
        <f>Tabela1746810121422303226816192527313336242101214161824262830384024810121416202226283032343624268101214246101224262442626282626810262862366[[#This Row],[Total Acumulado]]-P275</f>
        <v>-79</v>
      </c>
      <c r="P275" s="48">
        <f>Tabela1746810121422303226816192527313336242101214161824262830384024810121416202226283032343624268101214246101224262442626282626810262862366[[#This Row],[Uso diário]]*5</f>
        <v>79</v>
      </c>
      <c r="Q275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5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0</v>
      </c>
      <c r="S275" s="18" t="str">
        <f>IF(Tabela1746810121422303226816192527313336242101214161824262830384024810121416202226283032343624268101214246101224262442626282626810262862366[[#This Row],[Pedido Final]]=0,"NÃO EFETUAR RECARGA","RECARGA NORMAL")</f>
        <v>NÃO EFETUAR RECARGA</v>
      </c>
      <c r="T275" s="25">
        <v>1</v>
      </c>
    </row>
    <row r="276" spans="1:20" s="26" customFormat="1" x14ac:dyDescent="0.25">
      <c r="A276" s="16">
        <v>233882</v>
      </c>
      <c r="B276" s="30" t="s">
        <v>1044</v>
      </c>
      <c r="C276" s="20" t="s">
        <v>646</v>
      </c>
      <c r="D276" s="20" t="s">
        <v>712</v>
      </c>
      <c r="E276" s="20" t="s">
        <v>2085</v>
      </c>
      <c r="F276" s="20" t="s">
        <v>2086</v>
      </c>
      <c r="G276" s="21">
        <v>10</v>
      </c>
      <c r="H276" s="16">
        <v>26</v>
      </c>
      <c r="I276" s="16">
        <v>2</v>
      </c>
      <c r="J276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240</v>
      </c>
      <c r="K276" s="22"/>
      <c r="L276" s="23"/>
      <c r="M276" s="23">
        <f>SUM(Tabela1746810121422303226816192527313336242101214161824262830384024810121416202226283032343624268101214246101224262442626282626810262862366[[#This Row],[Saldo no cartão]:[Recarga Pendente]])</f>
        <v>0</v>
      </c>
      <c r="N276" s="19">
        <f>Tabela1746810121422303226816192527313336242101214161824262830384024810121416202226283032343624268101214246101224262442626282626810262862366[[#This Row],[Uso diário]]*2</f>
        <v>20</v>
      </c>
      <c r="O276" s="19">
        <f>Tabela1746810121422303226816192527313336242101214161824262830384024810121416202226283032343624268101214246101224262442626282626810262862366[[#This Row],[Total Acumulado]]-P276</f>
        <v>-50</v>
      </c>
      <c r="P276" s="48">
        <f>Tabela1746810121422303226816192527313336242101214161824262830384024810121416202226283032343624268101214246101224262442626282626810262862366[[#This Row],[Uso diário]]*5</f>
        <v>50</v>
      </c>
      <c r="Q276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6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240</v>
      </c>
      <c r="S276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6" s="25">
        <v>1</v>
      </c>
    </row>
    <row r="277" spans="1:20" s="26" customFormat="1" x14ac:dyDescent="0.25">
      <c r="A277" s="16">
        <v>205924</v>
      </c>
      <c r="B277" s="30" t="s">
        <v>1235</v>
      </c>
      <c r="C277" s="20" t="s">
        <v>660</v>
      </c>
      <c r="D277" s="20" t="s">
        <v>754</v>
      </c>
      <c r="E277" s="56" t="s">
        <v>3700</v>
      </c>
      <c r="F277" s="56" t="s">
        <v>3701</v>
      </c>
      <c r="G277" s="21">
        <v>18.8</v>
      </c>
      <c r="H277" s="16">
        <v>22</v>
      </c>
      <c r="I277" s="16">
        <v>2</v>
      </c>
      <c r="J277" s="17">
        <f>(Tabela1746810121422303226816192527313336242101214161824262830384024810121416202226283032343624268101214246101224262442626282626810262862366[[#This Row],[D]]-Tabela1746810121422303226816192527313336242101214161824262830384024810121416202226283032343624268101214246101224262442626282626810262862366[[#This Row],[F]])*Tabela1746810121422303226816192527313336242101214161824262830384024810121416202226283032343624268101214246101224262442626282626810262862366[[#This Row],[Uso diário]]</f>
        <v>376</v>
      </c>
      <c r="K277" s="22"/>
      <c r="L277" s="23"/>
      <c r="M277" s="23">
        <f>SUM(Tabela1746810121422303226816192527313336242101214161824262830384024810121416202226283032343624268101214246101224262442626282626810262862366[[#This Row],[Saldo no cartão]:[Recarga Pendente]])</f>
        <v>0</v>
      </c>
      <c r="N277" s="19">
        <f>Tabela1746810121422303226816192527313336242101214161824262830384024810121416202226283032343624268101214246101224262442626282626810262862366[[#This Row],[Uso diário]]*2</f>
        <v>37.6</v>
      </c>
      <c r="O277" s="19">
        <f>Tabela1746810121422303226816192527313336242101214161824262830384024810121416202226283032343624268101214246101224262442626282626810262862366[[#This Row],[Total Acumulado]]-P277</f>
        <v>-94</v>
      </c>
      <c r="P277" s="48">
        <f>Tabela1746810121422303226816192527313336242101214161824262830384024810121416202226283032343624268101214246101224262442626282626810262862366[[#This Row],[Uso diário]]*5</f>
        <v>94</v>
      </c>
      <c r="Q277" s="17">
        <f>IF(Tabela1746810121422303226816192527313336242101214161824262830384024810121416202226283032343624268101214246101224262442626282626810262862366[[#This Row],[acumulo]]&lt;Tabela1746810121422303226816192527313336242101214161824262830384024810121416202226283032343624268101214246101224262442626282626810262862366[[#This Row],[acumulo minimo]],0,Tabela1746810121422303226816192527313336242101214161824262830384024810121416202226283032343624268101214246101224262442626282626810262862366[[#This Row],[acumulo]])</f>
        <v>0</v>
      </c>
      <c r="R277" s="24">
        <f>IF(Tabela1746810121422303226816192527313336242101214161824262830384024810121416202226283032343624268101214246101224262442626282626810262862366[[#This Row],[Valor economizado]]&gt;Tabela1746810121422303226816192527313336242101214161824262830384024810121416202226283032343624268101214246101224262442626282626810262862366[[#This Row],[Pedido Inicial]],0,Tabela1746810121422303226816192527313336242101214161824262830384024810121416202226283032343624268101214246101224262442626282626810262862366[[#This Row],[Pedido Inicial]]-Tabela1746810121422303226816192527313336242101214161824262830384024810121416202226283032343624268101214246101224262442626282626810262862366[[#This Row],[Valor economizado]])</f>
        <v>376</v>
      </c>
      <c r="S277" s="18" t="str">
        <f>IF(Tabela1746810121422303226816192527313336242101214161824262830384024810121416202226283032343624268101214246101224262442626282626810262862366[[#This Row],[Pedido Final]]=0,"NÃO EFETUAR RECARGA","RECARGA NORMAL")</f>
        <v>RECARGA NORMAL</v>
      </c>
      <c r="T277" s="25">
        <v>1</v>
      </c>
    </row>
    <row r="278" spans="1:20" s="8" customFormat="1" x14ac:dyDescent="0.25">
      <c r="A278" s="13" t="s">
        <v>13</v>
      </c>
      <c r="B278" s="13"/>
      <c r="C278" s="13"/>
      <c r="D278" s="13"/>
      <c r="E278" s="20"/>
      <c r="F278" s="20"/>
      <c r="G278" s="33"/>
      <c r="H278" s="13"/>
      <c r="I278" s="13"/>
      <c r="J278" s="14">
        <f>SUBTOTAL(109,Tabela1746810121422303226816192527313336242101214161824262830384024810121416202226283032343624268101214246101224262442626282626810262862366[Pedido Inicial])</f>
        <v>105389.09999999993</v>
      </c>
      <c r="K278" s="15"/>
      <c r="L278" s="15"/>
      <c r="M278" s="15"/>
      <c r="N278" s="15"/>
      <c r="O278" s="15"/>
      <c r="P278" s="15"/>
      <c r="Q278" s="15"/>
      <c r="R278" s="14">
        <f>SUBTOTAL(109,Tabela1746810121422303226816192527313336242101214161824262830384024810121416202226283032343624268101214246101224262442626282626810262862366[Pedido Final])</f>
        <v>103135.89999999994</v>
      </c>
      <c r="S278" s="31">
        <f>SUBTOTAL(103,Tabela1746810121422303226816192527313336242101214161824262830384024810121416202226283032343624268101214246101224262442626282626810262862366[Status])</f>
        <v>274</v>
      </c>
      <c r="T278" s="13"/>
    </row>
    <row r="279" spans="1:20" s="8" customFormat="1" x14ac:dyDescent="0.25">
      <c r="A279" s="13"/>
      <c r="B279" s="13"/>
      <c r="C279" s="13"/>
      <c r="D279" s="13"/>
      <c r="E279" s="20"/>
      <c r="F279" s="20"/>
      <c r="G279" s="33"/>
      <c r="H279" s="13"/>
      <c r="I279" s="13"/>
      <c r="J279" s="14"/>
      <c r="K279" s="15"/>
      <c r="L279" s="15"/>
      <c r="M279" s="15"/>
      <c r="N279" s="15"/>
      <c r="O279" s="15"/>
      <c r="P279" s="15"/>
      <c r="Q279" s="15"/>
      <c r="R279" s="14"/>
      <c r="S279" s="31"/>
      <c r="T279" s="13"/>
    </row>
    <row r="280" spans="1:20" s="8" customFormat="1" x14ac:dyDescent="0.25">
      <c r="A280" s="13"/>
      <c r="B280" s="13"/>
      <c r="C280" s="13"/>
      <c r="D280" s="13"/>
      <c r="E280" s="20"/>
      <c r="F280" s="20"/>
      <c r="G280" s="33"/>
      <c r="H280" s="13"/>
      <c r="I280" s="13"/>
      <c r="J280" s="14"/>
      <c r="K280" s="15"/>
      <c r="L280" s="15"/>
      <c r="M280" s="15"/>
      <c r="N280" s="15"/>
      <c r="O280" s="15"/>
      <c r="P280" s="15"/>
      <c r="Q280" s="15"/>
      <c r="R280" s="14"/>
      <c r="S280" s="31"/>
      <c r="T280" s="13"/>
    </row>
    <row r="281" spans="1:20" s="8" customFormat="1" x14ac:dyDescent="0.25">
      <c r="A281" s="1"/>
      <c r="B281" s="54" t="s">
        <v>14</v>
      </c>
      <c r="C281" s="55"/>
      <c r="D281" s="13"/>
      <c r="F281" s="37"/>
      <c r="G281" s="37"/>
      <c r="H281" s="37"/>
      <c r="I281" s="37"/>
      <c r="J281" s="28"/>
      <c r="K281" s="3"/>
      <c r="L281" s="1"/>
      <c r="M281" s="1"/>
      <c r="N281" s="1"/>
      <c r="O281" s="1"/>
      <c r="P281" s="1"/>
      <c r="Q281" s="1"/>
      <c r="R281" s="4" t="s">
        <v>26</v>
      </c>
      <c r="S281" s="39" t="s">
        <v>15</v>
      </c>
    </row>
    <row r="282" spans="1:20" s="8" customFormat="1" x14ac:dyDescent="0.25">
      <c r="A282" s="1"/>
      <c r="B282" s="50" t="s">
        <v>24</v>
      </c>
      <c r="C282" s="45">
        <f>Tabela1746810121422303226816192527313336242101214161824262830384024810121416202226283032343624268101214246101224262442626282626810262862366[[#Totals],[Pedido Inicial]]</f>
        <v>105389.09999999993</v>
      </c>
      <c r="D282" s="13"/>
      <c r="F282" s="41"/>
      <c r="G282" s="41"/>
      <c r="H282" s="34"/>
      <c r="I282" s="34"/>
      <c r="J282" s="34"/>
      <c r="K282" s="5"/>
      <c r="L282" s="1"/>
      <c r="M282" s="1"/>
      <c r="N282" s="1"/>
      <c r="O282" s="1"/>
      <c r="P282" s="1"/>
      <c r="Q282" s="1"/>
      <c r="R282" s="58" t="s">
        <v>28</v>
      </c>
      <c r="S282" s="59">
        <f>COUNTIF(Tabela1746810121422303226816192527313336242101214161824262830384024810121416202226283032343624268101214246101224262442626282626810262862366[Status],Tabela257911131523313337917202628323437353111315171925272931394135911131517212327293133353735379111315357111335373453737393737911373973377[[#This Row],[STATUS]])</f>
        <v>260</v>
      </c>
    </row>
    <row r="283" spans="1:20" s="8" customFormat="1" x14ac:dyDescent="0.25">
      <c r="A283" s="1"/>
      <c r="B283" s="50" t="s">
        <v>25</v>
      </c>
      <c r="C283" s="45">
        <f>Tabela1746810121422303226816192527313336242101214161824262830384024810121416202226283032343624268101214246101224262442626282626810262862366[[#Totals],[Pedido Final]]</f>
        <v>103135.89999999994</v>
      </c>
      <c r="D283" s="13"/>
      <c r="F283" s="41"/>
      <c r="G283" s="41"/>
      <c r="H283" s="34"/>
      <c r="I283" s="34"/>
      <c r="J283" s="34"/>
      <c r="K283" s="5"/>
      <c r="L283" s="1"/>
      <c r="M283" s="1"/>
      <c r="N283" s="1"/>
      <c r="O283" s="1"/>
      <c r="P283" s="1"/>
      <c r="R283" s="58" t="s">
        <v>11</v>
      </c>
      <c r="S283" s="59">
        <f>COUNTIF(Tabela1746810121422303226816192527313336242101214161824262830384024810121416202226283032343624268101214246101224262442626282626810262862366[Status],Tabela257911131523313337917202628323437353111315171925272931394135911131517212327293133353735379111315357111335373453737393737911373973377[[#This Row],[STATUS]])</f>
        <v>8</v>
      </c>
    </row>
    <row r="284" spans="1:20" s="8" customFormat="1" x14ac:dyDescent="0.25">
      <c r="A284" s="1"/>
      <c r="B284" s="51" t="str">
        <f>_xlfn.CONCAT("ECONOMIA"," ",ROUND(C284/C282,2)*100,"%")</f>
        <v>ECONOMIA 2%</v>
      </c>
      <c r="C284" s="46">
        <f>SUM(C282-C283)</f>
        <v>2253.1999999999971</v>
      </c>
      <c r="D284" s="13"/>
      <c r="F284" s="41"/>
      <c r="G284" s="41"/>
      <c r="H284" s="36"/>
      <c r="I284" s="36"/>
      <c r="J284" s="38"/>
      <c r="K284" s="36"/>
      <c r="L284" s="1"/>
      <c r="M284" s="1"/>
      <c r="N284" s="1"/>
      <c r="O284" s="1"/>
      <c r="P284" s="1"/>
      <c r="Q284" s="35"/>
      <c r="R284" s="58" t="s">
        <v>12</v>
      </c>
      <c r="S284" s="59">
        <f>COUNTIF(Tabela1746810121422303226816192527313336242101214161824262830384024810121416202226283032343624268101214246101224262442626282626810262862366[Status],Tabela257911131523313337917202628323437353111315171925272931394135911131517212327293133353735379111315357111335373453737393737911373973377[[#This Row],[STATUS]])</f>
        <v>6</v>
      </c>
    </row>
    <row r="285" spans="1:20" s="8" customFormat="1" x14ac:dyDescent="0.25">
      <c r="A285" s="1"/>
      <c r="B285" s="51" t="str">
        <f>_xlfn.CONCAT("HPOD"," ",ROUND(C285/C284,2)*100,"%")</f>
        <v>HPOD 12%</v>
      </c>
      <c r="C285" s="46">
        <f>C284*12%</f>
        <v>270.38399999999962</v>
      </c>
      <c r="D285" s="13"/>
      <c r="F285" s="41"/>
      <c r="G285" s="41"/>
      <c r="H285" s="36"/>
      <c r="I285" s="36"/>
      <c r="J285" s="38"/>
      <c r="K285" s="36"/>
      <c r="L285" s="1"/>
      <c r="M285" s="1"/>
      <c r="N285" s="1"/>
      <c r="O285" s="1"/>
      <c r="P285" s="1"/>
      <c r="Q285" s="1"/>
      <c r="R285" s="6" t="s">
        <v>27</v>
      </c>
      <c r="S285" s="40">
        <f>SUBTOTAL(109,Tabela257911131523313337917202628323437353111315171925272931394135911131517212327293133353735379111315357111335373453737393737911373973377[Coluna1])</f>
        <v>274</v>
      </c>
    </row>
    <row r="286" spans="1:20" s="8" customFormat="1" x14ac:dyDescent="0.25">
      <c r="A286" s="1"/>
      <c r="B286" s="3"/>
      <c r="C286" s="47"/>
      <c r="D286" s="1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6"/>
    </row>
    <row r="287" spans="1:20" s="8" customFormat="1" x14ac:dyDescent="0.25">
      <c r="A287" s="1"/>
      <c r="B287" s="3"/>
      <c r="C287" s="3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5"/>
      <c r="P287" s="1"/>
      <c r="Q287" s="1"/>
      <c r="R287" s="1"/>
      <c r="S287" s="1"/>
      <c r="T287" s="1"/>
    </row>
    <row r="288" spans="1:20" s="8" customFormat="1" x14ac:dyDescent="0.25">
      <c r="A288" s="26"/>
      <c r="B288" s="12"/>
      <c r="C288" s="12"/>
      <c r="D288" s="12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1"/>
    </row>
    <row r="289" spans="1:20" s="8" customFormat="1" x14ac:dyDescent="0.25">
      <c r="A289" s="26"/>
      <c r="B289" s="12"/>
      <c r="C289" s="12"/>
      <c r="D289" s="12"/>
      <c r="E289" s="27"/>
      <c r="F289" s="27"/>
      <c r="G289" s="27"/>
      <c r="H289" s="27"/>
      <c r="I289" s="27"/>
      <c r="J289" s="27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 spans="1:20" s="8" customFormat="1" x14ac:dyDescent="0.25">
      <c r="A290" s="26"/>
      <c r="B290" s="12"/>
      <c r="C290" s="12"/>
      <c r="D290" s="12"/>
      <c r="E290" s="28"/>
      <c r="F290" s="28"/>
      <c r="G290" s="28"/>
      <c r="H290" s="28"/>
      <c r="I290" s="28"/>
      <c r="J290" s="28"/>
      <c r="K290" s="27"/>
      <c r="L290" s="26"/>
      <c r="M290" s="26"/>
      <c r="N290" s="26"/>
      <c r="O290" s="26"/>
      <c r="P290" s="26"/>
      <c r="Q290" s="26"/>
      <c r="R290" s="26"/>
      <c r="S290" s="26"/>
      <c r="T290" s="26"/>
    </row>
    <row r="291" spans="1:20" s="8" customFormat="1" x14ac:dyDescent="0.25">
      <c r="A291" s="26"/>
      <c r="B291" s="12"/>
      <c r="C291" s="12"/>
      <c r="D291" s="12"/>
      <c r="E291" s="28"/>
      <c r="F291" s="28"/>
      <c r="G291" s="28"/>
      <c r="H291" s="28"/>
      <c r="I291" s="28"/>
      <c r="J291" s="28"/>
      <c r="K291" s="27"/>
      <c r="L291" s="26"/>
      <c r="M291" s="26"/>
      <c r="N291" s="26"/>
      <c r="O291" s="26"/>
      <c r="P291" s="26"/>
      <c r="Q291" s="26"/>
      <c r="R291" s="26"/>
      <c r="S291" s="26"/>
      <c r="T291" s="26"/>
    </row>
    <row r="292" spans="1:20" s="8" customFormat="1" x14ac:dyDescent="0.25">
      <c r="A292" s="26"/>
      <c r="B292" s="12"/>
      <c r="C292" s="12"/>
      <c r="D292" s="12"/>
      <c r="E292" s="28"/>
      <c r="F292" s="28"/>
      <c r="G292" s="28"/>
      <c r="H292" s="28"/>
      <c r="I292" s="28"/>
      <c r="J292" s="28"/>
      <c r="K292" s="27"/>
      <c r="L292" s="26"/>
      <c r="M292" s="26"/>
      <c r="N292" s="26"/>
      <c r="O292" s="26"/>
      <c r="P292" s="29"/>
      <c r="Q292" s="26"/>
      <c r="R292" s="26"/>
      <c r="S292" s="26"/>
      <c r="T292" s="26"/>
    </row>
    <row r="293" spans="1:20" s="8" customFormat="1" x14ac:dyDescent="0.25">
      <c r="A293" s="26"/>
      <c r="B293" s="12"/>
      <c r="C293" s="12"/>
      <c r="D293" s="12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6"/>
      <c r="Q293" s="26"/>
      <c r="R293" s="26"/>
      <c r="S293" s="26"/>
      <c r="T293" s="26"/>
    </row>
    <row r="294" spans="1:20" s="8" customFormat="1" x14ac:dyDescent="0.25">
      <c r="A294" s="26"/>
      <c r="B294" s="12"/>
      <c r="C294" s="12"/>
      <c r="D294" s="12"/>
      <c r="E294" s="28"/>
      <c r="F294" s="28"/>
      <c r="G294" s="28"/>
      <c r="H294" s="28"/>
      <c r="I294" s="28"/>
      <c r="J294" s="28"/>
      <c r="K294" s="29"/>
      <c r="L294" s="26"/>
      <c r="M294" s="26"/>
      <c r="N294" s="26"/>
      <c r="O294" s="26"/>
      <c r="P294" s="26"/>
      <c r="Q294" s="26"/>
      <c r="R294" s="26"/>
      <c r="S294" s="26"/>
      <c r="T294" s="26"/>
    </row>
    <row r="295" spans="1:20" s="8" customFormat="1" x14ac:dyDescent="0.25">
      <c r="A295" s="26"/>
      <c r="B295" s="12"/>
      <c r="C295" s="12"/>
      <c r="D295" s="12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 spans="1:20" s="8" customFormat="1" x14ac:dyDescent="0.25">
      <c r="A296" s="26"/>
      <c r="B296" s="12"/>
      <c r="C296" s="12"/>
      <c r="D296" s="12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9"/>
    </row>
    <row r="297" spans="1:20" s="8" customFormat="1" x14ac:dyDescent="0.25">
      <c r="A297" s="26"/>
      <c r="B297" s="12"/>
      <c r="C297" s="12"/>
      <c r="D297" s="12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 spans="1:20" s="8" customFormat="1" x14ac:dyDescent="0.25">
      <c r="A298" s="26"/>
      <c r="B298" s="12"/>
      <c r="C298" s="12"/>
      <c r="D298" s="12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 spans="1:20" s="8" customFormat="1" x14ac:dyDescent="0.25">
      <c r="A299" s="26"/>
      <c r="B299" s="12"/>
      <c r="C299" s="12"/>
      <c r="D299" s="12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 spans="1:20" s="8" customFormat="1" x14ac:dyDescent="0.25">
      <c r="A300" s="26"/>
      <c r="B300" s="12"/>
      <c r="C300" s="12"/>
      <c r="D300" s="12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 spans="1:20" s="8" customFormat="1" x14ac:dyDescent="0.25">
      <c r="A301" s="26"/>
      <c r="B301" s="12"/>
      <c r="C301" s="12"/>
      <c r="D301" s="12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 spans="1:20" s="8" customFormat="1" x14ac:dyDescent="0.25">
      <c r="A302" s="1"/>
      <c r="B302" s="3"/>
      <c r="C302" s="3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6"/>
    </row>
    <row r="303" spans="1:20" s="8" customFormat="1" x14ac:dyDescent="0.25">
      <c r="A303" s="1"/>
      <c r="B303" s="3"/>
      <c r="C303" s="3"/>
      <c r="D303" s="3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s="8" customFormat="1" x14ac:dyDescent="0.25">
      <c r="A304" s="1"/>
      <c r="B304" s="3"/>
      <c r="C304" s="3"/>
      <c r="D304" s="3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</row>
  </sheetData>
  <mergeCells count="1">
    <mergeCell ref="A2:T2"/>
  </mergeCells>
  <conditionalFormatting sqref="A278:A1048576 A1:A276">
    <cfRule type="duplicateValues" dxfId="71" priority="4"/>
    <cfRule type="duplicateValues" dxfId="70" priority="5"/>
  </conditionalFormatting>
  <conditionalFormatting sqref="B278:B1048576 B1:B276">
    <cfRule type="duplicateValues" dxfId="69" priority="6"/>
  </conditionalFormatting>
  <conditionalFormatting sqref="B282:C28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{749DED36-2257-4165-8CA9-8D726A145922}</x14:id>
        </ext>
      </extLst>
    </cfRule>
  </conditionalFormatting>
  <conditionalFormatting sqref="H282:J283 F282:G28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{094EEF2B-7369-4047-BC5E-C1541B1A0B6F}</x14:id>
        </ext>
      </extLst>
    </cfRule>
  </conditionalFormatting>
  <conditionalFormatting sqref="R282:S28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{8B352ADB-7927-4D26-B6A7-3393FEDC88F4}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9DED36-2257-4165-8CA9-8D726A145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B282:C285</xm:sqref>
        </x14:conditionalFormatting>
        <x14:conditionalFormatting xmlns:xm="http://schemas.microsoft.com/office/excel/2006/main">
          <x14:cfRule type="dataBar" id="{094EEF2B-7369-4047-BC5E-C1541B1A0B6F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H282:J283 F282:G285</xm:sqref>
        </x14:conditionalFormatting>
        <x14:conditionalFormatting xmlns:xm="http://schemas.microsoft.com/office/excel/2006/main">
          <x14:cfRule type="dataBar" id="{8B352ADB-7927-4D26-B6A7-3393FEDC88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R282:S284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2BD5-90D1-4C68-BA61-D3BEAD7B8665}">
  <sheetPr>
    <pageSetUpPr fitToPage="1"/>
  </sheetPr>
  <dimension ref="A1:BG32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3" style="3" bestFit="1" customWidth="1"/>
    <col min="3" max="3" width="11.140625" style="3" bestFit="1" customWidth="1"/>
    <col min="4" max="4" width="25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4194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232299</v>
      </c>
      <c r="B4" s="30" t="s">
        <v>897</v>
      </c>
      <c r="C4" s="20" t="s">
        <v>636</v>
      </c>
      <c r="D4" s="20" t="s">
        <v>730</v>
      </c>
      <c r="E4" s="20" t="s">
        <v>2087</v>
      </c>
      <c r="F4" s="20" t="s">
        <v>2088</v>
      </c>
      <c r="G4" s="21">
        <v>9.4</v>
      </c>
      <c r="H4" s="16">
        <v>22</v>
      </c>
      <c r="I4" s="16">
        <v>1</v>
      </c>
      <c r="J4" s="17">
        <f>(Tabela17468101214223032268161925273133362421012141618242628303840248101214162022262830323436242681012142461012242624426262826268102628623668[[#This Row],[D]]-Tabela17468101214223032268161925273133362421012141618242628303840248101214162022262830323436242681012142461012242624426262826268102628623668[[#This Row],[F]])*Tabela17468101214223032268161925273133362421012141618242628303840248101214162022262830323436242681012142461012242624426262826268102628623668[[#This Row],[Uso diário]]</f>
        <v>197.4</v>
      </c>
      <c r="K4" s="22"/>
      <c r="L4" s="23"/>
      <c r="M4" s="23">
        <f>SUM(Tabela17468101214223032268161925273133362421012141618242628303840248101214162022262830323436242681012142461012242624426262826268102628623668[[#This Row],[Saldo no cartão]:[Recarga Pendente]])</f>
        <v>0</v>
      </c>
      <c r="N4" s="19">
        <f>Tabela17468101214223032268161925273133362421012141618242628303840248101214162022262830323436242681012142461012242624426262826268102628623668[[#This Row],[Uso diário]]*2</f>
        <v>18.8</v>
      </c>
      <c r="O4" s="19">
        <f>Tabela17468101214223032268161925273133362421012141618242628303840248101214162022262830323436242681012142461012242624426262826268102628623668[[#This Row],[Total Acumulado]]-P4</f>
        <v>-47</v>
      </c>
      <c r="P4" s="48">
        <f>Tabela17468101214223032268161925273133362421012141618242628303840248101214162022262830323436242681012142461012242624426262826268102628623668[[#This Row],[Uso diário]]*5</f>
        <v>47</v>
      </c>
      <c r="Q4" s="17">
        <f>IF(Tabela17468101214223032268161925273133362421012141618242628303840248101214162022262830323436242681012142461012242624426262826268102628623668[[#This Row],[acumulo]]&lt;Tabela17468101214223032268161925273133362421012141618242628303840248101214162022262830323436242681012142461012242624426262826268102628623668[[#This Row],[acumulo minimo]],0,Tabela17468101214223032268161925273133362421012141618242628303840248101214162022262830323436242681012142461012242624426262826268102628623668[[#This Row],[acumulo]])</f>
        <v>0</v>
      </c>
      <c r="R4" s="24">
        <f>IF(Tabela17468101214223032268161925273133362421012141618242628303840248101214162022262830323436242681012142461012242624426262826268102628623668[[#This Row],[Valor economizado]]&gt;Tabela17468101214223032268161925273133362421012141618242628303840248101214162022262830323436242681012142461012242624426262826268102628623668[[#This Row],[Pedido Inicial]],0,Tabela17468101214223032268161925273133362421012141618242628303840248101214162022262830323436242681012142461012242624426262826268102628623668[[#This Row],[Pedido Inicial]]-Tabela17468101214223032268161925273133362421012141618242628303840248101214162022262830323436242681012142461012242624426262826268102628623668[[#This Row],[Valor economizado]])</f>
        <v>197.4</v>
      </c>
      <c r="S4" s="18" t="str">
        <f>IF(Tabela17468101214223032268161925273133362421012141618242628303840248101214162022262830323436242681012142461012242624426262826268102628623668[[#This Row],[Pedido Final]]=0,"NÃO EFETUAR RECARGA","RECARGA NORMAL")</f>
        <v>RECARGA NORMAL</v>
      </c>
      <c r="T4" s="25">
        <v>2</v>
      </c>
    </row>
    <row r="5" spans="1:59" s="26" customFormat="1" x14ac:dyDescent="0.25">
      <c r="A5" s="16">
        <v>232407</v>
      </c>
      <c r="B5" s="30" t="s">
        <v>898</v>
      </c>
      <c r="C5" s="20" t="s">
        <v>636</v>
      </c>
      <c r="D5" s="20" t="s">
        <v>729</v>
      </c>
      <c r="E5" s="20" t="s">
        <v>2089</v>
      </c>
      <c r="F5" s="20" t="s">
        <v>2090</v>
      </c>
      <c r="G5" s="21">
        <v>10</v>
      </c>
      <c r="H5" s="16">
        <v>22</v>
      </c>
      <c r="I5" s="16">
        <v>5</v>
      </c>
      <c r="J5" s="17">
        <f>(Tabela17468101214223032268161925273133362421012141618242628303840248101214162022262830323436242681012142461012242624426262826268102628623668[[#This Row],[D]]-Tabela17468101214223032268161925273133362421012141618242628303840248101214162022262830323436242681012142461012242624426262826268102628623668[[#This Row],[F]])*Tabela17468101214223032268161925273133362421012141618242628303840248101214162022262830323436242681012142461012242624426262826268102628623668[[#This Row],[Uso diário]]</f>
        <v>170</v>
      </c>
      <c r="K5" s="22"/>
      <c r="L5" s="23"/>
      <c r="M5" s="23">
        <f>SUM(Tabela17468101214223032268161925273133362421012141618242628303840248101214162022262830323436242681012142461012242624426262826268102628623668[[#This Row],[Saldo no cartão]:[Recarga Pendente]])</f>
        <v>0</v>
      </c>
      <c r="N5" s="19">
        <f>Tabela17468101214223032268161925273133362421012141618242628303840248101214162022262830323436242681012142461012242624426262826268102628623668[[#This Row],[Uso diário]]*2</f>
        <v>20</v>
      </c>
      <c r="O5" s="19">
        <f>Tabela17468101214223032268161925273133362421012141618242628303840248101214162022262830323436242681012142461012242624426262826268102628623668[[#This Row],[Total Acumulado]]-P5</f>
        <v>-50</v>
      </c>
      <c r="P5" s="48">
        <f>Tabela17468101214223032268161925273133362421012141618242628303840248101214162022262830323436242681012142461012242624426262826268102628623668[[#This Row],[Uso diário]]*5</f>
        <v>50</v>
      </c>
      <c r="Q5" s="17">
        <f>IF(Tabela17468101214223032268161925273133362421012141618242628303840248101214162022262830323436242681012142461012242624426262826268102628623668[[#This Row],[acumulo]]&lt;Tabela17468101214223032268161925273133362421012141618242628303840248101214162022262830323436242681012142461012242624426262826268102628623668[[#This Row],[acumulo minimo]],0,Tabela17468101214223032268161925273133362421012141618242628303840248101214162022262830323436242681012142461012242624426262826268102628623668[[#This Row],[acumulo]])</f>
        <v>0</v>
      </c>
      <c r="R5" s="24">
        <f>IF(Tabela17468101214223032268161925273133362421012141618242628303840248101214162022262830323436242681012142461012242624426262826268102628623668[[#This Row],[Valor economizado]]&gt;Tabela17468101214223032268161925273133362421012141618242628303840248101214162022262830323436242681012142461012242624426262826268102628623668[[#This Row],[Pedido Inicial]],0,Tabela17468101214223032268161925273133362421012141618242628303840248101214162022262830323436242681012142461012242624426262826268102628623668[[#This Row],[Pedido Inicial]]-Tabela17468101214223032268161925273133362421012141618242628303840248101214162022262830323436242681012142461012242624426262826268102628623668[[#This Row],[Valor economizado]])</f>
        <v>170</v>
      </c>
      <c r="S5" s="18" t="str">
        <f>IF(Tabela17468101214223032268161925273133362421012141618242628303840248101214162022262830323436242681012142461012242624426262826268102628623668[[#This Row],[Pedido Final]]=0,"NÃO EFETUAR RECARGA","RECARGA NORMAL")</f>
        <v>RECARGA NORMAL</v>
      </c>
      <c r="T5" s="25">
        <v>2</v>
      </c>
    </row>
    <row r="6" spans="1:59" s="8" customFormat="1" x14ac:dyDescent="0.25">
      <c r="A6" s="13" t="s">
        <v>13</v>
      </c>
      <c r="B6" s="13"/>
      <c r="C6" s="13"/>
      <c r="D6" s="13"/>
      <c r="E6" s="20"/>
      <c r="F6" s="20"/>
      <c r="G6" s="33"/>
      <c r="H6" s="13"/>
      <c r="I6" s="13"/>
      <c r="J6" s="14">
        <f>SUBTOTAL(109,Tabela17468101214223032268161925273133362421012141618242628303840248101214162022262830323436242681012142461012242624426262826268102628623668[Pedido Inicial])</f>
        <v>367.4</v>
      </c>
      <c r="K6" s="15"/>
      <c r="L6" s="15"/>
      <c r="M6" s="15"/>
      <c r="N6" s="15"/>
      <c r="O6" s="15"/>
      <c r="P6" s="15"/>
      <c r="Q6" s="15"/>
      <c r="R6" s="14">
        <f>SUBTOTAL(109,Tabela17468101214223032268161925273133362421012141618242628303840248101214162022262830323436242681012142461012242624426262826268102628623668[Pedido Final])</f>
        <v>367.4</v>
      </c>
      <c r="S6" s="31">
        <f>SUBTOTAL(103,Tabela17468101214223032268161925273133362421012141618242628303840248101214162022262830323436242681012142461012242624426262826268102628623668[Status])</f>
        <v>2</v>
      </c>
      <c r="T6" s="13"/>
    </row>
    <row r="7" spans="1:59" s="8" customFormat="1" x14ac:dyDescent="0.25">
      <c r="A7" s="13"/>
      <c r="B7" s="13"/>
      <c r="C7" s="13"/>
      <c r="D7" s="13"/>
      <c r="E7" s="20"/>
      <c r="F7" s="20"/>
      <c r="G7" s="33"/>
      <c r="H7" s="13"/>
      <c r="I7" s="13"/>
      <c r="J7" s="14"/>
      <c r="K7" s="15"/>
      <c r="L7" s="15"/>
      <c r="M7" s="15"/>
      <c r="N7" s="15"/>
      <c r="O7" s="15"/>
      <c r="P7" s="15"/>
      <c r="Q7" s="15"/>
      <c r="R7" s="14"/>
      <c r="S7" s="31"/>
      <c r="T7" s="13"/>
    </row>
    <row r="8" spans="1:59" s="8" customFormat="1" x14ac:dyDescent="0.25">
      <c r="A8" s="13"/>
      <c r="B8" s="13"/>
      <c r="C8" s="13"/>
      <c r="D8" s="13"/>
      <c r="E8" s="20"/>
      <c r="F8" s="20"/>
      <c r="G8" s="33"/>
      <c r="H8" s="13"/>
      <c r="I8" s="13"/>
      <c r="J8" s="14"/>
      <c r="K8" s="15"/>
      <c r="L8" s="15"/>
      <c r="M8" s="15"/>
      <c r="N8" s="15"/>
      <c r="O8" s="15"/>
      <c r="P8" s="15"/>
      <c r="Q8" s="15"/>
      <c r="R8" s="14"/>
      <c r="S8" s="31"/>
      <c r="T8" s="13"/>
    </row>
    <row r="9" spans="1:59" s="8" customFormat="1" x14ac:dyDescent="0.25">
      <c r="A9" s="1"/>
      <c r="B9" s="54" t="s">
        <v>14</v>
      </c>
      <c r="C9" s="55"/>
      <c r="D9" s="13"/>
      <c r="F9" s="37"/>
      <c r="G9" s="37"/>
      <c r="H9" s="37"/>
      <c r="I9" s="37"/>
      <c r="J9" s="28"/>
      <c r="K9" s="3"/>
      <c r="L9" s="1"/>
      <c r="M9" s="1"/>
      <c r="N9" s="1"/>
      <c r="O9" s="1"/>
      <c r="P9" s="1"/>
      <c r="Q9" s="1"/>
      <c r="R9" s="4" t="s">
        <v>26</v>
      </c>
      <c r="S9" s="39" t="s">
        <v>15</v>
      </c>
    </row>
    <row r="10" spans="1:59" s="8" customFormat="1" x14ac:dyDescent="0.25">
      <c r="A10" s="1"/>
      <c r="B10" s="50" t="s">
        <v>24</v>
      </c>
      <c r="C10" s="45">
        <f>Tabela17468101214223032268161925273133362421012141618242628303840248101214162022262830323436242681012142461012242624426262826268102628623668[[#Totals],[Pedido Inicial]]</f>
        <v>367.4</v>
      </c>
      <c r="D10" s="13"/>
      <c r="F10" s="41"/>
      <c r="G10" s="41"/>
      <c r="H10" s="34"/>
      <c r="I10" s="34"/>
      <c r="J10" s="34"/>
      <c r="K10" s="5"/>
      <c r="L10" s="1"/>
      <c r="M10" s="1"/>
      <c r="N10" s="1"/>
      <c r="O10" s="1"/>
      <c r="P10" s="1"/>
      <c r="Q10" s="1"/>
      <c r="R10" s="58" t="s">
        <v>28</v>
      </c>
      <c r="S10" s="59">
        <f>COUNTIF(Tabela17468101214223032268161925273133362421012141618242628303840248101214162022262830323436242681012142461012242624426262826268102628623668[Status],Tabela2579111315233133379172026283234373531113151719252729313941359111315172123272931333537353791113153571113353734537373937379113739733779[[#This Row],[STATUS]])</f>
        <v>2</v>
      </c>
    </row>
    <row r="11" spans="1:59" s="8" customFormat="1" x14ac:dyDescent="0.25">
      <c r="A11" s="1"/>
      <c r="B11" s="50" t="s">
        <v>25</v>
      </c>
      <c r="C11" s="45">
        <f>Tabela17468101214223032268161925273133362421012141618242628303840248101214162022262830323436242681012142461012242624426262826268102628623668[[#Totals],[Pedido Final]]</f>
        <v>367.4</v>
      </c>
      <c r="D11" s="13"/>
      <c r="F11" s="41"/>
      <c r="G11" s="41"/>
      <c r="H11" s="34"/>
      <c r="I11" s="34"/>
      <c r="J11" s="34"/>
      <c r="K11" s="5"/>
      <c r="L11" s="1"/>
      <c r="M11" s="1"/>
      <c r="N11" s="1"/>
      <c r="O11" s="1"/>
      <c r="P11" s="1"/>
      <c r="R11" s="58" t="s">
        <v>11</v>
      </c>
      <c r="S11" s="59">
        <f>COUNTIF(Tabela17468101214223032268161925273133362421012141618242628303840248101214162022262830323436242681012142461012242624426262826268102628623668[Status],Tabela2579111315233133379172026283234373531113151719252729313941359111315172123272931333537353791113153571113353734537373937379113739733779[[#This Row],[STATUS]])</f>
        <v>0</v>
      </c>
    </row>
    <row r="12" spans="1:59" s="8" customFormat="1" x14ac:dyDescent="0.25">
      <c r="A12" s="1"/>
      <c r="B12" s="51" t="str">
        <f>_xlfn.CONCAT("ECONOMIA"," ",ROUND(C12/C10,2)*100,"%")</f>
        <v>ECONOMIA 0%</v>
      </c>
      <c r="C12" s="46">
        <f>SUM(C10-C11)</f>
        <v>0</v>
      </c>
      <c r="D12" s="13"/>
      <c r="F12" s="41"/>
      <c r="G12" s="41"/>
      <c r="H12" s="36"/>
      <c r="I12" s="36"/>
      <c r="J12" s="38"/>
      <c r="K12" s="36"/>
      <c r="L12" s="1"/>
      <c r="M12" s="1"/>
      <c r="N12" s="1"/>
      <c r="O12" s="1"/>
      <c r="P12" s="1"/>
      <c r="Q12" s="35"/>
      <c r="R12" s="58" t="s">
        <v>12</v>
      </c>
      <c r="S12" s="59">
        <f>COUNTIF(Tabela17468101214223032268161925273133362421012141618242628303840248101214162022262830323436242681012142461012242624426262826268102628623668[Status],Tabela2579111315233133379172026283234373531113151719252729313941359111315172123272931333537353791113153571113353734537373937379113739733779[[#This Row],[STATUS]])</f>
        <v>0</v>
      </c>
    </row>
    <row r="13" spans="1:59" s="8" customFormat="1" x14ac:dyDescent="0.25">
      <c r="A13" s="1"/>
      <c r="B13" s="51" t="e">
        <f>_xlfn.CONCAT("HPOD"," ",ROUND(C13/C12,2)*100,"%")</f>
        <v>#DIV/0!</v>
      </c>
      <c r="C13" s="46">
        <f>C12*12%</f>
        <v>0</v>
      </c>
      <c r="D13" s="13"/>
      <c r="F13" s="41"/>
      <c r="G13" s="41"/>
      <c r="H13" s="36"/>
      <c r="I13" s="36"/>
      <c r="J13" s="38"/>
      <c r="K13" s="36"/>
      <c r="L13" s="1"/>
      <c r="M13" s="1"/>
      <c r="N13" s="1"/>
      <c r="O13" s="1"/>
      <c r="P13" s="1"/>
      <c r="Q13" s="1"/>
      <c r="R13" s="6" t="s">
        <v>27</v>
      </c>
      <c r="S13" s="40">
        <f>SUBTOTAL(109,Tabela2579111315233133379172026283234373531113151719252729313941359111315172123272931333537353791113153571113353734537373937379113739733779[Coluna1])</f>
        <v>2</v>
      </c>
    </row>
    <row r="14" spans="1:59" s="8" customFormat="1" x14ac:dyDescent="0.25">
      <c r="A14" s="1"/>
      <c r="B14" s="3"/>
      <c r="C14" s="47"/>
      <c r="D14" s="1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/>
    </row>
    <row r="15" spans="1:59" s="8" customFormat="1" x14ac:dyDescent="0.25">
      <c r="A15" s="1"/>
      <c r="B15" s="3"/>
      <c r="C15" s="3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35"/>
      <c r="P15" s="1"/>
      <c r="Q15" s="1"/>
      <c r="R15" s="1"/>
      <c r="S15" s="1"/>
      <c r="T15" s="1"/>
    </row>
    <row r="16" spans="1:59" s="8" customFormat="1" x14ac:dyDescent="0.25">
      <c r="A16" s="26"/>
      <c r="B16" s="12"/>
      <c r="C16" s="12"/>
      <c r="D16" s="12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1"/>
    </row>
    <row r="17" spans="1:20" s="8" customFormat="1" x14ac:dyDescent="0.25">
      <c r="A17" s="26"/>
      <c r="B17" s="12"/>
      <c r="C17" s="12"/>
      <c r="D17" s="12"/>
      <c r="E17" s="27"/>
      <c r="F17" s="27"/>
      <c r="G17" s="27"/>
      <c r="H17" s="27"/>
      <c r="I17" s="27"/>
      <c r="J17" s="27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1:20" s="8" customFormat="1" x14ac:dyDescent="0.25">
      <c r="A18" s="26"/>
      <c r="B18" s="12"/>
      <c r="C18" s="12"/>
      <c r="D18" s="12"/>
      <c r="E18" s="28"/>
      <c r="F18" s="28"/>
      <c r="G18" s="28"/>
      <c r="H18" s="28"/>
      <c r="I18" s="28"/>
      <c r="J18" s="28"/>
      <c r="K18" s="27"/>
      <c r="L18" s="26"/>
      <c r="M18" s="26"/>
      <c r="N18" s="26"/>
      <c r="O18" s="26"/>
      <c r="P18" s="26"/>
      <c r="Q18" s="26"/>
      <c r="R18" s="26"/>
      <c r="S18" s="26"/>
      <c r="T18" s="26"/>
    </row>
    <row r="19" spans="1:20" s="8" customFormat="1" x14ac:dyDescent="0.25">
      <c r="A19" s="26"/>
      <c r="B19" s="12"/>
      <c r="C19" s="12"/>
      <c r="D19" s="12"/>
      <c r="E19" s="28"/>
      <c r="F19" s="28"/>
      <c r="G19" s="28"/>
      <c r="H19" s="28"/>
      <c r="I19" s="28"/>
      <c r="J19" s="28"/>
      <c r="K19" s="27"/>
      <c r="L19" s="26"/>
      <c r="M19" s="26"/>
      <c r="N19" s="26"/>
      <c r="O19" s="26"/>
      <c r="P19" s="26"/>
      <c r="Q19" s="26"/>
      <c r="R19" s="26"/>
      <c r="S19" s="26"/>
      <c r="T19" s="26"/>
    </row>
    <row r="20" spans="1:20" s="8" customFormat="1" x14ac:dyDescent="0.25">
      <c r="A20" s="26"/>
      <c r="B20" s="12"/>
      <c r="C20" s="12"/>
      <c r="D20" s="12"/>
      <c r="E20" s="28"/>
      <c r="F20" s="28"/>
      <c r="G20" s="28"/>
      <c r="H20" s="28"/>
      <c r="I20" s="28"/>
      <c r="J20" s="28"/>
      <c r="K20" s="27"/>
      <c r="L20" s="26"/>
      <c r="M20" s="26"/>
      <c r="N20" s="26"/>
      <c r="O20" s="26"/>
      <c r="P20" s="29"/>
      <c r="Q20" s="26"/>
      <c r="R20" s="26"/>
      <c r="S20" s="26"/>
      <c r="T20" s="26"/>
    </row>
    <row r="21" spans="1:20" s="8" customFormat="1" x14ac:dyDescent="0.25">
      <c r="A21" s="26"/>
      <c r="B21" s="12"/>
      <c r="C21" s="12"/>
      <c r="D21" s="12"/>
      <c r="E21" s="26"/>
      <c r="F21" s="26"/>
      <c r="G21" s="26"/>
      <c r="H21" s="26"/>
      <c r="I21" s="26"/>
      <c r="J21" s="26"/>
      <c r="K21" s="27"/>
      <c r="L21" s="26"/>
      <c r="M21" s="26"/>
      <c r="N21" s="26"/>
      <c r="O21" s="26"/>
      <c r="P21" s="26"/>
      <c r="Q21" s="26"/>
      <c r="R21" s="26"/>
      <c r="S21" s="26"/>
      <c r="T21" s="26"/>
    </row>
    <row r="22" spans="1:20" s="8" customFormat="1" x14ac:dyDescent="0.25">
      <c r="A22" s="26"/>
      <c r="B22" s="12"/>
      <c r="C22" s="12"/>
      <c r="D22" s="12"/>
      <c r="E22" s="28"/>
      <c r="F22" s="28"/>
      <c r="G22" s="28"/>
      <c r="H22" s="28"/>
      <c r="I22" s="28"/>
      <c r="J22" s="28"/>
      <c r="K22" s="29"/>
      <c r="L22" s="26"/>
      <c r="M22" s="26"/>
      <c r="N22" s="26"/>
      <c r="O22" s="26"/>
      <c r="P22" s="26"/>
      <c r="Q22" s="26"/>
      <c r="R22" s="26"/>
      <c r="S22" s="26"/>
      <c r="T22" s="26"/>
    </row>
    <row r="23" spans="1:20" s="8" customFormat="1" x14ac:dyDescent="0.25">
      <c r="A23" s="26"/>
      <c r="B23" s="12"/>
      <c r="C23" s="12"/>
      <c r="D23" s="12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8" customFormat="1" x14ac:dyDescent="0.25">
      <c r="A24" s="26"/>
      <c r="B24" s="12"/>
      <c r="C24" s="12"/>
      <c r="D24" s="12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9"/>
    </row>
    <row r="25" spans="1:20" s="8" customFormat="1" x14ac:dyDescent="0.25">
      <c r="A25" s="26"/>
      <c r="B25" s="12"/>
      <c r="C25" s="12"/>
      <c r="D25" s="12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spans="1:20" s="8" customFormat="1" x14ac:dyDescent="0.25">
      <c r="A30" s="1"/>
      <c r="B30" s="3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6"/>
    </row>
    <row r="31" spans="1:20" s="8" customFormat="1" x14ac:dyDescent="0.25">
      <c r="A31" s="1"/>
      <c r="B31" s="3"/>
      <c r="C31" s="3"/>
      <c r="D31" s="3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8" customFormat="1" x14ac:dyDescent="0.25">
      <c r="A32" s="1"/>
      <c r="B32" s="3"/>
      <c r="C32" s="3"/>
      <c r="D32" s="3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1">
    <mergeCell ref="A2:T2"/>
  </mergeCells>
  <conditionalFormatting sqref="A1:A1048576">
    <cfRule type="duplicateValues" dxfId="68" priority="4"/>
    <cfRule type="duplicateValues" dxfId="67" priority="5"/>
  </conditionalFormatting>
  <conditionalFormatting sqref="B1:B1048576">
    <cfRule type="duplicateValues" dxfId="66" priority="6"/>
  </conditionalFormatting>
  <conditionalFormatting sqref="B10:C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{73131578-BDA7-44A8-BE9F-DE4462D47F2E}</x14:id>
        </ext>
      </extLst>
    </cfRule>
  </conditionalFormatting>
  <conditionalFormatting sqref="H10:J11 F10:G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{F30C09E8-96A5-4570-8653-B1DE0CE4F057}</x14:id>
        </ext>
      </extLst>
    </cfRule>
  </conditionalFormatting>
  <conditionalFormatting sqref="R10:S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{B5A77F5D-E5C4-4959-A1A4-DD8C24BD2A95}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131578-BDA7-44A8-BE9F-DE4462D47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B10:C13</xm:sqref>
        </x14:conditionalFormatting>
        <x14:conditionalFormatting xmlns:xm="http://schemas.microsoft.com/office/excel/2006/main">
          <x14:cfRule type="dataBar" id="{F30C09E8-96A5-4570-8653-B1DE0CE4F057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H10:J11 F10:G13</xm:sqref>
        </x14:conditionalFormatting>
        <x14:conditionalFormatting xmlns:xm="http://schemas.microsoft.com/office/excel/2006/main">
          <x14:cfRule type="dataBar" id="{B5A77F5D-E5C4-4959-A1A4-DD8C24BD2A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R10:S12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DE75-3E73-4AB6-8016-D17851626546}">
  <sheetPr>
    <pageSetUpPr fitToPage="1"/>
  </sheetPr>
  <dimension ref="A1:BG125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30.85546875" style="3" bestFit="1" customWidth="1"/>
    <col min="3" max="3" width="16.28515625" style="3" bestFit="1" customWidth="1"/>
    <col min="4" max="4" width="34.28515625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4195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3173</v>
      </c>
      <c r="B4" s="30" t="s">
        <v>173</v>
      </c>
      <c r="C4" s="20" t="s">
        <v>647</v>
      </c>
      <c r="D4" s="20" t="s">
        <v>720</v>
      </c>
      <c r="E4" s="20" t="s">
        <v>2091</v>
      </c>
      <c r="F4" s="20" t="s">
        <v>2092</v>
      </c>
      <c r="G4" s="21">
        <v>13.4</v>
      </c>
      <c r="H4" s="16">
        <v>26</v>
      </c>
      <c r="I4" s="16"/>
      <c r="J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4" s="22"/>
      <c r="L4" s="23"/>
      <c r="M4" s="23">
        <f>SUM(Tabela1746810121422303226816192527313336242101214161824262830384024810121416202226283032343624268101214246101224262442626282626810262862366810[[#This Row],[Saldo no cartão]:[Recarga Pendente]])</f>
        <v>0</v>
      </c>
      <c r="N4" s="19">
        <f>Tabela1746810121422303226816192527313336242101214161824262830384024810121416202226283032343624268101214246101224262442626282626810262862366810[[#This Row],[Uso diário]]*2</f>
        <v>26.8</v>
      </c>
      <c r="O4" s="19">
        <f>Tabela1746810121422303226816192527313336242101214161824262830384024810121416202226283032343624268101214246101224262442626282626810262862366810[[#This Row],[Total Acumulado]]-P4</f>
        <v>-67</v>
      </c>
      <c r="P4" s="48">
        <f>Tabela1746810121422303226816192527313336242101214161824262830384024810121416202226283032343624268101214246101224262442626282626810262862366810[[#This Row],[Uso diário]]*5</f>
        <v>67</v>
      </c>
      <c r="Q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" s="25">
        <v>3</v>
      </c>
    </row>
    <row r="5" spans="1:59" s="26" customFormat="1" x14ac:dyDescent="0.25">
      <c r="A5" s="16">
        <v>214122</v>
      </c>
      <c r="B5" s="30" t="s">
        <v>1419</v>
      </c>
      <c r="C5" s="20" t="s">
        <v>647</v>
      </c>
      <c r="D5" s="20" t="s">
        <v>724</v>
      </c>
      <c r="E5" s="20" t="s">
        <v>2093</v>
      </c>
      <c r="F5" s="20" t="s">
        <v>2094</v>
      </c>
      <c r="G5" s="21">
        <v>20.100000000000001</v>
      </c>
      <c r="H5" s="16">
        <v>26</v>
      </c>
      <c r="I5" s="16"/>
      <c r="J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522.6</v>
      </c>
      <c r="K5" s="22"/>
      <c r="L5" s="23"/>
      <c r="M5" s="23">
        <f>SUM(Tabela1746810121422303226816192527313336242101214161824262830384024810121416202226283032343624268101214246101224262442626282626810262862366810[[#This Row],[Saldo no cartão]:[Recarga Pendente]])</f>
        <v>0</v>
      </c>
      <c r="N5" s="19">
        <f>Tabela1746810121422303226816192527313336242101214161824262830384024810121416202226283032343624268101214246101224262442626282626810262862366810[[#This Row],[Uso diário]]*2</f>
        <v>40.200000000000003</v>
      </c>
      <c r="O5" s="19">
        <f>Tabela1746810121422303226816192527313336242101214161824262830384024810121416202226283032343624268101214246101224262442626282626810262862366810[[#This Row],[Total Acumulado]]-P5</f>
        <v>-100.5</v>
      </c>
      <c r="P5" s="48">
        <f>Tabela1746810121422303226816192527313336242101214161824262830384024810121416202226283032343624268101214246101224262442626282626810262862366810[[#This Row],[Uso diário]]*5</f>
        <v>100.5</v>
      </c>
      <c r="Q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522.6</v>
      </c>
      <c r="S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" s="25">
        <v>3</v>
      </c>
    </row>
    <row r="6" spans="1:59" s="26" customFormat="1" x14ac:dyDescent="0.25">
      <c r="A6" s="16">
        <v>214387</v>
      </c>
      <c r="B6" s="30" t="s">
        <v>174</v>
      </c>
      <c r="C6" s="20" t="s">
        <v>647</v>
      </c>
      <c r="D6" s="20" t="s">
        <v>722</v>
      </c>
      <c r="E6" s="20" t="s">
        <v>2095</v>
      </c>
      <c r="F6" s="20" t="s">
        <v>2096</v>
      </c>
      <c r="G6" s="21">
        <v>18.8</v>
      </c>
      <c r="H6" s="16">
        <v>26</v>
      </c>
      <c r="I6" s="16"/>
      <c r="J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6" s="22"/>
      <c r="L6" s="23"/>
      <c r="M6" s="23">
        <f>SUM(Tabela1746810121422303226816192527313336242101214161824262830384024810121416202226283032343624268101214246101224262442626282626810262862366810[[#This Row],[Saldo no cartão]:[Recarga Pendente]])</f>
        <v>0</v>
      </c>
      <c r="N6" s="19">
        <f>Tabela1746810121422303226816192527313336242101214161824262830384024810121416202226283032343624268101214246101224262442626282626810262862366810[[#This Row],[Uso diário]]*2</f>
        <v>37.6</v>
      </c>
      <c r="O6" s="19">
        <f>Tabela1746810121422303226816192527313336242101214161824262830384024810121416202226283032343624268101214246101224262442626282626810262862366810[[#This Row],[Total Acumulado]]-P6</f>
        <v>-94</v>
      </c>
      <c r="P6" s="48">
        <f>Tabela1746810121422303226816192527313336242101214161824262830384024810121416202226283032343624268101214246101224262442626282626810262862366810[[#This Row],[Uso diário]]*5</f>
        <v>94</v>
      </c>
      <c r="Q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" s="25">
        <v>3</v>
      </c>
    </row>
    <row r="7" spans="1:59" s="26" customFormat="1" x14ac:dyDescent="0.25">
      <c r="A7" s="16">
        <v>216170</v>
      </c>
      <c r="B7" s="30" t="s">
        <v>175</v>
      </c>
      <c r="C7" s="20" t="s">
        <v>647</v>
      </c>
      <c r="D7" s="20" t="s">
        <v>720</v>
      </c>
      <c r="E7" s="20" t="s">
        <v>2097</v>
      </c>
      <c r="F7" s="20" t="s">
        <v>2098</v>
      </c>
      <c r="G7" s="21">
        <v>13.4</v>
      </c>
      <c r="H7" s="16">
        <v>26</v>
      </c>
      <c r="I7" s="16"/>
      <c r="J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" s="22"/>
      <c r="L7" s="23"/>
      <c r="M7" s="23">
        <f>SUM(Tabela1746810121422303226816192527313336242101214161824262830384024810121416202226283032343624268101214246101224262442626282626810262862366810[[#This Row],[Saldo no cartão]:[Recarga Pendente]])</f>
        <v>0</v>
      </c>
      <c r="N7" s="19">
        <f>Tabela1746810121422303226816192527313336242101214161824262830384024810121416202226283032343624268101214246101224262442626282626810262862366810[[#This Row],[Uso diário]]*2</f>
        <v>26.8</v>
      </c>
      <c r="O7" s="19">
        <f>Tabela1746810121422303226816192527313336242101214161824262830384024810121416202226283032343624268101214246101224262442626282626810262862366810[[#This Row],[Total Acumulado]]-P7</f>
        <v>-67</v>
      </c>
      <c r="P7" s="48">
        <f>Tabela1746810121422303226816192527313336242101214161824262830384024810121416202226283032343624268101214246101224262442626282626810262862366810[[#This Row],[Uso diário]]*5</f>
        <v>67</v>
      </c>
      <c r="Q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" s="25">
        <v>3</v>
      </c>
    </row>
    <row r="8" spans="1:59" s="26" customFormat="1" x14ac:dyDescent="0.25">
      <c r="A8" s="16">
        <v>216582</v>
      </c>
      <c r="B8" s="30" t="s">
        <v>176</v>
      </c>
      <c r="C8" s="20" t="s">
        <v>647</v>
      </c>
      <c r="D8" s="20" t="s">
        <v>720</v>
      </c>
      <c r="E8" s="20" t="s">
        <v>2099</v>
      </c>
      <c r="F8" s="20" t="s">
        <v>2100</v>
      </c>
      <c r="G8" s="21">
        <v>13.4</v>
      </c>
      <c r="H8" s="16">
        <v>26</v>
      </c>
      <c r="I8" s="16"/>
      <c r="J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" s="22"/>
      <c r="L8" s="23"/>
      <c r="M8" s="23">
        <f>SUM(Tabela1746810121422303226816192527313336242101214161824262830384024810121416202226283032343624268101214246101224262442626282626810262862366810[[#This Row],[Saldo no cartão]:[Recarga Pendente]])</f>
        <v>0</v>
      </c>
      <c r="N8" s="19">
        <f>Tabela1746810121422303226816192527313336242101214161824262830384024810121416202226283032343624268101214246101224262442626282626810262862366810[[#This Row],[Uso diário]]*2</f>
        <v>26.8</v>
      </c>
      <c r="O8" s="19">
        <f>Tabela1746810121422303226816192527313336242101214161824262830384024810121416202226283032343624268101214246101224262442626282626810262862366810[[#This Row],[Total Acumulado]]-P8</f>
        <v>-67</v>
      </c>
      <c r="P8" s="48">
        <f>Tabela1746810121422303226816192527313336242101214161824262830384024810121416202226283032343624268101214246101224262442626282626810262862366810[[#This Row],[Uso diário]]*5</f>
        <v>67</v>
      </c>
      <c r="Q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" s="25">
        <v>3</v>
      </c>
    </row>
    <row r="9" spans="1:59" s="26" customFormat="1" x14ac:dyDescent="0.25">
      <c r="A9" s="16">
        <v>218071</v>
      </c>
      <c r="B9" s="30" t="s">
        <v>1045</v>
      </c>
      <c r="C9" s="20" t="s">
        <v>647</v>
      </c>
      <c r="D9" s="20" t="s">
        <v>720</v>
      </c>
      <c r="E9" s="20" t="s">
        <v>2101</v>
      </c>
      <c r="F9" s="20" t="s">
        <v>2102</v>
      </c>
      <c r="G9" s="21">
        <v>13.4</v>
      </c>
      <c r="H9" s="16">
        <v>26</v>
      </c>
      <c r="I9" s="16"/>
      <c r="J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9" s="22"/>
      <c r="L9" s="23"/>
      <c r="M9" s="23">
        <f>SUM(Tabela1746810121422303226816192527313336242101214161824262830384024810121416202226283032343624268101214246101224262442626282626810262862366810[[#This Row],[Saldo no cartão]:[Recarga Pendente]])</f>
        <v>0</v>
      </c>
      <c r="N9" s="19">
        <f>Tabela1746810121422303226816192527313336242101214161824262830384024810121416202226283032343624268101214246101224262442626282626810262862366810[[#This Row],[Uso diário]]*2</f>
        <v>26.8</v>
      </c>
      <c r="O9" s="19">
        <f>Tabela1746810121422303226816192527313336242101214161824262830384024810121416202226283032343624268101214246101224262442626282626810262862366810[[#This Row],[Total Acumulado]]-P9</f>
        <v>-67</v>
      </c>
      <c r="P9" s="48">
        <f>Tabela1746810121422303226816192527313336242101214161824262830384024810121416202226283032343624268101214246101224262442626282626810262862366810[[#This Row],[Uso diário]]*5</f>
        <v>67</v>
      </c>
      <c r="Q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" s="25">
        <v>3</v>
      </c>
    </row>
    <row r="10" spans="1:59" s="26" customFormat="1" x14ac:dyDescent="0.25">
      <c r="A10" s="16">
        <v>225983</v>
      </c>
      <c r="B10" s="30" t="s">
        <v>177</v>
      </c>
      <c r="C10" s="20" t="s">
        <v>647</v>
      </c>
      <c r="D10" s="20" t="s">
        <v>721</v>
      </c>
      <c r="E10" s="20" t="s">
        <v>2103</v>
      </c>
      <c r="F10" s="20" t="s">
        <v>2104</v>
      </c>
      <c r="G10" s="21">
        <v>18.8</v>
      </c>
      <c r="H10" s="16">
        <v>26</v>
      </c>
      <c r="I10" s="16"/>
      <c r="J1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10" s="22"/>
      <c r="L10" s="23">
        <v>5</v>
      </c>
      <c r="M10" s="23">
        <f>SUM(Tabela1746810121422303226816192527313336242101214161824262830384024810121416202226283032343624268101214246101224262442626282626810262862366810[[#This Row],[Saldo no cartão]:[Recarga Pendente]])</f>
        <v>5</v>
      </c>
      <c r="N10" s="19">
        <f>Tabela1746810121422303226816192527313336242101214161824262830384024810121416202226283032343624268101214246101224262442626282626810262862366810[[#This Row],[Uso diário]]*2</f>
        <v>37.6</v>
      </c>
      <c r="O10" s="19">
        <f>Tabela1746810121422303226816192527313336242101214161824262830384024810121416202226283032343624268101214246101224262442626282626810262862366810[[#This Row],[Total Acumulado]]-P10</f>
        <v>-89</v>
      </c>
      <c r="P10" s="48">
        <f>Tabela1746810121422303226816192527313336242101214161824262830384024810121416202226283032343624268101214246101224262442626282626810262862366810[[#This Row],[Uso diário]]*5</f>
        <v>94</v>
      </c>
      <c r="Q1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1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0" s="25">
        <v>3</v>
      </c>
    </row>
    <row r="11" spans="1:59" s="26" customFormat="1" x14ac:dyDescent="0.25">
      <c r="A11" s="16">
        <v>232022</v>
      </c>
      <c r="B11" s="30" t="s">
        <v>818</v>
      </c>
      <c r="C11" s="20" t="s">
        <v>647</v>
      </c>
      <c r="D11" s="20" t="s">
        <v>724</v>
      </c>
      <c r="E11" s="20" t="s">
        <v>2105</v>
      </c>
      <c r="F11" s="20" t="s">
        <v>2106</v>
      </c>
      <c r="G11" s="21">
        <v>13.4</v>
      </c>
      <c r="H11" s="16">
        <v>26</v>
      </c>
      <c r="I11" s="16"/>
      <c r="J1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11" s="22"/>
      <c r="L11" s="23"/>
      <c r="M11" s="23">
        <f>SUM(Tabela1746810121422303226816192527313336242101214161824262830384024810121416202226283032343624268101214246101224262442626282626810262862366810[[#This Row],[Saldo no cartão]:[Recarga Pendente]])</f>
        <v>0</v>
      </c>
      <c r="N11" s="19">
        <f>Tabela1746810121422303226816192527313336242101214161824262830384024810121416202226283032343624268101214246101224262442626282626810262862366810[[#This Row],[Uso diário]]*2</f>
        <v>26.8</v>
      </c>
      <c r="O11" s="19">
        <f>Tabela1746810121422303226816192527313336242101214161824262830384024810121416202226283032343624268101214246101224262442626282626810262862366810[[#This Row],[Total Acumulado]]-P11</f>
        <v>-67</v>
      </c>
      <c r="P11" s="48">
        <f>Tabela1746810121422303226816192527313336242101214161824262830384024810121416202226283032343624268101214246101224262442626282626810262862366810[[#This Row],[Uso diário]]*5</f>
        <v>67</v>
      </c>
      <c r="Q1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1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1" s="25">
        <v>3</v>
      </c>
    </row>
    <row r="12" spans="1:59" s="26" customFormat="1" ht="22.5" x14ac:dyDescent="0.25">
      <c r="A12" s="16">
        <v>234929</v>
      </c>
      <c r="B12" s="30" t="s">
        <v>1420</v>
      </c>
      <c r="C12" s="20" t="s">
        <v>647</v>
      </c>
      <c r="D12" s="20" t="s">
        <v>721</v>
      </c>
      <c r="E12" s="20">
        <v>0</v>
      </c>
      <c r="F12" s="20" t="s">
        <v>4181</v>
      </c>
      <c r="G12" s="21">
        <v>13.4</v>
      </c>
      <c r="H12" s="16">
        <v>0</v>
      </c>
      <c r="I12" s="16"/>
      <c r="J1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0</v>
      </c>
      <c r="K12" s="22"/>
      <c r="L12" s="23"/>
      <c r="M12" s="23">
        <f>SUM(Tabela1746810121422303226816192527313336242101214161824262830384024810121416202226283032343624268101214246101224262442626282626810262862366810[[#This Row],[Saldo no cartão]:[Recarga Pendente]])</f>
        <v>0</v>
      </c>
      <c r="N12" s="19">
        <f>Tabela1746810121422303226816192527313336242101214161824262830384024810121416202226283032343624268101214246101224262442626282626810262862366810[[#This Row],[Uso diário]]*2</f>
        <v>26.8</v>
      </c>
      <c r="O12" s="19">
        <f>Tabela1746810121422303226816192527313336242101214161824262830384024810121416202226283032343624268101214246101224262442626282626810262862366810[[#This Row],[Total Acumulado]]-P12</f>
        <v>-67</v>
      </c>
      <c r="P12" s="48">
        <f>Tabela1746810121422303226816192527313336242101214161824262830384024810121416202226283032343624268101214246101224262442626282626810262862366810[[#This Row],[Uso diário]]*5</f>
        <v>67</v>
      </c>
      <c r="Q1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0</v>
      </c>
      <c r="S12" s="18" t="str">
        <f>IF(Tabela1746810121422303226816192527313336242101214161824262830384024810121416202226283032343624268101214246101224262442626282626810262862366810[[#This Row],[Pedido Final]]=0,"NÃO EFETUAR RECARGA","RECARGA NORMAL")</f>
        <v>NÃO EFETUAR RECARGA</v>
      </c>
      <c r="T12" s="25">
        <v>3</v>
      </c>
    </row>
    <row r="13" spans="1:59" s="26" customFormat="1" x14ac:dyDescent="0.25">
      <c r="A13" s="16">
        <v>4177</v>
      </c>
      <c r="B13" s="30" t="s">
        <v>178</v>
      </c>
      <c r="C13" s="20" t="s">
        <v>629</v>
      </c>
      <c r="D13" s="20" t="s">
        <v>682</v>
      </c>
      <c r="E13" s="20" t="s">
        <v>2107</v>
      </c>
      <c r="F13" s="20" t="s">
        <v>2108</v>
      </c>
      <c r="G13" s="21">
        <v>18.8</v>
      </c>
      <c r="H13" s="16">
        <v>26</v>
      </c>
      <c r="I13" s="16"/>
      <c r="J1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13" s="22"/>
      <c r="L13" s="23"/>
      <c r="M13" s="23">
        <f>SUM(Tabela1746810121422303226816192527313336242101214161824262830384024810121416202226283032343624268101214246101224262442626282626810262862366810[[#This Row],[Saldo no cartão]:[Recarga Pendente]])</f>
        <v>0</v>
      </c>
      <c r="N13" s="19">
        <f>Tabela1746810121422303226816192527313336242101214161824262830384024810121416202226283032343624268101214246101224262442626282626810262862366810[[#This Row],[Uso diário]]*2</f>
        <v>37.6</v>
      </c>
      <c r="O13" s="19">
        <f>Tabela1746810121422303226816192527313336242101214161824262830384024810121416202226283032343624268101214246101224262442626282626810262862366810[[#This Row],[Total Acumulado]]-P13</f>
        <v>-94</v>
      </c>
      <c r="P13" s="48">
        <f>Tabela1746810121422303226816192527313336242101214161824262830384024810121416202226283032343624268101214246101224262442626282626810262862366810[[#This Row],[Uso diário]]*5</f>
        <v>94</v>
      </c>
      <c r="Q1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1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3" s="25">
        <v>3</v>
      </c>
    </row>
    <row r="14" spans="1:59" s="26" customFormat="1" x14ac:dyDescent="0.25">
      <c r="A14" s="16">
        <v>200011</v>
      </c>
      <c r="B14" s="30" t="s">
        <v>179</v>
      </c>
      <c r="C14" s="20" t="s">
        <v>648</v>
      </c>
      <c r="D14" s="20" t="s">
        <v>737</v>
      </c>
      <c r="E14" s="20" t="s">
        <v>2109</v>
      </c>
      <c r="F14" s="20" t="s">
        <v>2110</v>
      </c>
      <c r="G14" s="21">
        <v>10</v>
      </c>
      <c r="H14" s="16">
        <v>26</v>
      </c>
      <c r="I14" s="16"/>
      <c r="J1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260</v>
      </c>
      <c r="K14" s="22"/>
      <c r="L14" s="23"/>
      <c r="M14" s="23">
        <f>SUM(Tabela1746810121422303226816192527313336242101214161824262830384024810121416202226283032343624268101214246101224262442626282626810262862366810[[#This Row],[Saldo no cartão]:[Recarga Pendente]])</f>
        <v>0</v>
      </c>
      <c r="N14" s="19">
        <f>Tabela1746810121422303226816192527313336242101214161824262830384024810121416202226283032343624268101214246101224262442626282626810262862366810[[#This Row],[Uso diário]]*2</f>
        <v>20</v>
      </c>
      <c r="O14" s="19">
        <f>Tabela1746810121422303226816192527313336242101214161824262830384024810121416202226283032343624268101214246101224262442626282626810262862366810[[#This Row],[Total Acumulado]]-P14</f>
        <v>-50</v>
      </c>
      <c r="P14" s="48">
        <f>Tabela1746810121422303226816192527313336242101214161824262830384024810121416202226283032343624268101214246101224262442626282626810262862366810[[#This Row],[Uso diário]]*5</f>
        <v>50</v>
      </c>
      <c r="Q1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260</v>
      </c>
      <c r="S1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4" s="25">
        <v>3</v>
      </c>
    </row>
    <row r="15" spans="1:59" s="26" customFormat="1" x14ac:dyDescent="0.25">
      <c r="A15" s="16">
        <v>231942</v>
      </c>
      <c r="B15" s="30" t="s">
        <v>820</v>
      </c>
      <c r="C15" s="20" t="s">
        <v>648</v>
      </c>
      <c r="D15" s="20" t="s">
        <v>718</v>
      </c>
      <c r="E15" s="20" t="s">
        <v>2111</v>
      </c>
      <c r="F15" s="20" t="s">
        <v>2112</v>
      </c>
      <c r="G15" s="21">
        <v>18.8</v>
      </c>
      <c r="H15" s="16">
        <v>26</v>
      </c>
      <c r="I15" s="16">
        <v>10</v>
      </c>
      <c r="J1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15" s="22"/>
      <c r="L15" s="23"/>
      <c r="M15" s="23">
        <f>SUM(Tabela1746810121422303226816192527313336242101214161824262830384024810121416202226283032343624268101214246101224262442626282626810262862366810[[#This Row],[Saldo no cartão]:[Recarga Pendente]])</f>
        <v>0</v>
      </c>
      <c r="N15" s="19">
        <f>Tabela1746810121422303226816192527313336242101214161824262830384024810121416202226283032343624268101214246101224262442626282626810262862366810[[#This Row],[Uso diário]]*2</f>
        <v>37.6</v>
      </c>
      <c r="O15" s="19">
        <f>Tabela1746810121422303226816192527313336242101214161824262830384024810121416202226283032343624268101214246101224262442626282626810262862366810[[#This Row],[Total Acumulado]]-P15</f>
        <v>-94</v>
      </c>
      <c r="P15" s="48">
        <f>Tabela1746810121422303226816192527313336242101214161824262830384024810121416202226283032343624268101214246101224262442626282626810262862366810[[#This Row],[Uso diário]]*5</f>
        <v>94</v>
      </c>
      <c r="Q1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1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5" s="25">
        <v>3</v>
      </c>
    </row>
    <row r="16" spans="1:59" s="26" customFormat="1" x14ac:dyDescent="0.25">
      <c r="A16" s="16">
        <v>234472</v>
      </c>
      <c r="B16" s="30" t="s">
        <v>1278</v>
      </c>
      <c r="C16" s="20" t="s">
        <v>648</v>
      </c>
      <c r="D16" s="20" t="s">
        <v>718</v>
      </c>
      <c r="E16" s="20" t="s">
        <v>2113</v>
      </c>
      <c r="F16" s="20" t="s">
        <v>2114</v>
      </c>
      <c r="G16" s="21">
        <v>13.4</v>
      </c>
      <c r="H16" s="16">
        <v>26</v>
      </c>
      <c r="I16" s="16"/>
      <c r="J1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16" s="22"/>
      <c r="L16" s="23"/>
      <c r="M16" s="23">
        <f>SUM(Tabela1746810121422303226816192527313336242101214161824262830384024810121416202226283032343624268101214246101224262442626282626810262862366810[[#This Row],[Saldo no cartão]:[Recarga Pendente]])</f>
        <v>0</v>
      </c>
      <c r="N16" s="19">
        <f>Tabela1746810121422303226816192527313336242101214161824262830384024810121416202226283032343624268101214246101224262442626282626810262862366810[[#This Row],[Uso diário]]*2</f>
        <v>26.8</v>
      </c>
      <c r="O16" s="19">
        <f>Tabela1746810121422303226816192527313336242101214161824262830384024810121416202226283032343624268101214246101224262442626282626810262862366810[[#This Row],[Total Acumulado]]-P16</f>
        <v>-67</v>
      </c>
      <c r="P16" s="48">
        <f>Tabela1746810121422303226816192527313336242101214161824262830384024810121416202226283032343624268101214246101224262442626282626810262862366810[[#This Row],[Uso diário]]*5</f>
        <v>67</v>
      </c>
      <c r="Q1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1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6" s="25">
        <v>3</v>
      </c>
    </row>
    <row r="17" spans="1:20" s="26" customFormat="1" ht="22.5" x14ac:dyDescent="0.25">
      <c r="A17" s="16">
        <v>234643</v>
      </c>
      <c r="B17" s="30" t="s">
        <v>1306</v>
      </c>
      <c r="C17" s="20" t="s">
        <v>648</v>
      </c>
      <c r="D17" s="20" t="s">
        <v>718</v>
      </c>
      <c r="E17" s="20">
        <v>0</v>
      </c>
      <c r="F17" s="20" t="s">
        <v>4181</v>
      </c>
      <c r="G17" s="21">
        <v>13.4</v>
      </c>
      <c r="H17" s="16">
        <v>0</v>
      </c>
      <c r="I17" s="16"/>
      <c r="J1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0</v>
      </c>
      <c r="K17" s="22"/>
      <c r="L17" s="23"/>
      <c r="M17" s="23">
        <f>SUM(Tabela1746810121422303226816192527313336242101214161824262830384024810121416202226283032343624268101214246101224262442626282626810262862366810[[#This Row],[Saldo no cartão]:[Recarga Pendente]])</f>
        <v>0</v>
      </c>
      <c r="N17" s="19">
        <f>Tabela1746810121422303226816192527313336242101214161824262830384024810121416202226283032343624268101214246101224262442626282626810262862366810[[#This Row],[Uso diário]]*2</f>
        <v>26.8</v>
      </c>
      <c r="O17" s="19">
        <f>Tabela1746810121422303226816192527313336242101214161824262830384024810121416202226283032343624268101214246101224262442626282626810262862366810[[#This Row],[Total Acumulado]]-P17</f>
        <v>-67</v>
      </c>
      <c r="P17" s="48">
        <f>Tabela1746810121422303226816192527313336242101214161824262830384024810121416202226283032343624268101214246101224262442626282626810262862366810[[#This Row],[Uso diário]]*5</f>
        <v>67</v>
      </c>
      <c r="Q1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0</v>
      </c>
      <c r="S17" s="18" t="str">
        <f>IF(Tabela1746810121422303226816192527313336242101214161824262830384024810121416202226283032343624268101214246101224262442626282626810262862366810[[#This Row],[Pedido Final]]=0,"NÃO EFETUAR RECARGA","RECARGA NORMAL")</f>
        <v>NÃO EFETUAR RECARGA</v>
      </c>
      <c r="T17" s="25">
        <v>3</v>
      </c>
    </row>
    <row r="18" spans="1:20" s="26" customFormat="1" x14ac:dyDescent="0.25">
      <c r="A18" s="16">
        <v>234695</v>
      </c>
      <c r="B18" s="30" t="s">
        <v>1346</v>
      </c>
      <c r="C18" s="20" t="s">
        <v>648</v>
      </c>
      <c r="D18" s="20" t="s">
        <v>718</v>
      </c>
      <c r="E18" s="20" t="s">
        <v>2115</v>
      </c>
      <c r="F18" s="20" t="s">
        <v>2116</v>
      </c>
      <c r="G18" s="21">
        <v>13.4</v>
      </c>
      <c r="H18" s="16">
        <v>26</v>
      </c>
      <c r="I18" s="16"/>
      <c r="J1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18" s="22"/>
      <c r="L18" s="23"/>
      <c r="M18" s="23">
        <f>SUM(Tabela1746810121422303226816192527313336242101214161824262830384024810121416202226283032343624268101214246101224262442626282626810262862366810[[#This Row],[Saldo no cartão]:[Recarga Pendente]])</f>
        <v>0</v>
      </c>
      <c r="N18" s="19">
        <f>Tabela1746810121422303226816192527313336242101214161824262830384024810121416202226283032343624268101214246101224262442626282626810262862366810[[#This Row],[Uso diário]]*2</f>
        <v>26.8</v>
      </c>
      <c r="O18" s="19">
        <f>Tabela1746810121422303226816192527313336242101214161824262830384024810121416202226283032343624268101214246101224262442626282626810262862366810[[#This Row],[Total Acumulado]]-P18</f>
        <v>-67</v>
      </c>
      <c r="P18" s="48">
        <f>Tabela1746810121422303226816192527313336242101214161824262830384024810121416202226283032343624268101214246101224262442626282626810262862366810[[#This Row],[Uso diário]]*5</f>
        <v>67</v>
      </c>
      <c r="Q1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1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8" s="25">
        <v>3</v>
      </c>
    </row>
    <row r="19" spans="1:20" s="26" customFormat="1" x14ac:dyDescent="0.25">
      <c r="A19" s="16">
        <v>234721</v>
      </c>
      <c r="B19" s="30" t="s">
        <v>1347</v>
      </c>
      <c r="C19" s="20" t="s">
        <v>648</v>
      </c>
      <c r="D19" s="20" t="s">
        <v>718</v>
      </c>
      <c r="E19" s="20" t="s">
        <v>2117</v>
      </c>
      <c r="F19" s="20" t="s">
        <v>2118</v>
      </c>
      <c r="G19" s="21">
        <v>13.4</v>
      </c>
      <c r="H19" s="16">
        <v>26</v>
      </c>
      <c r="I19" s="16"/>
      <c r="J1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19" s="22"/>
      <c r="L19" s="23"/>
      <c r="M19" s="23">
        <f>SUM(Tabela1746810121422303226816192527313336242101214161824262830384024810121416202226283032343624268101214246101224262442626282626810262862366810[[#This Row],[Saldo no cartão]:[Recarga Pendente]])</f>
        <v>0</v>
      </c>
      <c r="N19" s="19">
        <f>Tabela1746810121422303226816192527313336242101214161824262830384024810121416202226283032343624268101214246101224262442626282626810262862366810[[#This Row],[Uso diário]]*2</f>
        <v>26.8</v>
      </c>
      <c r="O19" s="19">
        <f>Tabela1746810121422303226816192527313336242101214161824262830384024810121416202226283032343624268101214246101224262442626282626810262862366810[[#This Row],[Total Acumulado]]-P19</f>
        <v>-67</v>
      </c>
      <c r="P19" s="48">
        <f>Tabela1746810121422303226816192527313336242101214161824262830384024810121416202226283032343624268101214246101224262442626282626810262862366810[[#This Row],[Uso diário]]*5</f>
        <v>67</v>
      </c>
      <c r="Q1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1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1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19" s="25">
        <v>3</v>
      </c>
    </row>
    <row r="20" spans="1:20" s="26" customFormat="1" x14ac:dyDescent="0.25">
      <c r="A20" s="16">
        <v>216088</v>
      </c>
      <c r="B20" s="30" t="s">
        <v>182</v>
      </c>
      <c r="C20" s="20" t="s">
        <v>650</v>
      </c>
      <c r="D20" s="20" t="s">
        <v>738</v>
      </c>
      <c r="E20" s="20" t="s">
        <v>2119</v>
      </c>
      <c r="F20" s="20" t="s">
        <v>2120</v>
      </c>
      <c r="G20" s="21">
        <v>18.8</v>
      </c>
      <c r="H20" s="16">
        <v>26</v>
      </c>
      <c r="I20" s="16"/>
      <c r="J2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20" s="22"/>
      <c r="L20" s="23">
        <v>18.8</v>
      </c>
      <c r="M20" s="23">
        <f>SUM(Tabela1746810121422303226816192527313336242101214161824262830384024810121416202226283032343624268101214246101224262442626282626810262862366810[[#This Row],[Saldo no cartão]:[Recarga Pendente]])</f>
        <v>18.8</v>
      </c>
      <c r="N20" s="19">
        <f>Tabela1746810121422303226816192527313336242101214161824262830384024810121416202226283032343624268101214246101224262442626282626810262862366810[[#This Row],[Uso diário]]*2</f>
        <v>37.6</v>
      </c>
      <c r="O20" s="19">
        <f>Tabela1746810121422303226816192527313336242101214161824262830384024810121416202226283032343624268101214246101224262442626282626810262862366810[[#This Row],[Total Acumulado]]-P20</f>
        <v>-75.2</v>
      </c>
      <c r="P20" s="48">
        <f>Tabela1746810121422303226816192527313336242101214161824262830384024810121416202226283032343624268101214246101224262442626282626810262862366810[[#This Row],[Uso diário]]*5</f>
        <v>94</v>
      </c>
      <c r="Q2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2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0" s="25">
        <v>3</v>
      </c>
    </row>
    <row r="21" spans="1:20" s="26" customFormat="1" x14ac:dyDescent="0.25">
      <c r="A21" s="16">
        <v>225888</v>
      </c>
      <c r="B21" s="30" t="s">
        <v>1421</v>
      </c>
      <c r="C21" s="20" t="s">
        <v>650</v>
      </c>
      <c r="D21" s="20" t="s">
        <v>726</v>
      </c>
      <c r="E21" s="20" t="s">
        <v>2121</v>
      </c>
      <c r="F21" s="20" t="s">
        <v>2122</v>
      </c>
      <c r="G21" s="21">
        <v>13.4</v>
      </c>
      <c r="H21" s="16">
        <v>26</v>
      </c>
      <c r="I21" s="16"/>
      <c r="J2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21" s="22"/>
      <c r="L21" s="23"/>
      <c r="M21" s="23">
        <f>SUM(Tabela1746810121422303226816192527313336242101214161824262830384024810121416202226283032343624268101214246101224262442626282626810262862366810[[#This Row],[Saldo no cartão]:[Recarga Pendente]])</f>
        <v>0</v>
      </c>
      <c r="N21" s="19">
        <f>Tabela1746810121422303226816192527313336242101214161824262830384024810121416202226283032343624268101214246101224262442626282626810262862366810[[#This Row],[Uso diário]]*2</f>
        <v>26.8</v>
      </c>
      <c r="O21" s="19">
        <f>Tabela1746810121422303226816192527313336242101214161824262830384024810121416202226283032343624268101214246101224262442626282626810262862366810[[#This Row],[Total Acumulado]]-P21</f>
        <v>-67</v>
      </c>
      <c r="P21" s="48">
        <f>Tabela1746810121422303226816192527313336242101214161824262830384024810121416202226283032343624268101214246101224262442626282626810262862366810[[#This Row],[Uso diário]]*5</f>
        <v>67</v>
      </c>
      <c r="Q2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2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1" s="25">
        <v>3</v>
      </c>
    </row>
    <row r="22" spans="1:20" s="26" customFormat="1" x14ac:dyDescent="0.25">
      <c r="A22" s="16">
        <v>225917</v>
      </c>
      <c r="B22" s="30" t="s">
        <v>180</v>
      </c>
      <c r="C22" s="20" t="s">
        <v>650</v>
      </c>
      <c r="D22" s="20" t="s">
        <v>726</v>
      </c>
      <c r="E22" s="20" t="s">
        <v>2123</v>
      </c>
      <c r="F22" s="20" t="s">
        <v>2124</v>
      </c>
      <c r="G22" s="21">
        <v>13.4</v>
      </c>
      <c r="H22" s="16">
        <v>26</v>
      </c>
      <c r="I22" s="16">
        <v>1</v>
      </c>
      <c r="J2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335</v>
      </c>
      <c r="K22" s="22"/>
      <c r="L22" s="23">
        <v>273.7</v>
      </c>
      <c r="M22" s="23">
        <f>SUM(Tabela1746810121422303226816192527313336242101214161824262830384024810121416202226283032343624268101214246101224262442626282626810262862366810[[#This Row],[Saldo no cartão]:[Recarga Pendente]])</f>
        <v>273.7</v>
      </c>
      <c r="N22" s="19">
        <f>Tabela1746810121422303226816192527313336242101214161824262830384024810121416202226283032343624268101214246101224262442626282626810262862366810[[#This Row],[Uso diário]]*2</f>
        <v>26.8</v>
      </c>
      <c r="O22" s="19">
        <f>Tabela1746810121422303226816192527313336242101214161824262830384024810121416202226283032343624268101214246101224262442626282626810262862366810[[#This Row],[Total Acumulado]]-P22</f>
        <v>206.7</v>
      </c>
      <c r="P22" s="48">
        <f>Tabela1746810121422303226816192527313336242101214161824262830384024810121416202226283032343624268101214246101224262442626282626810262862366810[[#This Row],[Uso diário]]*5</f>
        <v>67</v>
      </c>
      <c r="Q2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206.7</v>
      </c>
      <c r="R2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128.30000000000001</v>
      </c>
      <c r="S22" s="18" t="s">
        <v>11</v>
      </c>
      <c r="T22" s="25">
        <v>3</v>
      </c>
    </row>
    <row r="23" spans="1:20" s="26" customFormat="1" x14ac:dyDescent="0.25">
      <c r="A23" s="16">
        <v>3223</v>
      </c>
      <c r="B23" s="30" t="s">
        <v>183</v>
      </c>
      <c r="C23" s="20" t="s">
        <v>651</v>
      </c>
      <c r="D23" s="20" t="s">
        <v>719</v>
      </c>
      <c r="E23" s="20" t="s">
        <v>2125</v>
      </c>
      <c r="F23" s="20" t="s">
        <v>2126</v>
      </c>
      <c r="G23" s="21">
        <v>13.4</v>
      </c>
      <c r="H23" s="16">
        <v>16</v>
      </c>
      <c r="I23" s="16"/>
      <c r="J2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23" s="22"/>
      <c r="L23" s="23"/>
      <c r="M23" s="23">
        <f>SUM(Tabela1746810121422303226816192527313336242101214161824262830384024810121416202226283032343624268101214246101224262442626282626810262862366810[[#This Row],[Saldo no cartão]:[Recarga Pendente]])</f>
        <v>0</v>
      </c>
      <c r="N23" s="19">
        <f>Tabela1746810121422303226816192527313336242101214161824262830384024810121416202226283032343624268101214246101224262442626282626810262862366810[[#This Row],[Uso diário]]*2</f>
        <v>26.8</v>
      </c>
      <c r="O23" s="19">
        <f>Tabela1746810121422303226816192527313336242101214161824262830384024810121416202226283032343624268101214246101224262442626282626810262862366810[[#This Row],[Total Acumulado]]-P23</f>
        <v>-67</v>
      </c>
      <c r="P23" s="48">
        <f>Tabela1746810121422303226816192527313336242101214161824262830384024810121416202226283032343624268101214246101224262442626282626810262862366810[[#This Row],[Uso diário]]*5</f>
        <v>67</v>
      </c>
      <c r="Q2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2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3" s="25">
        <v>3</v>
      </c>
    </row>
    <row r="24" spans="1:20" s="26" customFormat="1" x14ac:dyDescent="0.25">
      <c r="A24" s="16">
        <v>4018</v>
      </c>
      <c r="B24" s="30" t="s">
        <v>184</v>
      </c>
      <c r="C24" s="20" t="s">
        <v>651</v>
      </c>
      <c r="D24" s="20" t="s">
        <v>717</v>
      </c>
      <c r="E24" s="20" t="s">
        <v>2127</v>
      </c>
      <c r="F24" s="20" t="s">
        <v>2128</v>
      </c>
      <c r="G24" s="21">
        <v>18.8</v>
      </c>
      <c r="H24" s="16">
        <v>16</v>
      </c>
      <c r="I24" s="16"/>
      <c r="J2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24" s="22"/>
      <c r="L24" s="23">
        <v>220</v>
      </c>
      <c r="M24" s="23">
        <f>SUM(Tabela1746810121422303226816192527313336242101214161824262830384024810121416202226283032343624268101214246101224262442626282626810262862366810[[#This Row],[Saldo no cartão]:[Recarga Pendente]])</f>
        <v>220</v>
      </c>
      <c r="N24" s="19">
        <f>Tabela1746810121422303226816192527313336242101214161824262830384024810121416202226283032343624268101214246101224262442626282626810262862366810[[#This Row],[Uso diário]]*2</f>
        <v>37.6</v>
      </c>
      <c r="O24" s="19">
        <f>Tabela1746810121422303226816192527313336242101214161824262830384024810121416202226283032343624268101214246101224262442626282626810262862366810[[#This Row],[Total Acumulado]]-P24</f>
        <v>126</v>
      </c>
      <c r="P24" s="48">
        <f>Tabela1746810121422303226816192527313336242101214161824262830384024810121416202226283032343624268101214246101224262442626282626810262862366810[[#This Row],[Uso diário]]*5</f>
        <v>94</v>
      </c>
      <c r="Q2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126</v>
      </c>
      <c r="R2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174.8</v>
      </c>
      <c r="S24" s="18" t="s">
        <v>11</v>
      </c>
      <c r="T24" s="25">
        <v>3</v>
      </c>
    </row>
    <row r="25" spans="1:20" s="26" customFormat="1" x14ac:dyDescent="0.25">
      <c r="A25" s="16">
        <v>202054</v>
      </c>
      <c r="B25" s="30" t="s">
        <v>185</v>
      </c>
      <c r="C25" s="20" t="s">
        <v>651</v>
      </c>
      <c r="D25" s="20" t="s">
        <v>719</v>
      </c>
      <c r="E25" s="20" t="s">
        <v>2129</v>
      </c>
      <c r="F25" s="20" t="s">
        <v>2130</v>
      </c>
      <c r="G25" s="21">
        <v>18.8</v>
      </c>
      <c r="H25" s="16">
        <v>16</v>
      </c>
      <c r="I25" s="16"/>
      <c r="J2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25" s="22"/>
      <c r="L25" s="23"/>
      <c r="M25" s="23">
        <f>SUM(Tabela1746810121422303226816192527313336242101214161824262830384024810121416202226283032343624268101214246101224262442626282626810262862366810[[#This Row],[Saldo no cartão]:[Recarga Pendente]])</f>
        <v>0</v>
      </c>
      <c r="N25" s="19">
        <f>Tabela1746810121422303226816192527313336242101214161824262830384024810121416202226283032343624268101214246101224262442626282626810262862366810[[#This Row],[Uso diário]]*2</f>
        <v>37.6</v>
      </c>
      <c r="O25" s="19">
        <f>Tabela1746810121422303226816192527313336242101214161824262830384024810121416202226283032343624268101214246101224262442626282626810262862366810[[#This Row],[Total Acumulado]]-P25</f>
        <v>-94</v>
      </c>
      <c r="P25" s="48">
        <f>Tabela1746810121422303226816192527313336242101214161824262830384024810121416202226283032343624268101214246101224262442626282626810262862366810[[#This Row],[Uso diário]]*5</f>
        <v>94</v>
      </c>
      <c r="Q2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2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5" s="25">
        <v>3</v>
      </c>
    </row>
    <row r="26" spans="1:20" s="26" customFormat="1" x14ac:dyDescent="0.25">
      <c r="A26" s="16">
        <v>209934</v>
      </c>
      <c r="B26" s="30" t="s">
        <v>186</v>
      </c>
      <c r="C26" s="20" t="s">
        <v>651</v>
      </c>
      <c r="D26" s="20" t="s">
        <v>719</v>
      </c>
      <c r="E26" s="20" t="s">
        <v>2131</v>
      </c>
      <c r="F26" s="20" t="s">
        <v>2132</v>
      </c>
      <c r="G26" s="21">
        <v>13.4</v>
      </c>
      <c r="H26" s="16">
        <v>16</v>
      </c>
      <c r="I26" s="16"/>
      <c r="J2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26" s="22"/>
      <c r="L26" s="23"/>
      <c r="M26" s="23">
        <f>SUM(Tabela1746810121422303226816192527313336242101214161824262830384024810121416202226283032343624268101214246101224262442626282626810262862366810[[#This Row],[Saldo no cartão]:[Recarga Pendente]])</f>
        <v>0</v>
      </c>
      <c r="N26" s="19">
        <f>Tabela1746810121422303226816192527313336242101214161824262830384024810121416202226283032343624268101214246101224262442626282626810262862366810[[#This Row],[Uso diário]]*2</f>
        <v>26.8</v>
      </c>
      <c r="O26" s="19">
        <f>Tabela1746810121422303226816192527313336242101214161824262830384024810121416202226283032343624268101214246101224262442626282626810262862366810[[#This Row],[Total Acumulado]]-P26</f>
        <v>-67</v>
      </c>
      <c r="P26" s="48">
        <f>Tabela1746810121422303226816192527313336242101214161824262830384024810121416202226283032343624268101214246101224262442626282626810262862366810[[#This Row],[Uso diário]]*5</f>
        <v>67</v>
      </c>
      <c r="Q2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2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6" s="25">
        <v>3</v>
      </c>
    </row>
    <row r="27" spans="1:20" s="26" customFormat="1" x14ac:dyDescent="0.25">
      <c r="A27" s="16">
        <v>214190</v>
      </c>
      <c r="B27" s="30" t="s">
        <v>1422</v>
      </c>
      <c r="C27" s="20" t="s">
        <v>651</v>
      </c>
      <c r="D27" s="20" t="s">
        <v>717</v>
      </c>
      <c r="E27" s="20" t="s">
        <v>2133</v>
      </c>
      <c r="F27" s="20" t="s">
        <v>2134</v>
      </c>
      <c r="G27" s="21">
        <v>18.8</v>
      </c>
      <c r="H27" s="16">
        <v>16</v>
      </c>
      <c r="I27" s="16"/>
      <c r="J2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27" s="22"/>
      <c r="L27" s="23"/>
      <c r="M27" s="23">
        <f>SUM(Tabela1746810121422303226816192527313336242101214161824262830384024810121416202226283032343624268101214246101224262442626282626810262862366810[[#This Row],[Saldo no cartão]:[Recarga Pendente]])</f>
        <v>0</v>
      </c>
      <c r="N27" s="19">
        <f>Tabela1746810121422303226816192527313336242101214161824262830384024810121416202226283032343624268101214246101224262442626282626810262862366810[[#This Row],[Uso diário]]*2</f>
        <v>37.6</v>
      </c>
      <c r="O27" s="19">
        <f>Tabela1746810121422303226816192527313336242101214161824262830384024810121416202226283032343624268101214246101224262442626282626810262862366810[[#This Row],[Total Acumulado]]-P27</f>
        <v>-94</v>
      </c>
      <c r="P27" s="48">
        <f>Tabela1746810121422303226816192527313336242101214161824262830384024810121416202226283032343624268101214246101224262442626282626810262862366810[[#This Row],[Uso diário]]*5</f>
        <v>94</v>
      </c>
      <c r="Q2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2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7" s="25">
        <v>3</v>
      </c>
    </row>
    <row r="28" spans="1:20" s="26" customFormat="1" x14ac:dyDescent="0.25">
      <c r="A28" s="16">
        <v>215130</v>
      </c>
      <c r="B28" s="30" t="s">
        <v>1046</v>
      </c>
      <c r="C28" s="20" t="s">
        <v>651</v>
      </c>
      <c r="D28" s="20" t="s">
        <v>719</v>
      </c>
      <c r="E28" s="20" t="s">
        <v>2135</v>
      </c>
      <c r="F28" s="20" t="s">
        <v>2136</v>
      </c>
      <c r="G28" s="21">
        <v>13.4</v>
      </c>
      <c r="H28" s="16">
        <v>16</v>
      </c>
      <c r="I28" s="16"/>
      <c r="J2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28" s="22"/>
      <c r="L28" s="23">
        <v>26.1</v>
      </c>
      <c r="M28" s="23">
        <f>SUM(Tabela1746810121422303226816192527313336242101214161824262830384024810121416202226283032343624268101214246101224262442626282626810262862366810[[#This Row],[Saldo no cartão]:[Recarga Pendente]])</f>
        <v>26.1</v>
      </c>
      <c r="N28" s="19">
        <f>Tabela1746810121422303226816192527313336242101214161824262830384024810121416202226283032343624268101214246101224262442626282626810262862366810[[#This Row],[Uso diário]]*2</f>
        <v>26.8</v>
      </c>
      <c r="O28" s="19">
        <f>Tabela1746810121422303226816192527313336242101214161824262830384024810121416202226283032343624268101214246101224262442626282626810262862366810[[#This Row],[Total Acumulado]]-P28</f>
        <v>-40.9</v>
      </c>
      <c r="P28" s="48">
        <f>Tabela1746810121422303226816192527313336242101214161824262830384024810121416202226283032343624268101214246101224262442626282626810262862366810[[#This Row],[Uso diário]]*5</f>
        <v>67</v>
      </c>
      <c r="Q2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2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8" s="25">
        <v>3</v>
      </c>
    </row>
    <row r="29" spans="1:20" s="26" customFormat="1" x14ac:dyDescent="0.25">
      <c r="A29" s="16">
        <v>216418</v>
      </c>
      <c r="B29" s="30" t="s">
        <v>1157</v>
      </c>
      <c r="C29" s="20" t="s">
        <v>651</v>
      </c>
      <c r="D29" s="20" t="s">
        <v>727</v>
      </c>
      <c r="E29" s="20" t="s">
        <v>2137</v>
      </c>
      <c r="F29" s="20" t="s">
        <v>2138</v>
      </c>
      <c r="G29" s="21">
        <v>18.8</v>
      </c>
      <c r="H29" s="16">
        <v>26</v>
      </c>
      <c r="I29" s="16"/>
      <c r="J2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29" s="22"/>
      <c r="L29" s="23"/>
      <c r="M29" s="23">
        <f>SUM(Tabela1746810121422303226816192527313336242101214161824262830384024810121416202226283032343624268101214246101224262442626282626810262862366810[[#This Row],[Saldo no cartão]:[Recarga Pendente]])</f>
        <v>0</v>
      </c>
      <c r="N29" s="19">
        <f>Tabela1746810121422303226816192527313336242101214161824262830384024810121416202226283032343624268101214246101224262442626282626810262862366810[[#This Row],[Uso diário]]*2</f>
        <v>37.6</v>
      </c>
      <c r="O29" s="19">
        <f>Tabela1746810121422303226816192527313336242101214161824262830384024810121416202226283032343624268101214246101224262442626282626810262862366810[[#This Row],[Total Acumulado]]-P29</f>
        <v>-94</v>
      </c>
      <c r="P29" s="48">
        <f>Tabela1746810121422303226816192527313336242101214161824262830384024810121416202226283032343624268101214246101224262442626282626810262862366810[[#This Row],[Uso diário]]*5</f>
        <v>94</v>
      </c>
      <c r="Q2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2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2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29" s="25">
        <v>3</v>
      </c>
    </row>
    <row r="30" spans="1:20" s="26" customFormat="1" x14ac:dyDescent="0.25">
      <c r="A30" s="16">
        <v>217032</v>
      </c>
      <c r="B30" s="30" t="s">
        <v>1047</v>
      </c>
      <c r="C30" s="20" t="s">
        <v>651</v>
      </c>
      <c r="D30" s="20" t="s">
        <v>719</v>
      </c>
      <c r="E30" s="20" t="s">
        <v>2139</v>
      </c>
      <c r="F30" s="20" t="s">
        <v>2140</v>
      </c>
      <c r="G30" s="21">
        <v>18.8</v>
      </c>
      <c r="H30" s="16">
        <v>16</v>
      </c>
      <c r="I30" s="16"/>
      <c r="J3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30" s="22"/>
      <c r="L30" s="23"/>
      <c r="M30" s="23">
        <f>SUM(Tabela1746810121422303226816192527313336242101214161824262830384024810121416202226283032343624268101214246101224262442626282626810262862366810[[#This Row],[Saldo no cartão]:[Recarga Pendente]])</f>
        <v>0</v>
      </c>
      <c r="N30" s="19">
        <f>Tabela1746810121422303226816192527313336242101214161824262830384024810121416202226283032343624268101214246101224262442626282626810262862366810[[#This Row],[Uso diário]]*2</f>
        <v>37.6</v>
      </c>
      <c r="O30" s="19">
        <f>Tabela1746810121422303226816192527313336242101214161824262830384024810121416202226283032343624268101214246101224262442626282626810262862366810[[#This Row],[Total Acumulado]]-P30</f>
        <v>-94</v>
      </c>
      <c r="P30" s="48">
        <f>Tabela1746810121422303226816192527313336242101214161824262830384024810121416202226283032343624268101214246101224262442626282626810262862366810[[#This Row],[Uso diário]]*5</f>
        <v>94</v>
      </c>
      <c r="Q3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3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0" s="25">
        <v>3</v>
      </c>
    </row>
    <row r="31" spans="1:20" s="26" customFormat="1" x14ac:dyDescent="0.25">
      <c r="A31" s="16">
        <v>219072</v>
      </c>
      <c r="B31" s="30" t="s">
        <v>188</v>
      </c>
      <c r="C31" s="20" t="s">
        <v>651</v>
      </c>
      <c r="D31" s="20" t="s">
        <v>716</v>
      </c>
      <c r="E31" s="20" t="s">
        <v>2141</v>
      </c>
      <c r="F31" s="20" t="s">
        <v>2142</v>
      </c>
      <c r="G31" s="21">
        <v>13.4</v>
      </c>
      <c r="H31" s="16">
        <v>16</v>
      </c>
      <c r="I31" s="16"/>
      <c r="J3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31" s="22"/>
      <c r="L31" s="23"/>
      <c r="M31" s="23">
        <f>SUM(Tabela1746810121422303226816192527313336242101214161824262830384024810121416202226283032343624268101214246101224262442626282626810262862366810[[#This Row],[Saldo no cartão]:[Recarga Pendente]])</f>
        <v>0</v>
      </c>
      <c r="N31" s="19">
        <f>Tabela1746810121422303226816192527313336242101214161824262830384024810121416202226283032343624268101214246101224262442626282626810262862366810[[#This Row],[Uso diário]]*2</f>
        <v>26.8</v>
      </c>
      <c r="O31" s="19">
        <f>Tabela1746810121422303226816192527313336242101214161824262830384024810121416202226283032343624268101214246101224262442626282626810262862366810[[#This Row],[Total Acumulado]]-P31</f>
        <v>-67</v>
      </c>
      <c r="P31" s="48">
        <f>Tabela1746810121422303226816192527313336242101214161824262830384024810121416202226283032343624268101214246101224262442626282626810262862366810[[#This Row],[Uso diário]]*5</f>
        <v>67</v>
      </c>
      <c r="Q3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3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1" s="25">
        <v>3</v>
      </c>
    </row>
    <row r="32" spans="1:20" s="26" customFormat="1" x14ac:dyDescent="0.25">
      <c r="A32" s="16">
        <v>219300</v>
      </c>
      <c r="B32" s="30" t="s">
        <v>189</v>
      </c>
      <c r="C32" s="20" t="s">
        <v>651</v>
      </c>
      <c r="D32" s="20" t="s">
        <v>719</v>
      </c>
      <c r="E32" s="20" t="s">
        <v>2143</v>
      </c>
      <c r="F32" s="20" t="s">
        <v>2144</v>
      </c>
      <c r="G32" s="21">
        <v>18.8</v>
      </c>
      <c r="H32" s="16">
        <v>16</v>
      </c>
      <c r="I32" s="16"/>
      <c r="J3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32" s="22"/>
      <c r="L32" s="23"/>
      <c r="M32" s="23">
        <f>SUM(Tabela1746810121422303226816192527313336242101214161824262830384024810121416202226283032343624268101214246101224262442626282626810262862366810[[#This Row],[Saldo no cartão]:[Recarga Pendente]])</f>
        <v>0</v>
      </c>
      <c r="N32" s="19">
        <f>Tabela1746810121422303226816192527313336242101214161824262830384024810121416202226283032343624268101214246101224262442626282626810262862366810[[#This Row],[Uso diário]]*2</f>
        <v>37.6</v>
      </c>
      <c r="O32" s="19">
        <f>Tabela1746810121422303226816192527313336242101214161824262830384024810121416202226283032343624268101214246101224262442626282626810262862366810[[#This Row],[Total Acumulado]]-P32</f>
        <v>-94</v>
      </c>
      <c r="P32" s="48">
        <f>Tabela1746810121422303226816192527313336242101214161824262830384024810121416202226283032343624268101214246101224262442626282626810262862366810[[#This Row],[Uso diário]]*5</f>
        <v>94</v>
      </c>
      <c r="Q3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3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2" s="25">
        <v>3</v>
      </c>
    </row>
    <row r="33" spans="1:20" s="26" customFormat="1" x14ac:dyDescent="0.25">
      <c r="A33" s="16">
        <v>222721</v>
      </c>
      <c r="B33" s="30" t="s">
        <v>1048</v>
      </c>
      <c r="C33" s="20" t="s">
        <v>651</v>
      </c>
      <c r="D33" s="20" t="s">
        <v>717</v>
      </c>
      <c r="E33" s="20" t="s">
        <v>2145</v>
      </c>
      <c r="F33" s="20" t="s">
        <v>2146</v>
      </c>
      <c r="G33" s="21">
        <v>18.8</v>
      </c>
      <c r="H33" s="16">
        <v>16</v>
      </c>
      <c r="I33" s="16"/>
      <c r="J3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33" s="22"/>
      <c r="L33" s="23">
        <v>204.2</v>
      </c>
      <c r="M33" s="23">
        <f>SUM(Tabela1746810121422303226816192527313336242101214161824262830384024810121416202226283032343624268101214246101224262442626282626810262862366810[[#This Row],[Saldo no cartão]:[Recarga Pendente]])</f>
        <v>204.2</v>
      </c>
      <c r="N33" s="19">
        <f>Tabela1746810121422303226816192527313336242101214161824262830384024810121416202226283032343624268101214246101224262442626282626810262862366810[[#This Row],[Uso diário]]*2</f>
        <v>37.6</v>
      </c>
      <c r="O33" s="19">
        <f>Tabela1746810121422303226816192527313336242101214161824262830384024810121416202226283032343624268101214246101224262442626282626810262862366810[[#This Row],[Total Acumulado]]-P33</f>
        <v>110.19999999999999</v>
      </c>
      <c r="P33" s="48">
        <f>Tabela1746810121422303226816192527313336242101214161824262830384024810121416202226283032343624268101214246101224262442626282626810262862366810[[#This Row],[Uso diário]]*5</f>
        <v>94</v>
      </c>
      <c r="Q3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110.19999999999999</v>
      </c>
      <c r="R3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190.60000000000002</v>
      </c>
      <c r="S33" s="18" t="s">
        <v>11</v>
      </c>
      <c r="T33" s="25">
        <v>3</v>
      </c>
    </row>
    <row r="34" spans="1:20" s="26" customFormat="1" x14ac:dyDescent="0.25">
      <c r="A34" s="16">
        <v>224580</v>
      </c>
      <c r="B34" s="30" t="s">
        <v>190</v>
      </c>
      <c r="C34" s="20" t="s">
        <v>651</v>
      </c>
      <c r="D34" s="20" t="s">
        <v>717</v>
      </c>
      <c r="E34" s="20" t="s">
        <v>2147</v>
      </c>
      <c r="F34" s="20" t="s">
        <v>2148</v>
      </c>
      <c r="G34" s="21">
        <v>13.4</v>
      </c>
      <c r="H34" s="16">
        <v>16</v>
      </c>
      <c r="I34" s="16">
        <v>3</v>
      </c>
      <c r="J3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174.20000000000002</v>
      </c>
      <c r="K34" s="22"/>
      <c r="L34" s="23"/>
      <c r="M34" s="23">
        <f>SUM(Tabela1746810121422303226816192527313336242101214161824262830384024810121416202226283032343624268101214246101224262442626282626810262862366810[[#This Row],[Saldo no cartão]:[Recarga Pendente]])</f>
        <v>0</v>
      </c>
      <c r="N34" s="19">
        <f>Tabela1746810121422303226816192527313336242101214161824262830384024810121416202226283032343624268101214246101224262442626282626810262862366810[[#This Row],[Uso diário]]*2</f>
        <v>26.8</v>
      </c>
      <c r="O34" s="19">
        <f>Tabela1746810121422303226816192527313336242101214161824262830384024810121416202226283032343624268101214246101224262442626282626810262862366810[[#This Row],[Total Acumulado]]-P34</f>
        <v>-67</v>
      </c>
      <c r="P34" s="48">
        <f>Tabela1746810121422303226816192527313336242101214161824262830384024810121416202226283032343624268101214246101224262442626282626810262862366810[[#This Row],[Uso diário]]*5</f>
        <v>67</v>
      </c>
      <c r="Q3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174.20000000000002</v>
      </c>
      <c r="S3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4" s="25">
        <v>3</v>
      </c>
    </row>
    <row r="35" spans="1:20" s="26" customFormat="1" x14ac:dyDescent="0.25">
      <c r="A35" s="16">
        <v>226818</v>
      </c>
      <c r="B35" s="30" t="s">
        <v>191</v>
      </c>
      <c r="C35" s="20" t="s">
        <v>651</v>
      </c>
      <c r="D35" s="20" t="s">
        <v>719</v>
      </c>
      <c r="E35" s="20" t="s">
        <v>2149</v>
      </c>
      <c r="F35" s="20" t="s">
        <v>2150</v>
      </c>
      <c r="G35" s="21">
        <v>18.8</v>
      </c>
      <c r="H35" s="16">
        <v>16</v>
      </c>
      <c r="I35" s="16"/>
      <c r="J3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35" s="22"/>
      <c r="L35" s="23"/>
      <c r="M35" s="23">
        <f>SUM(Tabela1746810121422303226816192527313336242101214161824262830384024810121416202226283032343624268101214246101224262442626282626810262862366810[[#This Row],[Saldo no cartão]:[Recarga Pendente]])</f>
        <v>0</v>
      </c>
      <c r="N35" s="19">
        <f>Tabela1746810121422303226816192527313336242101214161824262830384024810121416202226283032343624268101214246101224262442626282626810262862366810[[#This Row],[Uso diário]]*2</f>
        <v>37.6</v>
      </c>
      <c r="O35" s="19">
        <f>Tabela1746810121422303226816192527313336242101214161824262830384024810121416202226283032343624268101214246101224262442626282626810262862366810[[#This Row],[Total Acumulado]]-P35</f>
        <v>-94</v>
      </c>
      <c r="P35" s="48">
        <f>Tabela1746810121422303226816192527313336242101214161824262830384024810121416202226283032343624268101214246101224262442626282626810262862366810[[#This Row],[Uso diário]]*5</f>
        <v>94</v>
      </c>
      <c r="Q3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3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5" s="25">
        <v>3</v>
      </c>
    </row>
    <row r="36" spans="1:20" s="26" customFormat="1" x14ac:dyDescent="0.25">
      <c r="A36" s="16">
        <v>228543</v>
      </c>
      <c r="B36" s="30" t="s">
        <v>225</v>
      </c>
      <c r="C36" s="20" t="s">
        <v>651</v>
      </c>
      <c r="D36" s="20" t="s">
        <v>717</v>
      </c>
      <c r="E36" s="20" t="s">
        <v>2151</v>
      </c>
      <c r="F36" s="20" t="s">
        <v>2152</v>
      </c>
      <c r="G36" s="21">
        <v>18.8</v>
      </c>
      <c r="H36" s="16">
        <v>16</v>
      </c>
      <c r="I36" s="16"/>
      <c r="J3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36" s="22"/>
      <c r="L36" s="23"/>
      <c r="M36" s="23">
        <f>SUM(Tabela1746810121422303226816192527313336242101214161824262830384024810121416202226283032343624268101214246101224262442626282626810262862366810[[#This Row],[Saldo no cartão]:[Recarga Pendente]])</f>
        <v>0</v>
      </c>
      <c r="N36" s="19">
        <f>Tabela1746810121422303226816192527313336242101214161824262830384024810121416202226283032343624268101214246101224262442626282626810262862366810[[#This Row],[Uso diário]]*2</f>
        <v>37.6</v>
      </c>
      <c r="O36" s="19">
        <f>Tabela1746810121422303226816192527313336242101214161824262830384024810121416202226283032343624268101214246101224262442626282626810262862366810[[#This Row],[Total Acumulado]]-P36</f>
        <v>-94</v>
      </c>
      <c r="P36" s="48">
        <f>Tabela1746810121422303226816192527313336242101214161824262830384024810121416202226283032343624268101214246101224262442626282626810262862366810[[#This Row],[Uso diário]]*5</f>
        <v>94</v>
      </c>
      <c r="Q3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3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6" s="25">
        <v>3</v>
      </c>
    </row>
    <row r="37" spans="1:20" s="26" customFormat="1" x14ac:dyDescent="0.25">
      <c r="A37" s="16">
        <v>228576</v>
      </c>
      <c r="B37" s="30" t="s">
        <v>192</v>
      </c>
      <c r="C37" s="20" t="s">
        <v>651</v>
      </c>
      <c r="D37" s="20" t="s">
        <v>717</v>
      </c>
      <c r="E37" s="20" t="s">
        <v>2153</v>
      </c>
      <c r="F37" s="20" t="s">
        <v>2154</v>
      </c>
      <c r="G37" s="21">
        <v>13.4</v>
      </c>
      <c r="H37" s="16">
        <v>16</v>
      </c>
      <c r="I37" s="16"/>
      <c r="J3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37" s="22"/>
      <c r="L37" s="23"/>
      <c r="M37" s="23">
        <f>SUM(Tabela1746810121422303226816192527313336242101214161824262830384024810121416202226283032343624268101214246101224262442626282626810262862366810[[#This Row],[Saldo no cartão]:[Recarga Pendente]])</f>
        <v>0</v>
      </c>
      <c r="N37" s="19">
        <f>Tabela1746810121422303226816192527313336242101214161824262830384024810121416202226283032343624268101214246101224262442626282626810262862366810[[#This Row],[Uso diário]]*2</f>
        <v>26.8</v>
      </c>
      <c r="O37" s="19">
        <f>Tabela1746810121422303226816192527313336242101214161824262830384024810121416202226283032343624268101214246101224262442626282626810262862366810[[#This Row],[Total Acumulado]]-P37</f>
        <v>-67</v>
      </c>
      <c r="P37" s="48">
        <f>Tabela1746810121422303226816192527313336242101214161824262830384024810121416202226283032343624268101214246101224262442626282626810262862366810[[#This Row],[Uso diário]]*5</f>
        <v>67</v>
      </c>
      <c r="Q3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3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7" s="25">
        <v>3</v>
      </c>
    </row>
    <row r="38" spans="1:20" s="26" customFormat="1" x14ac:dyDescent="0.25">
      <c r="A38" s="16">
        <v>230500</v>
      </c>
      <c r="B38" s="30" t="s">
        <v>1158</v>
      </c>
      <c r="C38" s="20" t="s">
        <v>651</v>
      </c>
      <c r="D38" s="20" t="s">
        <v>716</v>
      </c>
      <c r="E38" s="20" t="s">
        <v>2155</v>
      </c>
      <c r="F38" s="20" t="s">
        <v>2156</v>
      </c>
      <c r="G38" s="21">
        <v>18.8</v>
      </c>
      <c r="H38" s="16">
        <v>16</v>
      </c>
      <c r="I38" s="16"/>
      <c r="J3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38" s="22"/>
      <c r="L38" s="23"/>
      <c r="M38" s="23">
        <f>SUM(Tabela1746810121422303226816192527313336242101214161824262830384024810121416202226283032343624268101214246101224262442626282626810262862366810[[#This Row],[Saldo no cartão]:[Recarga Pendente]])</f>
        <v>0</v>
      </c>
      <c r="N38" s="19">
        <f>Tabela1746810121422303226816192527313336242101214161824262830384024810121416202226283032343624268101214246101224262442626282626810262862366810[[#This Row],[Uso diário]]*2</f>
        <v>37.6</v>
      </c>
      <c r="O38" s="19">
        <f>Tabela1746810121422303226816192527313336242101214161824262830384024810121416202226283032343624268101214246101224262442626282626810262862366810[[#This Row],[Total Acumulado]]-P38</f>
        <v>-94</v>
      </c>
      <c r="P38" s="48">
        <f>Tabela1746810121422303226816192527313336242101214161824262830384024810121416202226283032343624268101214246101224262442626282626810262862366810[[#This Row],[Uso diário]]*5</f>
        <v>94</v>
      </c>
      <c r="Q3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3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8" s="25">
        <v>3</v>
      </c>
    </row>
    <row r="39" spans="1:20" s="26" customFormat="1" x14ac:dyDescent="0.25">
      <c r="A39" s="16">
        <v>230570</v>
      </c>
      <c r="B39" s="30" t="s">
        <v>1159</v>
      </c>
      <c r="C39" s="20" t="s">
        <v>651</v>
      </c>
      <c r="D39" s="20" t="s">
        <v>716</v>
      </c>
      <c r="E39" s="20" t="s">
        <v>2157</v>
      </c>
      <c r="F39" s="20" t="s">
        <v>2158</v>
      </c>
      <c r="G39" s="21">
        <v>13.4</v>
      </c>
      <c r="H39" s="16">
        <v>16</v>
      </c>
      <c r="I39" s="16"/>
      <c r="J3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39" s="22"/>
      <c r="L39" s="23"/>
      <c r="M39" s="23">
        <f>SUM(Tabela1746810121422303226816192527313336242101214161824262830384024810121416202226283032343624268101214246101224262442626282626810262862366810[[#This Row],[Saldo no cartão]:[Recarga Pendente]])</f>
        <v>0</v>
      </c>
      <c r="N39" s="19">
        <f>Tabela1746810121422303226816192527313336242101214161824262830384024810121416202226283032343624268101214246101224262442626282626810262862366810[[#This Row],[Uso diário]]*2</f>
        <v>26.8</v>
      </c>
      <c r="O39" s="19">
        <f>Tabela1746810121422303226816192527313336242101214161824262830384024810121416202226283032343624268101214246101224262442626282626810262862366810[[#This Row],[Total Acumulado]]-P39</f>
        <v>-67</v>
      </c>
      <c r="P39" s="48">
        <f>Tabela1746810121422303226816192527313336242101214161824262830384024810121416202226283032343624268101214246101224262442626282626810262862366810[[#This Row],[Uso diário]]*5</f>
        <v>67</v>
      </c>
      <c r="Q3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3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3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39" s="25">
        <v>3</v>
      </c>
    </row>
    <row r="40" spans="1:20" s="26" customFormat="1" x14ac:dyDescent="0.25">
      <c r="A40" s="16">
        <v>230878</v>
      </c>
      <c r="B40" s="30" t="s">
        <v>194</v>
      </c>
      <c r="C40" s="20" t="s">
        <v>651</v>
      </c>
      <c r="D40" s="20" t="s">
        <v>719</v>
      </c>
      <c r="E40" s="20" t="s">
        <v>2159</v>
      </c>
      <c r="F40" s="20" t="s">
        <v>2160</v>
      </c>
      <c r="G40" s="21">
        <v>13.4</v>
      </c>
      <c r="H40" s="16">
        <v>16</v>
      </c>
      <c r="I40" s="16">
        <v>1</v>
      </c>
      <c r="J4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201</v>
      </c>
      <c r="K40" s="22"/>
      <c r="L40" s="23"/>
      <c r="M40" s="23">
        <f>SUM(Tabela1746810121422303226816192527313336242101214161824262830384024810121416202226283032343624268101214246101224262442626282626810262862366810[[#This Row],[Saldo no cartão]:[Recarga Pendente]])</f>
        <v>0</v>
      </c>
      <c r="N40" s="19">
        <f>Tabela1746810121422303226816192527313336242101214161824262830384024810121416202226283032343624268101214246101224262442626282626810262862366810[[#This Row],[Uso diário]]*2</f>
        <v>26.8</v>
      </c>
      <c r="O40" s="19">
        <f>Tabela1746810121422303226816192527313336242101214161824262830384024810121416202226283032343624268101214246101224262442626282626810262862366810[[#This Row],[Total Acumulado]]-P40</f>
        <v>-67</v>
      </c>
      <c r="P40" s="48">
        <f>Tabela1746810121422303226816192527313336242101214161824262830384024810121416202226283032343624268101214246101224262442626282626810262862366810[[#This Row],[Uso diário]]*5</f>
        <v>67</v>
      </c>
      <c r="Q4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201</v>
      </c>
      <c r="S4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0" s="25">
        <v>3</v>
      </c>
    </row>
    <row r="41" spans="1:20" s="26" customFormat="1" x14ac:dyDescent="0.25">
      <c r="A41" s="16">
        <v>231147</v>
      </c>
      <c r="B41" s="30" t="s">
        <v>1160</v>
      </c>
      <c r="C41" s="20" t="s">
        <v>651</v>
      </c>
      <c r="D41" s="20" t="s">
        <v>716</v>
      </c>
      <c r="E41" s="20" t="s">
        <v>2161</v>
      </c>
      <c r="F41" s="20" t="s">
        <v>2162</v>
      </c>
      <c r="G41" s="21">
        <v>13.4</v>
      </c>
      <c r="H41" s="16">
        <v>4</v>
      </c>
      <c r="I41" s="16">
        <v>2</v>
      </c>
      <c r="J4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26.8</v>
      </c>
      <c r="K41" s="22"/>
      <c r="L41" s="23"/>
      <c r="M41" s="23">
        <f>SUM(Tabela1746810121422303226816192527313336242101214161824262830384024810121416202226283032343624268101214246101224262442626282626810262862366810[[#This Row],[Saldo no cartão]:[Recarga Pendente]])</f>
        <v>0</v>
      </c>
      <c r="N41" s="19">
        <f>Tabela1746810121422303226816192527313336242101214161824262830384024810121416202226283032343624268101214246101224262442626282626810262862366810[[#This Row],[Uso diário]]*2</f>
        <v>26.8</v>
      </c>
      <c r="O41" s="19">
        <f>Tabela1746810121422303226816192527313336242101214161824262830384024810121416202226283032343624268101214246101224262442626282626810262862366810[[#This Row],[Total Acumulado]]-P41</f>
        <v>-67</v>
      </c>
      <c r="P41" s="48">
        <f>Tabela1746810121422303226816192527313336242101214161824262830384024810121416202226283032343624268101214246101224262442626282626810262862366810[[#This Row],[Uso diário]]*5</f>
        <v>67</v>
      </c>
      <c r="Q4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26.8</v>
      </c>
      <c r="S4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1" s="25">
        <v>3</v>
      </c>
    </row>
    <row r="42" spans="1:20" s="26" customFormat="1" x14ac:dyDescent="0.25">
      <c r="A42" s="16">
        <v>232323</v>
      </c>
      <c r="B42" s="30" t="s">
        <v>1049</v>
      </c>
      <c r="C42" s="20" t="s">
        <v>651</v>
      </c>
      <c r="D42" s="20" t="s">
        <v>719</v>
      </c>
      <c r="E42" s="20" t="s">
        <v>2163</v>
      </c>
      <c r="F42" s="20" t="s">
        <v>2164</v>
      </c>
      <c r="G42" s="21">
        <v>13.4</v>
      </c>
      <c r="H42" s="16">
        <v>16</v>
      </c>
      <c r="I42" s="16">
        <v>2</v>
      </c>
      <c r="J4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187.6</v>
      </c>
      <c r="K42" s="22"/>
      <c r="L42" s="23"/>
      <c r="M42" s="23">
        <f>SUM(Tabela1746810121422303226816192527313336242101214161824262830384024810121416202226283032343624268101214246101224262442626282626810262862366810[[#This Row],[Saldo no cartão]:[Recarga Pendente]])</f>
        <v>0</v>
      </c>
      <c r="N42" s="19">
        <f>Tabela1746810121422303226816192527313336242101214161824262830384024810121416202226283032343624268101214246101224262442626282626810262862366810[[#This Row],[Uso diário]]*2</f>
        <v>26.8</v>
      </c>
      <c r="O42" s="19">
        <f>Tabela1746810121422303226816192527313336242101214161824262830384024810121416202226283032343624268101214246101224262442626282626810262862366810[[#This Row],[Total Acumulado]]-P42</f>
        <v>-67</v>
      </c>
      <c r="P42" s="48">
        <f>Tabela1746810121422303226816192527313336242101214161824262830384024810121416202226283032343624268101214246101224262442626282626810262862366810[[#This Row],[Uso diário]]*5</f>
        <v>67</v>
      </c>
      <c r="Q4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187.6</v>
      </c>
      <c r="S4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2" s="25">
        <v>3</v>
      </c>
    </row>
    <row r="43" spans="1:20" s="26" customFormat="1" x14ac:dyDescent="0.25">
      <c r="A43" s="16">
        <v>232326</v>
      </c>
      <c r="B43" s="30" t="s">
        <v>885</v>
      </c>
      <c r="C43" s="20" t="s">
        <v>651</v>
      </c>
      <c r="D43" s="20" t="s">
        <v>719</v>
      </c>
      <c r="E43" s="20" t="s">
        <v>2165</v>
      </c>
      <c r="F43" s="20" t="s">
        <v>2166</v>
      </c>
      <c r="G43" s="21">
        <v>13.4</v>
      </c>
      <c r="H43" s="16">
        <v>16</v>
      </c>
      <c r="I43" s="16">
        <v>1</v>
      </c>
      <c r="J4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201</v>
      </c>
      <c r="K43" s="22"/>
      <c r="L43" s="23"/>
      <c r="M43" s="23">
        <f>SUM(Tabela1746810121422303226816192527313336242101214161824262830384024810121416202226283032343624268101214246101224262442626282626810262862366810[[#This Row],[Saldo no cartão]:[Recarga Pendente]])</f>
        <v>0</v>
      </c>
      <c r="N43" s="19">
        <f>Tabela1746810121422303226816192527313336242101214161824262830384024810121416202226283032343624268101214246101224262442626282626810262862366810[[#This Row],[Uso diário]]*2</f>
        <v>26.8</v>
      </c>
      <c r="O43" s="19">
        <f>Tabela1746810121422303226816192527313336242101214161824262830384024810121416202226283032343624268101214246101224262442626282626810262862366810[[#This Row],[Total Acumulado]]-P43</f>
        <v>-67</v>
      </c>
      <c r="P43" s="48">
        <f>Tabela1746810121422303226816192527313336242101214161824262830384024810121416202226283032343624268101214246101224262442626282626810262862366810[[#This Row],[Uso diário]]*5</f>
        <v>67</v>
      </c>
      <c r="Q4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201</v>
      </c>
      <c r="S4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3" s="25">
        <v>3</v>
      </c>
    </row>
    <row r="44" spans="1:20" s="26" customFormat="1" x14ac:dyDescent="0.25">
      <c r="A44" s="16">
        <v>232670</v>
      </c>
      <c r="B44" s="30" t="s">
        <v>932</v>
      </c>
      <c r="C44" s="20" t="s">
        <v>651</v>
      </c>
      <c r="D44" s="20" t="s">
        <v>719</v>
      </c>
      <c r="E44" s="20" t="s">
        <v>2167</v>
      </c>
      <c r="F44" s="20" t="s">
        <v>2168</v>
      </c>
      <c r="G44" s="21">
        <v>18.8</v>
      </c>
      <c r="H44" s="16">
        <v>16</v>
      </c>
      <c r="I44" s="16"/>
      <c r="J4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300.8</v>
      </c>
      <c r="K44" s="22"/>
      <c r="L44" s="23"/>
      <c r="M44" s="23">
        <f>SUM(Tabela1746810121422303226816192527313336242101214161824262830384024810121416202226283032343624268101214246101224262442626282626810262862366810[[#This Row],[Saldo no cartão]:[Recarga Pendente]])</f>
        <v>0</v>
      </c>
      <c r="N44" s="19">
        <f>Tabela1746810121422303226816192527313336242101214161824262830384024810121416202226283032343624268101214246101224262442626282626810262862366810[[#This Row],[Uso diário]]*2</f>
        <v>37.6</v>
      </c>
      <c r="O44" s="19">
        <f>Tabela1746810121422303226816192527313336242101214161824262830384024810121416202226283032343624268101214246101224262442626282626810262862366810[[#This Row],[Total Acumulado]]-P44</f>
        <v>-94</v>
      </c>
      <c r="P44" s="48">
        <f>Tabela1746810121422303226816192527313336242101214161824262830384024810121416202226283032343624268101214246101224262442626282626810262862366810[[#This Row],[Uso diário]]*5</f>
        <v>94</v>
      </c>
      <c r="Q4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300.8</v>
      </c>
      <c r="S4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4" s="25">
        <v>3</v>
      </c>
    </row>
    <row r="45" spans="1:20" s="26" customFormat="1" x14ac:dyDescent="0.25">
      <c r="A45" s="16">
        <v>233352</v>
      </c>
      <c r="B45" s="30" t="s">
        <v>1050</v>
      </c>
      <c r="C45" s="20" t="s">
        <v>651</v>
      </c>
      <c r="D45" s="20" t="s">
        <v>716</v>
      </c>
      <c r="E45" s="20" t="s">
        <v>2169</v>
      </c>
      <c r="F45" s="20" t="s">
        <v>2170</v>
      </c>
      <c r="G45" s="21">
        <v>18.8</v>
      </c>
      <c r="H45" s="16">
        <v>16</v>
      </c>
      <c r="I45" s="16">
        <v>1</v>
      </c>
      <c r="J4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282</v>
      </c>
      <c r="K45" s="22"/>
      <c r="L45" s="23"/>
      <c r="M45" s="23">
        <f>SUM(Tabela1746810121422303226816192527313336242101214161824262830384024810121416202226283032343624268101214246101224262442626282626810262862366810[[#This Row],[Saldo no cartão]:[Recarga Pendente]])</f>
        <v>0</v>
      </c>
      <c r="N45" s="19">
        <f>Tabela1746810121422303226816192527313336242101214161824262830384024810121416202226283032343624268101214246101224262442626282626810262862366810[[#This Row],[Uso diário]]*2</f>
        <v>37.6</v>
      </c>
      <c r="O45" s="19">
        <f>Tabela1746810121422303226816192527313336242101214161824262830384024810121416202226283032343624268101214246101224262442626282626810262862366810[[#This Row],[Total Acumulado]]-P45</f>
        <v>-94</v>
      </c>
      <c r="P45" s="48">
        <f>Tabela1746810121422303226816192527313336242101214161824262830384024810121416202226283032343624268101214246101224262442626282626810262862366810[[#This Row],[Uso diário]]*5</f>
        <v>94</v>
      </c>
      <c r="Q4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282</v>
      </c>
      <c r="S4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5" s="25">
        <v>3</v>
      </c>
    </row>
    <row r="46" spans="1:20" s="26" customFormat="1" x14ac:dyDescent="0.25">
      <c r="A46" s="16">
        <v>233525</v>
      </c>
      <c r="B46" s="30" t="s">
        <v>1051</v>
      </c>
      <c r="C46" s="20" t="s">
        <v>651</v>
      </c>
      <c r="D46" s="20" t="s">
        <v>716</v>
      </c>
      <c r="E46" s="20" t="s">
        <v>2171</v>
      </c>
      <c r="F46" s="20" t="s">
        <v>2172</v>
      </c>
      <c r="G46" s="21">
        <v>13.4</v>
      </c>
      <c r="H46" s="16">
        <v>16</v>
      </c>
      <c r="I46" s="16">
        <v>4</v>
      </c>
      <c r="J4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160.80000000000001</v>
      </c>
      <c r="K46" s="22"/>
      <c r="L46" s="23"/>
      <c r="M46" s="23">
        <f>SUM(Tabela1746810121422303226816192527313336242101214161824262830384024810121416202226283032343624268101214246101224262442626282626810262862366810[[#This Row],[Saldo no cartão]:[Recarga Pendente]])</f>
        <v>0</v>
      </c>
      <c r="N46" s="19">
        <f>Tabela1746810121422303226816192527313336242101214161824262830384024810121416202226283032343624268101214246101224262442626282626810262862366810[[#This Row],[Uso diário]]*2</f>
        <v>26.8</v>
      </c>
      <c r="O46" s="19">
        <f>Tabela1746810121422303226816192527313336242101214161824262830384024810121416202226283032343624268101214246101224262442626282626810262862366810[[#This Row],[Total Acumulado]]-P46</f>
        <v>-67</v>
      </c>
      <c r="P46" s="48">
        <f>Tabela1746810121422303226816192527313336242101214161824262830384024810121416202226283032343624268101214246101224262442626282626810262862366810[[#This Row],[Uso diário]]*5</f>
        <v>67</v>
      </c>
      <c r="Q4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160.80000000000001</v>
      </c>
      <c r="S4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6" s="25">
        <v>3</v>
      </c>
    </row>
    <row r="47" spans="1:20" s="26" customFormat="1" x14ac:dyDescent="0.25">
      <c r="A47" s="16">
        <v>234028</v>
      </c>
      <c r="B47" s="30" t="s">
        <v>1161</v>
      </c>
      <c r="C47" s="20" t="s">
        <v>651</v>
      </c>
      <c r="D47" s="20" t="s">
        <v>719</v>
      </c>
      <c r="E47" s="20" t="s">
        <v>2173</v>
      </c>
      <c r="F47" s="20" t="s">
        <v>2174</v>
      </c>
      <c r="G47" s="21">
        <v>13.4</v>
      </c>
      <c r="H47" s="16">
        <v>16</v>
      </c>
      <c r="I47" s="16"/>
      <c r="J4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47" s="22"/>
      <c r="L47" s="23"/>
      <c r="M47" s="23">
        <f>SUM(Tabela1746810121422303226816192527313336242101214161824262830384024810121416202226283032343624268101214246101224262442626282626810262862366810[[#This Row],[Saldo no cartão]:[Recarga Pendente]])</f>
        <v>0</v>
      </c>
      <c r="N47" s="19">
        <f>Tabela1746810121422303226816192527313336242101214161824262830384024810121416202226283032343624268101214246101224262442626282626810262862366810[[#This Row],[Uso diário]]*2</f>
        <v>26.8</v>
      </c>
      <c r="O47" s="19">
        <f>Tabela1746810121422303226816192527313336242101214161824262830384024810121416202226283032343624268101214246101224262442626282626810262862366810[[#This Row],[Total Acumulado]]-P47</f>
        <v>-67</v>
      </c>
      <c r="P47" s="48">
        <f>Tabela1746810121422303226816192527313336242101214161824262830384024810121416202226283032343624268101214246101224262442626282626810262862366810[[#This Row],[Uso diário]]*5</f>
        <v>67</v>
      </c>
      <c r="Q4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4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7" s="25">
        <v>3</v>
      </c>
    </row>
    <row r="48" spans="1:20" s="26" customFormat="1" x14ac:dyDescent="0.25">
      <c r="A48" s="16">
        <v>234137</v>
      </c>
      <c r="B48" s="30" t="s">
        <v>1162</v>
      </c>
      <c r="C48" s="20" t="s">
        <v>651</v>
      </c>
      <c r="D48" s="20" t="s">
        <v>719</v>
      </c>
      <c r="E48" s="20" t="s">
        <v>2175</v>
      </c>
      <c r="F48" s="20" t="s">
        <v>2176</v>
      </c>
      <c r="G48" s="21">
        <v>13.4</v>
      </c>
      <c r="H48" s="16">
        <v>16</v>
      </c>
      <c r="I48" s="16"/>
      <c r="J4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48" s="22"/>
      <c r="L48" s="23"/>
      <c r="M48" s="23">
        <f>SUM(Tabela1746810121422303226816192527313336242101214161824262830384024810121416202226283032343624268101214246101224262442626282626810262862366810[[#This Row],[Saldo no cartão]:[Recarga Pendente]])</f>
        <v>0</v>
      </c>
      <c r="N48" s="19">
        <f>Tabela1746810121422303226816192527313336242101214161824262830384024810121416202226283032343624268101214246101224262442626282626810262862366810[[#This Row],[Uso diário]]*2</f>
        <v>26.8</v>
      </c>
      <c r="O48" s="19">
        <f>Tabela1746810121422303226816192527313336242101214161824262830384024810121416202226283032343624268101214246101224262442626282626810262862366810[[#This Row],[Total Acumulado]]-P48</f>
        <v>-67</v>
      </c>
      <c r="P48" s="48">
        <f>Tabela1746810121422303226816192527313336242101214161824262830384024810121416202226283032343624268101214246101224262442626282626810262862366810[[#This Row],[Uso diário]]*5</f>
        <v>67</v>
      </c>
      <c r="Q4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4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8" s="25">
        <v>3</v>
      </c>
    </row>
    <row r="49" spans="1:20" s="26" customFormat="1" x14ac:dyDescent="0.25">
      <c r="A49" s="16">
        <v>234441</v>
      </c>
      <c r="B49" s="30" t="s">
        <v>1279</v>
      </c>
      <c r="C49" s="20" t="s">
        <v>651</v>
      </c>
      <c r="D49" s="20" t="s">
        <v>716</v>
      </c>
      <c r="E49" s="20" t="s">
        <v>2177</v>
      </c>
      <c r="F49" s="20" t="s">
        <v>2178</v>
      </c>
      <c r="G49" s="21">
        <v>18.8</v>
      </c>
      <c r="H49" s="16">
        <v>16</v>
      </c>
      <c r="I49" s="16">
        <v>1</v>
      </c>
      <c r="J4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282</v>
      </c>
      <c r="K49" s="22"/>
      <c r="L49" s="23"/>
      <c r="M49" s="23">
        <f>SUM(Tabela1746810121422303226816192527313336242101214161824262830384024810121416202226283032343624268101214246101224262442626282626810262862366810[[#This Row],[Saldo no cartão]:[Recarga Pendente]])</f>
        <v>0</v>
      </c>
      <c r="N49" s="19">
        <f>Tabela1746810121422303226816192527313336242101214161824262830384024810121416202226283032343624268101214246101224262442626282626810262862366810[[#This Row],[Uso diário]]*2</f>
        <v>37.6</v>
      </c>
      <c r="O49" s="19">
        <f>Tabela1746810121422303226816192527313336242101214161824262830384024810121416202226283032343624268101214246101224262442626282626810262862366810[[#This Row],[Total Acumulado]]-P49</f>
        <v>-94</v>
      </c>
      <c r="P49" s="48">
        <f>Tabela1746810121422303226816192527313336242101214161824262830384024810121416202226283032343624268101214246101224262442626282626810262862366810[[#This Row],[Uso diário]]*5</f>
        <v>94</v>
      </c>
      <c r="Q4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4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282</v>
      </c>
      <c r="S4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49" s="25">
        <v>3</v>
      </c>
    </row>
    <row r="50" spans="1:20" s="26" customFormat="1" x14ac:dyDescent="0.25">
      <c r="A50" s="16">
        <v>234684</v>
      </c>
      <c r="B50" s="30" t="s">
        <v>1348</v>
      </c>
      <c r="C50" s="20" t="s">
        <v>651</v>
      </c>
      <c r="D50" s="20" t="s">
        <v>716</v>
      </c>
      <c r="E50" s="20" t="s">
        <v>2179</v>
      </c>
      <c r="F50" s="20" t="s">
        <v>2180</v>
      </c>
      <c r="G50" s="21">
        <v>13.4</v>
      </c>
      <c r="H50" s="16">
        <v>16</v>
      </c>
      <c r="I50" s="16"/>
      <c r="J5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214.4</v>
      </c>
      <c r="K50" s="22"/>
      <c r="L50" s="23"/>
      <c r="M50" s="23">
        <f>SUM(Tabela1746810121422303226816192527313336242101214161824262830384024810121416202226283032343624268101214246101224262442626282626810262862366810[[#This Row],[Saldo no cartão]:[Recarga Pendente]])</f>
        <v>0</v>
      </c>
      <c r="N50" s="19">
        <f>Tabela1746810121422303226816192527313336242101214161824262830384024810121416202226283032343624268101214246101224262442626282626810262862366810[[#This Row],[Uso diário]]*2</f>
        <v>26.8</v>
      </c>
      <c r="O50" s="19">
        <f>Tabela1746810121422303226816192527313336242101214161824262830384024810121416202226283032343624268101214246101224262442626282626810262862366810[[#This Row],[Total Acumulado]]-P50</f>
        <v>-67</v>
      </c>
      <c r="P50" s="48">
        <f>Tabela1746810121422303226816192527313336242101214161824262830384024810121416202226283032343624268101214246101224262442626282626810262862366810[[#This Row],[Uso diário]]*5</f>
        <v>67</v>
      </c>
      <c r="Q5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214.4</v>
      </c>
      <c r="S5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0" s="25">
        <v>3</v>
      </c>
    </row>
    <row r="51" spans="1:20" s="26" customFormat="1" x14ac:dyDescent="0.25">
      <c r="A51" s="16">
        <v>201332</v>
      </c>
      <c r="B51" s="30" t="s">
        <v>196</v>
      </c>
      <c r="C51" s="20" t="s">
        <v>652</v>
      </c>
      <c r="D51" s="20" t="s">
        <v>739</v>
      </c>
      <c r="E51" s="20" t="s">
        <v>2181</v>
      </c>
      <c r="F51" s="20" t="s">
        <v>2182</v>
      </c>
      <c r="G51" s="21">
        <v>13.4</v>
      </c>
      <c r="H51" s="16">
        <v>26</v>
      </c>
      <c r="I51" s="16"/>
      <c r="J5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51" s="22"/>
      <c r="L51" s="23">
        <v>23.8</v>
      </c>
      <c r="M51" s="23">
        <f>SUM(Tabela1746810121422303226816192527313336242101214161824262830384024810121416202226283032343624268101214246101224262442626282626810262862366810[[#This Row],[Saldo no cartão]:[Recarga Pendente]])</f>
        <v>23.8</v>
      </c>
      <c r="N51" s="19">
        <f>Tabela1746810121422303226816192527313336242101214161824262830384024810121416202226283032343624268101214246101224262442626282626810262862366810[[#This Row],[Uso diário]]*2</f>
        <v>26.8</v>
      </c>
      <c r="O51" s="19">
        <f>Tabela1746810121422303226816192527313336242101214161824262830384024810121416202226283032343624268101214246101224262442626282626810262862366810[[#This Row],[Total Acumulado]]-P51</f>
        <v>-43.2</v>
      </c>
      <c r="P51" s="48">
        <f>Tabela1746810121422303226816192527313336242101214161824262830384024810121416202226283032343624268101214246101224262442626282626810262862366810[[#This Row],[Uso diário]]*5</f>
        <v>67</v>
      </c>
      <c r="Q5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5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1" s="25">
        <v>3</v>
      </c>
    </row>
    <row r="52" spans="1:20" s="26" customFormat="1" x14ac:dyDescent="0.25">
      <c r="A52" s="16">
        <v>209023</v>
      </c>
      <c r="B52" s="30" t="s">
        <v>197</v>
      </c>
      <c r="C52" s="20" t="s">
        <v>652</v>
      </c>
      <c r="D52" s="20" t="s">
        <v>728</v>
      </c>
      <c r="E52" s="20" t="s">
        <v>2183</v>
      </c>
      <c r="F52" s="20" t="s">
        <v>2184</v>
      </c>
      <c r="G52" s="21">
        <v>26.8</v>
      </c>
      <c r="H52" s="16">
        <v>26</v>
      </c>
      <c r="I52" s="16"/>
      <c r="J5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696.80000000000007</v>
      </c>
      <c r="K52" s="22"/>
      <c r="L52" s="23"/>
      <c r="M52" s="23">
        <f>SUM(Tabela1746810121422303226816192527313336242101214161824262830384024810121416202226283032343624268101214246101224262442626282626810262862366810[[#This Row],[Saldo no cartão]:[Recarga Pendente]])</f>
        <v>0</v>
      </c>
      <c r="N52" s="19">
        <f>Tabela1746810121422303226816192527313336242101214161824262830384024810121416202226283032343624268101214246101224262442626282626810262862366810[[#This Row],[Uso diário]]*2</f>
        <v>53.6</v>
      </c>
      <c r="O52" s="19">
        <f>Tabela1746810121422303226816192527313336242101214161824262830384024810121416202226283032343624268101214246101224262442626282626810262862366810[[#This Row],[Total Acumulado]]-P52</f>
        <v>-134</v>
      </c>
      <c r="P52" s="48">
        <f>Tabela1746810121422303226816192527313336242101214161824262830384024810121416202226283032343624268101214246101224262442626282626810262862366810[[#This Row],[Uso diário]]*5</f>
        <v>134</v>
      </c>
      <c r="Q5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696.80000000000007</v>
      </c>
      <c r="S5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2" s="25">
        <v>3</v>
      </c>
    </row>
    <row r="53" spans="1:20" s="26" customFormat="1" x14ac:dyDescent="0.25">
      <c r="A53" s="16">
        <v>224581</v>
      </c>
      <c r="B53" s="30" t="s">
        <v>248</v>
      </c>
      <c r="C53" s="20" t="s">
        <v>1388</v>
      </c>
      <c r="D53" s="20" t="s">
        <v>1389</v>
      </c>
      <c r="E53" s="20" t="s">
        <v>2185</v>
      </c>
      <c r="F53" s="20" t="s">
        <v>2186</v>
      </c>
      <c r="G53" s="21">
        <v>18.8</v>
      </c>
      <c r="H53" s="16">
        <v>26</v>
      </c>
      <c r="I53" s="16"/>
      <c r="J5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53" s="22"/>
      <c r="L53" s="23"/>
      <c r="M53" s="23">
        <f>SUM(Tabela1746810121422303226816192527313336242101214161824262830384024810121416202226283032343624268101214246101224262442626282626810262862366810[[#This Row],[Saldo no cartão]:[Recarga Pendente]])</f>
        <v>0</v>
      </c>
      <c r="N53" s="19">
        <f>Tabela1746810121422303226816192527313336242101214161824262830384024810121416202226283032343624268101214246101224262442626282626810262862366810[[#This Row],[Uso diário]]*2</f>
        <v>37.6</v>
      </c>
      <c r="O53" s="19">
        <f>Tabela1746810121422303226816192527313336242101214161824262830384024810121416202226283032343624268101214246101224262442626282626810262862366810[[#This Row],[Total Acumulado]]-P53</f>
        <v>-94</v>
      </c>
      <c r="P53" s="48">
        <f>Tabela1746810121422303226816192527313336242101214161824262830384024810121416202226283032343624268101214246101224262442626282626810262862366810[[#This Row],[Uso diário]]*5</f>
        <v>94</v>
      </c>
      <c r="Q5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5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3" s="25">
        <v>3</v>
      </c>
    </row>
    <row r="54" spans="1:20" s="26" customFormat="1" x14ac:dyDescent="0.25">
      <c r="A54" s="16">
        <v>205755</v>
      </c>
      <c r="B54" s="30" t="s">
        <v>1052</v>
      </c>
      <c r="C54" s="20" t="s">
        <v>635</v>
      </c>
      <c r="D54" s="20" t="s">
        <v>698</v>
      </c>
      <c r="E54" s="20" t="s">
        <v>2187</v>
      </c>
      <c r="F54" s="20" t="s">
        <v>2188</v>
      </c>
      <c r="G54" s="21">
        <v>18.8</v>
      </c>
      <c r="H54" s="16">
        <v>26</v>
      </c>
      <c r="I54" s="16">
        <v>2</v>
      </c>
      <c r="J5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451.20000000000005</v>
      </c>
      <c r="K54" s="22"/>
      <c r="L54" s="23"/>
      <c r="M54" s="23">
        <f>SUM(Tabela1746810121422303226816192527313336242101214161824262830384024810121416202226283032343624268101214246101224262442626282626810262862366810[[#This Row],[Saldo no cartão]:[Recarga Pendente]])</f>
        <v>0</v>
      </c>
      <c r="N54" s="19">
        <f>Tabela1746810121422303226816192527313336242101214161824262830384024810121416202226283032343624268101214246101224262442626282626810262862366810[[#This Row],[Uso diário]]*2</f>
        <v>37.6</v>
      </c>
      <c r="O54" s="19">
        <f>Tabela1746810121422303226816192527313336242101214161824262830384024810121416202226283032343624268101214246101224262442626282626810262862366810[[#This Row],[Total Acumulado]]-P54</f>
        <v>-94</v>
      </c>
      <c r="P54" s="48">
        <f>Tabela1746810121422303226816192527313336242101214161824262830384024810121416202226283032343624268101214246101224262442626282626810262862366810[[#This Row],[Uso diário]]*5</f>
        <v>94</v>
      </c>
      <c r="Q5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451.20000000000005</v>
      </c>
      <c r="S5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4" s="25">
        <v>3</v>
      </c>
    </row>
    <row r="55" spans="1:20" s="26" customFormat="1" x14ac:dyDescent="0.25">
      <c r="A55" s="16">
        <v>210446</v>
      </c>
      <c r="B55" s="30" t="s">
        <v>198</v>
      </c>
      <c r="C55" s="20" t="s">
        <v>635</v>
      </c>
      <c r="D55" s="20" t="s">
        <v>698</v>
      </c>
      <c r="E55" s="20" t="s">
        <v>2189</v>
      </c>
      <c r="F55" s="20" t="s">
        <v>2190</v>
      </c>
      <c r="G55" s="21">
        <v>13.4</v>
      </c>
      <c r="H55" s="16">
        <v>26</v>
      </c>
      <c r="I55" s="16"/>
      <c r="J5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55" s="22"/>
      <c r="L55" s="23"/>
      <c r="M55" s="23">
        <f>SUM(Tabela1746810121422303226816192527313336242101214161824262830384024810121416202226283032343624268101214246101224262442626282626810262862366810[[#This Row],[Saldo no cartão]:[Recarga Pendente]])</f>
        <v>0</v>
      </c>
      <c r="N55" s="19">
        <f>Tabela1746810121422303226816192527313336242101214161824262830384024810121416202226283032343624268101214246101224262442626282626810262862366810[[#This Row],[Uso diário]]*2</f>
        <v>26.8</v>
      </c>
      <c r="O55" s="19">
        <f>Tabela1746810121422303226816192527313336242101214161824262830384024810121416202226283032343624268101214246101224262442626282626810262862366810[[#This Row],[Total Acumulado]]-P55</f>
        <v>-67</v>
      </c>
      <c r="P55" s="48">
        <f>Tabela1746810121422303226816192527313336242101214161824262830384024810121416202226283032343624268101214246101224262442626282626810262862366810[[#This Row],[Uso diário]]*5</f>
        <v>67</v>
      </c>
      <c r="Q5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5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5" s="25">
        <v>3</v>
      </c>
    </row>
    <row r="56" spans="1:20" s="26" customFormat="1" x14ac:dyDescent="0.25">
      <c r="A56" s="16">
        <v>229318</v>
      </c>
      <c r="B56" s="30" t="s">
        <v>1423</v>
      </c>
      <c r="C56" s="20" t="s">
        <v>636</v>
      </c>
      <c r="D56" s="20" t="s">
        <v>729</v>
      </c>
      <c r="E56" s="20" t="s">
        <v>2191</v>
      </c>
      <c r="F56" s="20" t="s">
        <v>2192</v>
      </c>
      <c r="G56" s="21">
        <v>13.4</v>
      </c>
      <c r="H56" s="16">
        <v>22</v>
      </c>
      <c r="I56" s="16">
        <v>3</v>
      </c>
      <c r="J5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254.6</v>
      </c>
      <c r="K56" s="22"/>
      <c r="L56" s="23"/>
      <c r="M56" s="23">
        <f>SUM(Tabela1746810121422303226816192527313336242101214161824262830384024810121416202226283032343624268101214246101224262442626282626810262862366810[[#This Row],[Saldo no cartão]:[Recarga Pendente]])</f>
        <v>0</v>
      </c>
      <c r="N56" s="19">
        <f>Tabela1746810121422303226816192527313336242101214161824262830384024810121416202226283032343624268101214246101224262442626282626810262862366810[[#This Row],[Uso diário]]*2</f>
        <v>26.8</v>
      </c>
      <c r="O56" s="19">
        <f>Tabela1746810121422303226816192527313336242101214161824262830384024810121416202226283032343624268101214246101224262442626282626810262862366810[[#This Row],[Total Acumulado]]-P56</f>
        <v>-67</v>
      </c>
      <c r="P56" s="48">
        <f>Tabela1746810121422303226816192527313336242101214161824262830384024810121416202226283032343624268101214246101224262442626282626810262862366810[[#This Row],[Uso diário]]*5</f>
        <v>67</v>
      </c>
      <c r="Q5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254.6</v>
      </c>
      <c r="S5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6" s="25">
        <v>3</v>
      </c>
    </row>
    <row r="57" spans="1:20" s="26" customFormat="1" x14ac:dyDescent="0.25">
      <c r="A57" s="16">
        <v>233019</v>
      </c>
      <c r="B57" s="30" t="s">
        <v>964</v>
      </c>
      <c r="C57" s="20" t="s">
        <v>636</v>
      </c>
      <c r="D57" s="20" t="s">
        <v>730</v>
      </c>
      <c r="E57" s="20" t="s">
        <v>2193</v>
      </c>
      <c r="F57" s="20" t="s">
        <v>2194</v>
      </c>
      <c r="G57" s="21">
        <v>13.4</v>
      </c>
      <c r="H57" s="16">
        <v>22</v>
      </c>
      <c r="I57" s="16"/>
      <c r="J5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294.8</v>
      </c>
      <c r="K57" s="22"/>
      <c r="L57" s="23"/>
      <c r="M57" s="23">
        <f>SUM(Tabela1746810121422303226816192527313336242101214161824262830384024810121416202226283032343624268101214246101224262442626282626810262862366810[[#This Row],[Saldo no cartão]:[Recarga Pendente]])</f>
        <v>0</v>
      </c>
      <c r="N57" s="19">
        <f>Tabela1746810121422303226816192527313336242101214161824262830384024810121416202226283032343624268101214246101224262442626282626810262862366810[[#This Row],[Uso diário]]*2</f>
        <v>26.8</v>
      </c>
      <c r="O57" s="19">
        <f>Tabela1746810121422303226816192527313336242101214161824262830384024810121416202226283032343624268101214246101224262442626282626810262862366810[[#This Row],[Total Acumulado]]-P57</f>
        <v>-67</v>
      </c>
      <c r="P57" s="48">
        <f>Tabela1746810121422303226816192527313336242101214161824262830384024810121416202226283032343624268101214246101224262442626282626810262862366810[[#This Row],[Uso diário]]*5</f>
        <v>67</v>
      </c>
      <c r="Q5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294.8</v>
      </c>
      <c r="S5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7" s="25">
        <v>3</v>
      </c>
    </row>
    <row r="58" spans="1:20" s="26" customFormat="1" x14ac:dyDescent="0.25">
      <c r="A58" s="16">
        <v>233020</v>
      </c>
      <c r="B58" s="30" t="s">
        <v>965</v>
      </c>
      <c r="C58" s="20" t="s">
        <v>636</v>
      </c>
      <c r="D58" s="20" t="s">
        <v>730</v>
      </c>
      <c r="E58" s="20" t="s">
        <v>2195</v>
      </c>
      <c r="F58" s="20" t="s">
        <v>2196</v>
      </c>
      <c r="G58" s="21">
        <v>13.4</v>
      </c>
      <c r="H58" s="16">
        <v>22</v>
      </c>
      <c r="I58" s="16">
        <v>20</v>
      </c>
      <c r="J5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26.8</v>
      </c>
      <c r="K58" s="22"/>
      <c r="L58" s="23"/>
      <c r="M58" s="23">
        <f>SUM(Tabela1746810121422303226816192527313336242101214161824262830384024810121416202226283032343624268101214246101224262442626282626810262862366810[[#This Row],[Saldo no cartão]:[Recarga Pendente]])</f>
        <v>0</v>
      </c>
      <c r="N58" s="19">
        <f>Tabela1746810121422303226816192527313336242101214161824262830384024810121416202226283032343624268101214246101224262442626282626810262862366810[[#This Row],[Uso diário]]*2</f>
        <v>26.8</v>
      </c>
      <c r="O58" s="19">
        <f>Tabela1746810121422303226816192527313336242101214161824262830384024810121416202226283032343624268101214246101224262442626282626810262862366810[[#This Row],[Total Acumulado]]-P58</f>
        <v>-67</v>
      </c>
      <c r="P58" s="48">
        <f>Tabela1746810121422303226816192527313336242101214161824262830384024810121416202226283032343624268101214246101224262442626282626810262862366810[[#This Row],[Uso diário]]*5</f>
        <v>67</v>
      </c>
      <c r="Q5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26.8</v>
      </c>
      <c r="S5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8" s="25">
        <v>3</v>
      </c>
    </row>
    <row r="59" spans="1:20" s="26" customFormat="1" x14ac:dyDescent="0.25">
      <c r="A59" s="16">
        <v>233213</v>
      </c>
      <c r="B59" s="30" t="s">
        <v>966</v>
      </c>
      <c r="C59" s="20" t="s">
        <v>636</v>
      </c>
      <c r="D59" s="20" t="s">
        <v>729</v>
      </c>
      <c r="E59" s="20" t="s">
        <v>2197</v>
      </c>
      <c r="F59" s="20" t="s">
        <v>2198</v>
      </c>
      <c r="G59" s="21">
        <v>6.7</v>
      </c>
      <c r="H59" s="16">
        <v>22</v>
      </c>
      <c r="I59" s="16"/>
      <c r="J5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147.4</v>
      </c>
      <c r="K59" s="22"/>
      <c r="L59" s="23"/>
      <c r="M59" s="23">
        <f>SUM(Tabela1746810121422303226816192527313336242101214161824262830384024810121416202226283032343624268101214246101224262442626282626810262862366810[[#This Row],[Saldo no cartão]:[Recarga Pendente]])</f>
        <v>0</v>
      </c>
      <c r="N59" s="19">
        <f>Tabela1746810121422303226816192527313336242101214161824262830384024810121416202226283032343624268101214246101224262442626282626810262862366810[[#This Row],[Uso diário]]*2</f>
        <v>13.4</v>
      </c>
      <c r="O59" s="19">
        <f>Tabela1746810121422303226816192527313336242101214161824262830384024810121416202226283032343624268101214246101224262442626282626810262862366810[[#This Row],[Total Acumulado]]-P59</f>
        <v>-33.5</v>
      </c>
      <c r="P59" s="48">
        <f>Tabela1746810121422303226816192527313336242101214161824262830384024810121416202226283032343624268101214246101224262442626282626810262862366810[[#This Row],[Uso diário]]*5</f>
        <v>33.5</v>
      </c>
      <c r="Q5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5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147.4</v>
      </c>
      <c r="S5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59" s="25">
        <v>3</v>
      </c>
    </row>
    <row r="60" spans="1:20" s="26" customFormat="1" x14ac:dyDescent="0.25">
      <c r="A60" s="16">
        <v>233214</v>
      </c>
      <c r="B60" s="30" t="s">
        <v>967</v>
      </c>
      <c r="C60" s="20" t="s">
        <v>636</v>
      </c>
      <c r="D60" s="20" t="s">
        <v>729</v>
      </c>
      <c r="E60" s="20" t="s">
        <v>2199</v>
      </c>
      <c r="F60" s="20" t="s">
        <v>2200</v>
      </c>
      <c r="G60" s="21">
        <v>6.7</v>
      </c>
      <c r="H60" s="16">
        <v>22</v>
      </c>
      <c r="I60" s="16">
        <v>3</v>
      </c>
      <c r="J6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127.3</v>
      </c>
      <c r="K60" s="22"/>
      <c r="L60" s="23"/>
      <c r="M60" s="23">
        <f>SUM(Tabela1746810121422303226816192527313336242101214161824262830384024810121416202226283032343624268101214246101224262442626282626810262862366810[[#This Row],[Saldo no cartão]:[Recarga Pendente]])</f>
        <v>0</v>
      </c>
      <c r="N60" s="19">
        <f>Tabela1746810121422303226816192527313336242101214161824262830384024810121416202226283032343624268101214246101224262442626282626810262862366810[[#This Row],[Uso diário]]*2</f>
        <v>13.4</v>
      </c>
      <c r="O60" s="19">
        <f>Tabela1746810121422303226816192527313336242101214161824262830384024810121416202226283032343624268101214246101224262442626282626810262862366810[[#This Row],[Total Acumulado]]-P60</f>
        <v>-33.5</v>
      </c>
      <c r="P60" s="48">
        <f>Tabela1746810121422303226816192527313336242101214161824262830384024810121416202226283032343624268101214246101224262442626282626810262862366810[[#This Row],[Uso diário]]*5</f>
        <v>33.5</v>
      </c>
      <c r="Q6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127.3</v>
      </c>
      <c r="S6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0" s="25">
        <v>3</v>
      </c>
    </row>
    <row r="61" spans="1:20" s="26" customFormat="1" x14ac:dyDescent="0.25">
      <c r="A61" s="16">
        <v>233215</v>
      </c>
      <c r="B61" s="30" t="s">
        <v>968</v>
      </c>
      <c r="C61" s="20" t="s">
        <v>636</v>
      </c>
      <c r="D61" s="20" t="s">
        <v>729</v>
      </c>
      <c r="E61" s="20" t="s">
        <v>2201</v>
      </c>
      <c r="F61" s="20" t="s">
        <v>2202</v>
      </c>
      <c r="G61" s="21">
        <v>13.4</v>
      </c>
      <c r="H61" s="16">
        <v>22</v>
      </c>
      <c r="I61" s="16">
        <v>2</v>
      </c>
      <c r="J6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268</v>
      </c>
      <c r="K61" s="22"/>
      <c r="L61" s="23"/>
      <c r="M61" s="23">
        <f>SUM(Tabela1746810121422303226816192527313336242101214161824262830384024810121416202226283032343624268101214246101224262442626282626810262862366810[[#This Row],[Saldo no cartão]:[Recarga Pendente]])</f>
        <v>0</v>
      </c>
      <c r="N61" s="19">
        <f>Tabela1746810121422303226816192527313336242101214161824262830384024810121416202226283032343624268101214246101224262442626282626810262862366810[[#This Row],[Uso diário]]*2</f>
        <v>26.8</v>
      </c>
      <c r="O61" s="19">
        <f>Tabela1746810121422303226816192527313336242101214161824262830384024810121416202226283032343624268101214246101224262442626282626810262862366810[[#This Row],[Total Acumulado]]-P61</f>
        <v>-67</v>
      </c>
      <c r="P61" s="48">
        <f>Tabela1746810121422303226816192527313336242101214161824262830384024810121416202226283032343624268101214246101224262442626282626810262862366810[[#This Row],[Uso diário]]*5</f>
        <v>67</v>
      </c>
      <c r="Q6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268</v>
      </c>
      <c r="S6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1" s="25">
        <v>3</v>
      </c>
    </row>
    <row r="62" spans="1:20" s="26" customFormat="1" x14ac:dyDescent="0.25">
      <c r="A62" s="16">
        <v>233216</v>
      </c>
      <c r="B62" s="30" t="s">
        <v>969</v>
      </c>
      <c r="C62" s="20" t="s">
        <v>636</v>
      </c>
      <c r="D62" s="20" t="s">
        <v>729</v>
      </c>
      <c r="E62" s="20" t="s">
        <v>2203</v>
      </c>
      <c r="F62" s="20" t="s">
        <v>2204</v>
      </c>
      <c r="G62" s="21">
        <v>6.7</v>
      </c>
      <c r="H62" s="16">
        <v>22</v>
      </c>
      <c r="I62" s="16"/>
      <c r="J6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147.4</v>
      </c>
      <c r="K62" s="22"/>
      <c r="L62" s="23"/>
      <c r="M62" s="23">
        <f>SUM(Tabela1746810121422303226816192527313336242101214161824262830384024810121416202226283032343624268101214246101224262442626282626810262862366810[[#This Row],[Saldo no cartão]:[Recarga Pendente]])</f>
        <v>0</v>
      </c>
      <c r="N62" s="19">
        <f>Tabela1746810121422303226816192527313336242101214161824262830384024810121416202226283032343624268101214246101224262442626282626810262862366810[[#This Row],[Uso diário]]*2</f>
        <v>13.4</v>
      </c>
      <c r="O62" s="19">
        <f>Tabela1746810121422303226816192527313336242101214161824262830384024810121416202226283032343624268101214246101224262442626282626810262862366810[[#This Row],[Total Acumulado]]-P62</f>
        <v>-33.5</v>
      </c>
      <c r="P62" s="48">
        <f>Tabela1746810121422303226816192527313336242101214161824262830384024810121416202226283032343624268101214246101224262442626282626810262862366810[[#This Row],[Uso diário]]*5</f>
        <v>33.5</v>
      </c>
      <c r="Q6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147.4</v>
      </c>
      <c r="S6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2" s="25">
        <v>3</v>
      </c>
    </row>
    <row r="63" spans="1:20" s="26" customFormat="1" x14ac:dyDescent="0.25">
      <c r="A63" s="16">
        <v>233217</v>
      </c>
      <c r="B63" s="30" t="s">
        <v>970</v>
      </c>
      <c r="C63" s="20" t="s">
        <v>636</v>
      </c>
      <c r="D63" s="20" t="s">
        <v>729</v>
      </c>
      <c r="E63" s="20" t="s">
        <v>2205</v>
      </c>
      <c r="F63" s="20" t="s">
        <v>2206</v>
      </c>
      <c r="G63" s="21">
        <v>13.4</v>
      </c>
      <c r="H63" s="16">
        <v>22</v>
      </c>
      <c r="I63" s="16">
        <v>5</v>
      </c>
      <c r="J6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227.8</v>
      </c>
      <c r="K63" s="22"/>
      <c r="L63" s="23"/>
      <c r="M63" s="23">
        <f>SUM(Tabela1746810121422303226816192527313336242101214161824262830384024810121416202226283032343624268101214246101224262442626282626810262862366810[[#This Row],[Saldo no cartão]:[Recarga Pendente]])</f>
        <v>0</v>
      </c>
      <c r="N63" s="19">
        <f>Tabela1746810121422303226816192527313336242101214161824262830384024810121416202226283032343624268101214246101224262442626282626810262862366810[[#This Row],[Uso diário]]*2</f>
        <v>26.8</v>
      </c>
      <c r="O63" s="19">
        <f>Tabela1746810121422303226816192527313336242101214161824262830384024810121416202226283032343624268101214246101224262442626282626810262862366810[[#This Row],[Total Acumulado]]-P63</f>
        <v>-67</v>
      </c>
      <c r="P63" s="48">
        <f>Tabela1746810121422303226816192527313336242101214161824262830384024810121416202226283032343624268101214246101224262442626282626810262862366810[[#This Row],[Uso diário]]*5</f>
        <v>67</v>
      </c>
      <c r="Q6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227.8</v>
      </c>
      <c r="S6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3" s="25">
        <v>3</v>
      </c>
    </row>
    <row r="64" spans="1:20" s="26" customFormat="1" ht="22.5" x14ac:dyDescent="0.25">
      <c r="A64" s="16">
        <v>235110</v>
      </c>
      <c r="B64" s="30" t="s">
        <v>1546</v>
      </c>
      <c r="C64" s="20" t="s">
        <v>721</v>
      </c>
      <c r="D64" s="20" t="s">
        <v>721</v>
      </c>
      <c r="E64" s="56" t="s">
        <v>2207</v>
      </c>
      <c r="F64" s="56" t="s">
        <v>2208</v>
      </c>
      <c r="G64" s="21">
        <v>13.4</v>
      </c>
      <c r="H64" s="16"/>
      <c r="I64" s="16"/>
      <c r="J6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0</v>
      </c>
      <c r="K64" s="22"/>
      <c r="L64" s="23"/>
      <c r="M64" s="23">
        <f>SUM(Tabela1746810121422303226816192527313336242101214161824262830384024810121416202226283032343624268101214246101224262442626282626810262862366810[[#This Row],[Saldo no cartão]:[Recarga Pendente]])</f>
        <v>0</v>
      </c>
      <c r="N64" s="19">
        <f>Tabela1746810121422303226816192527313336242101214161824262830384024810121416202226283032343624268101214246101224262442626282626810262862366810[[#This Row],[Uso diário]]*2</f>
        <v>26.8</v>
      </c>
      <c r="O64" s="19">
        <f>Tabela1746810121422303226816192527313336242101214161824262830384024810121416202226283032343624268101214246101224262442626282626810262862366810[[#This Row],[Total Acumulado]]-P64</f>
        <v>-67</v>
      </c>
      <c r="P64" s="48">
        <f>Tabela1746810121422303226816192527313336242101214161824262830384024810121416202226283032343624268101214246101224262442626282626810262862366810[[#This Row],[Uso diário]]*5</f>
        <v>67</v>
      </c>
      <c r="Q6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0</v>
      </c>
      <c r="S64" s="18" t="str">
        <f>IF(Tabela1746810121422303226816192527313336242101214161824262830384024810121416202226283032343624268101214246101224262442626282626810262862366810[[#This Row],[Pedido Final]]=0,"NÃO EFETUAR RECARGA","RECARGA NORMAL")</f>
        <v>NÃO EFETUAR RECARGA</v>
      </c>
      <c r="T64" s="25">
        <v>3</v>
      </c>
    </row>
    <row r="65" spans="1:20" s="26" customFormat="1" x14ac:dyDescent="0.25">
      <c r="A65" s="16">
        <v>233218</v>
      </c>
      <c r="B65" s="30" t="s">
        <v>971</v>
      </c>
      <c r="C65" s="20" t="s">
        <v>636</v>
      </c>
      <c r="D65" s="20" t="s">
        <v>729</v>
      </c>
      <c r="E65" s="20" t="s">
        <v>2209</v>
      </c>
      <c r="F65" s="20" t="s">
        <v>2210</v>
      </c>
      <c r="G65" s="21">
        <v>6.7</v>
      </c>
      <c r="H65" s="16">
        <v>22</v>
      </c>
      <c r="I65" s="16">
        <v>6</v>
      </c>
      <c r="J6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107.2</v>
      </c>
      <c r="K65" s="22"/>
      <c r="L65" s="23"/>
      <c r="M65" s="23">
        <f>SUM(Tabela1746810121422303226816192527313336242101214161824262830384024810121416202226283032343624268101214246101224262442626282626810262862366810[[#This Row],[Saldo no cartão]:[Recarga Pendente]])</f>
        <v>0</v>
      </c>
      <c r="N65" s="19">
        <f>Tabela1746810121422303226816192527313336242101214161824262830384024810121416202226283032343624268101214246101224262442626282626810262862366810[[#This Row],[Uso diário]]*2</f>
        <v>13.4</v>
      </c>
      <c r="O65" s="19">
        <f>Tabela1746810121422303226816192527313336242101214161824262830384024810121416202226283032343624268101214246101224262442626282626810262862366810[[#This Row],[Total Acumulado]]-P65</f>
        <v>-33.5</v>
      </c>
      <c r="P65" s="48">
        <f>Tabela1746810121422303226816192527313336242101214161824262830384024810121416202226283032343624268101214246101224262442626282626810262862366810[[#This Row],[Uso diário]]*5</f>
        <v>33.5</v>
      </c>
      <c r="Q6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107.2</v>
      </c>
      <c r="S6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5" s="25">
        <v>3</v>
      </c>
    </row>
    <row r="66" spans="1:20" s="26" customFormat="1" x14ac:dyDescent="0.25">
      <c r="A66" s="16">
        <v>3015</v>
      </c>
      <c r="B66" s="30" t="s">
        <v>1053</v>
      </c>
      <c r="C66" s="20" t="s">
        <v>653</v>
      </c>
      <c r="D66" s="20" t="s">
        <v>714</v>
      </c>
      <c r="E66" s="20" t="s">
        <v>2211</v>
      </c>
      <c r="F66" s="20" t="s">
        <v>2212</v>
      </c>
      <c r="G66" s="21">
        <v>10</v>
      </c>
      <c r="H66" s="16">
        <v>26</v>
      </c>
      <c r="I66" s="16"/>
      <c r="J6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260</v>
      </c>
      <c r="K66" s="22"/>
      <c r="L66" s="23"/>
      <c r="M66" s="23">
        <f>SUM(Tabela1746810121422303226816192527313336242101214161824262830384024810121416202226283032343624268101214246101224262442626282626810262862366810[[#This Row],[Saldo no cartão]:[Recarga Pendente]])</f>
        <v>0</v>
      </c>
      <c r="N66" s="19">
        <f>Tabela1746810121422303226816192527313336242101214161824262830384024810121416202226283032343624268101214246101224262442626282626810262862366810[[#This Row],[Uso diário]]*2</f>
        <v>20</v>
      </c>
      <c r="O66" s="19">
        <f>Tabela1746810121422303226816192527313336242101214161824262830384024810121416202226283032343624268101214246101224262442626282626810262862366810[[#This Row],[Total Acumulado]]-P66</f>
        <v>-50</v>
      </c>
      <c r="P66" s="48">
        <f>Tabela1746810121422303226816192527313336242101214161824262830384024810121416202226283032343624268101214246101224262442626282626810262862366810[[#This Row],[Uso diário]]*5</f>
        <v>50</v>
      </c>
      <c r="Q6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260</v>
      </c>
      <c r="S6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6" s="25">
        <v>3</v>
      </c>
    </row>
    <row r="67" spans="1:20" s="26" customFormat="1" x14ac:dyDescent="0.25">
      <c r="A67" s="16">
        <v>215497</v>
      </c>
      <c r="B67" s="30" t="s">
        <v>1424</v>
      </c>
      <c r="C67" s="20" t="s">
        <v>653</v>
      </c>
      <c r="D67" s="20" t="s">
        <v>891</v>
      </c>
      <c r="E67" s="20" t="s">
        <v>2213</v>
      </c>
      <c r="F67" s="20" t="s">
        <v>2214</v>
      </c>
      <c r="G67" s="21">
        <v>13.4</v>
      </c>
      <c r="H67" s="16">
        <v>26</v>
      </c>
      <c r="I67" s="16"/>
      <c r="J6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67" s="22"/>
      <c r="L67" s="23">
        <v>40.200000000000003</v>
      </c>
      <c r="M67" s="23">
        <f>SUM(Tabela1746810121422303226816192527313336242101214161824262830384024810121416202226283032343624268101214246101224262442626282626810262862366810[[#This Row],[Saldo no cartão]:[Recarga Pendente]])</f>
        <v>40.200000000000003</v>
      </c>
      <c r="N67" s="19">
        <f>Tabela1746810121422303226816192527313336242101214161824262830384024810121416202226283032343624268101214246101224262442626282626810262862366810[[#This Row],[Uso diário]]*2</f>
        <v>26.8</v>
      </c>
      <c r="O67" s="19">
        <f>Tabela1746810121422303226816192527313336242101214161824262830384024810121416202226283032343624268101214246101224262442626282626810262862366810[[#This Row],[Total Acumulado]]-P67</f>
        <v>-26.799999999999997</v>
      </c>
      <c r="P67" s="48">
        <f>Tabela1746810121422303226816192527313336242101214161824262830384024810121416202226283032343624268101214246101224262442626282626810262862366810[[#This Row],[Uso diário]]*5</f>
        <v>67</v>
      </c>
      <c r="Q6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6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7" s="25">
        <v>3</v>
      </c>
    </row>
    <row r="68" spans="1:20" s="26" customFormat="1" x14ac:dyDescent="0.25">
      <c r="A68" s="16">
        <v>216629</v>
      </c>
      <c r="B68" s="30" t="s">
        <v>1054</v>
      </c>
      <c r="C68" s="20" t="s">
        <v>653</v>
      </c>
      <c r="D68" s="20" t="s">
        <v>891</v>
      </c>
      <c r="E68" s="20" t="s">
        <v>2215</v>
      </c>
      <c r="F68" s="20" t="s">
        <v>2216</v>
      </c>
      <c r="G68" s="21">
        <v>18.8</v>
      </c>
      <c r="H68" s="16">
        <v>26</v>
      </c>
      <c r="I68" s="16"/>
      <c r="J6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68" s="22"/>
      <c r="L68" s="23"/>
      <c r="M68" s="23">
        <f>SUM(Tabela1746810121422303226816192527313336242101214161824262830384024810121416202226283032343624268101214246101224262442626282626810262862366810[[#This Row],[Saldo no cartão]:[Recarga Pendente]])</f>
        <v>0</v>
      </c>
      <c r="N68" s="19">
        <f>Tabela1746810121422303226816192527313336242101214161824262830384024810121416202226283032343624268101214246101224262442626282626810262862366810[[#This Row],[Uso diário]]*2</f>
        <v>37.6</v>
      </c>
      <c r="O68" s="19">
        <f>Tabela1746810121422303226816192527313336242101214161824262830384024810121416202226283032343624268101214246101224262442626282626810262862366810[[#This Row],[Total Acumulado]]-P68</f>
        <v>-94</v>
      </c>
      <c r="P68" s="48">
        <f>Tabela1746810121422303226816192527313336242101214161824262830384024810121416202226283032343624268101214246101224262442626282626810262862366810[[#This Row],[Uso diário]]*5</f>
        <v>94</v>
      </c>
      <c r="Q6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6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8" s="25">
        <v>3</v>
      </c>
    </row>
    <row r="69" spans="1:20" s="26" customFormat="1" x14ac:dyDescent="0.25">
      <c r="A69" s="16">
        <v>218469</v>
      </c>
      <c r="B69" s="30" t="s">
        <v>199</v>
      </c>
      <c r="C69" s="20" t="s">
        <v>653</v>
      </c>
      <c r="D69" s="20" t="s">
        <v>714</v>
      </c>
      <c r="E69" s="20" t="s">
        <v>2217</v>
      </c>
      <c r="F69" s="20" t="s">
        <v>2218</v>
      </c>
      <c r="G69" s="21">
        <v>13.4</v>
      </c>
      <c r="H69" s="16">
        <v>26</v>
      </c>
      <c r="I69" s="16"/>
      <c r="J6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69" s="22"/>
      <c r="L69" s="23"/>
      <c r="M69" s="23">
        <f>SUM(Tabela1746810121422303226816192527313336242101214161824262830384024810121416202226283032343624268101214246101224262442626282626810262862366810[[#This Row],[Saldo no cartão]:[Recarga Pendente]])</f>
        <v>0</v>
      </c>
      <c r="N69" s="19">
        <f>Tabela1746810121422303226816192527313336242101214161824262830384024810121416202226283032343624268101214246101224262442626282626810262862366810[[#This Row],[Uso diário]]*2</f>
        <v>26.8</v>
      </c>
      <c r="O69" s="19">
        <f>Tabela1746810121422303226816192527313336242101214161824262830384024810121416202226283032343624268101214246101224262442626282626810262862366810[[#This Row],[Total Acumulado]]-P69</f>
        <v>-67</v>
      </c>
      <c r="P69" s="48">
        <f>Tabela1746810121422303226816192527313336242101214161824262830384024810121416202226283032343624268101214246101224262442626282626810262862366810[[#This Row],[Uso diário]]*5</f>
        <v>67</v>
      </c>
      <c r="Q6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6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6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69" s="25">
        <v>3</v>
      </c>
    </row>
    <row r="70" spans="1:20" s="26" customFormat="1" x14ac:dyDescent="0.25">
      <c r="A70" s="16">
        <v>226799</v>
      </c>
      <c r="B70" s="30" t="s">
        <v>200</v>
      </c>
      <c r="C70" s="20" t="s">
        <v>653</v>
      </c>
      <c r="D70" s="20" t="s">
        <v>714</v>
      </c>
      <c r="E70" s="20" t="s">
        <v>2219</v>
      </c>
      <c r="F70" s="20" t="s">
        <v>2220</v>
      </c>
      <c r="G70" s="21">
        <v>18.8</v>
      </c>
      <c r="H70" s="16">
        <v>26</v>
      </c>
      <c r="I70" s="16"/>
      <c r="J7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70" s="22"/>
      <c r="L70" s="23"/>
      <c r="M70" s="23">
        <f>SUM(Tabela1746810121422303226816192527313336242101214161824262830384024810121416202226283032343624268101214246101224262442626282626810262862366810[[#This Row],[Saldo no cartão]:[Recarga Pendente]])</f>
        <v>0</v>
      </c>
      <c r="N70" s="19">
        <f>Tabela1746810121422303226816192527313336242101214161824262830384024810121416202226283032343624268101214246101224262442626282626810262862366810[[#This Row],[Uso diário]]*2</f>
        <v>37.6</v>
      </c>
      <c r="O70" s="19">
        <f>Tabela1746810121422303226816192527313336242101214161824262830384024810121416202226283032343624268101214246101224262442626282626810262862366810[[#This Row],[Total Acumulado]]-P70</f>
        <v>-94</v>
      </c>
      <c r="P70" s="48">
        <f>Tabela1746810121422303226816192527313336242101214161824262830384024810121416202226283032343624268101214246101224262442626282626810262862366810[[#This Row],[Uso diário]]*5</f>
        <v>94</v>
      </c>
      <c r="Q7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7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0" s="25">
        <v>3</v>
      </c>
    </row>
    <row r="71" spans="1:20" s="26" customFormat="1" x14ac:dyDescent="0.25">
      <c r="A71" s="16">
        <v>211844</v>
      </c>
      <c r="B71" s="30" t="s">
        <v>201</v>
      </c>
      <c r="C71" s="20" t="s">
        <v>654</v>
      </c>
      <c r="D71" s="20" t="s">
        <v>715</v>
      </c>
      <c r="E71" s="20" t="s">
        <v>2221</v>
      </c>
      <c r="F71" s="20" t="s">
        <v>2222</v>
      </c>
      <c r="G71" s="21">
        <v>18.8</v>
      </c>
      <c r="H71" s="16">
        <v>26</v>
      </c>
      <c r="I71" s="16"/>
      <c r="J7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71" s="22"/>
      <c r="L71" s="23"/>
      <c r="M71" s="23">
        <f>SUM(Tabela1746810121422303226816192527313336242101214161824262830384024810121416202226283032343624268101214246101224262442626282626810262862366810[[#This Row],[Saldo no cartão]:[Recarga Pendente]])</f>
        <v>0</v>
      </c>
      <c r="N71" s="19">
        <f>Tabela1746810121422303226816192527313336242101214161824262830384024810121416202226283032343624268101214246101224262442626282626810262862366810[[#This Row],[Uso diário]]*2</f>
        <v>37.6</v>
      </c>
      <c r="O71" s="19">
        <f>Tabela1746810121422303226816192527313336242101214161824262830384024810121416202226283032343624268101214246101224262442626282626810262862366810[[#This Row],[Total Acumulado]]-P71</f>
        <v>-94</v>
      </c>
      <c r="P71" s="48">
        <f>Tabela1746810121422303226816192527313336242101214161824262830384024810121416202226283032343624268101214246101224262442626282626810262862366810[[#This Row],[Uso diário]]*5</f>
        <v>94</v>
      </c>
      <c r="Q7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7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1" s="25">
        <v>3</v>
      </c>
    </row>
    <row r="72" spans="1:20" s="26" customFormat="1" x14ac:dyDescent="0.25">
      <c r="A72" s="16">
        <v>213013</v>
      </c>
      <c r="B72" s="30" t="s">
        <v>1425</v>
      </c>
      <c r="C72" s="20" t="s">
        <v>654</v>
      </c>
      <c r="D72" s="20" t="s">
        <v>715</v>
      </c>
      <c r="E72" s="20" t="s">
        <v>2223</v>
      </c>
      <c r="F72" s="20" t="s">
        <v>2224</v>
      </c>
      <c r="G72" s="21">
        <v>13.4</v>
      </c>
      <c r="H72" s="16">
        <v>26</v>
      </c>
      <c r="I72" s="16"/>
      <c r="J7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2" s="22"/>
      <c r="L72" s="23"/>
      <c r="M72" s="23">
        <f>SUM(Tabela1746810121422303226816192527313336242101214161824262830384024810121416202226283032343624268101214246101224262442626282626810262862366810[[#This Row],[Saldo no cartão]:[Recarga Pendente]])</f>
        <v>0</v>
      </c>
      <c r="N72" s="19">
        <f>Tabela1746810121422303226816192527313336242101214161824262830384024810121416202226283032343624268101214246101224262442626282626810262862366810[[#This Row],[Uso diário]]*2</f>
        <v>26.8</v>
      </c>
      <c r="O72" s="19">
        <f>Tabela1746810121422303226816192527313336242101214161824262830384024810121416202226283032343624268101214246101224262442626282626810262862366810[[#This Row],[Total Acumulado]]-P72</f>
        <v>-67</v>
      </c>
      <c r="P72" s="48">
        <f>Tabela1746810121422303226816192527313336242101214161824262830384024810121416202226283032343624268101214246101224262442626282626810262862366810[[#This Row],[Uso diário]]*5</f>
        <v>67</v>
      </c>
      <c r="Q7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2" s="25">
        <v>3</v>
      </c>
    </row>
    <row r="73" spans="1:20" s="26" customFormat="1" x14ac:dyDescent="0.25">
      <c r="A73" s="16">
        <v>213076</v>
      </c>
      <c r="B73" s="30" t="s">
        <v>202</v>
      </c>
      <c r="C73" s="20" t="s">
        <v>654</v>
      </c>
      <c r="D73" s="20" t="s">
        <v>715</v>
      </c>
      <c r="E73" s="20" t="s">
        <v>2225</v>
      </c>
      <c r="F73" s="20" t="s">
        <v>2226</v>
      </c>
      <c r="G73" s="21">
        <v>13.4</v>
      </c>
      <c r="H73" s="16">
        <v>26</v>
      </c>
      <c r="I73" s="16"/>
      <c r="J7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3" s="22"/>
      <c r="L73" s="23"/>
      <c r="M73" s="23">
        <f>SUM(Tabela1746810121422303226816192527313336242101214161824262830384024810121416202226283032343624268101214246101224262442626282626810262862366810[[#This Row],[Saldo no cartão]:[Recarga Pendente]])</f>
        <v>0</v>
      </c>
      <c r="N73" s="19">
        <f>Tabela1746810121422303226816192527313336242101214161824262830384024810121416202226283032343624268101214246101224262442626282626810262862366810[[#This Row],[Uso diário]]*2</f>
        <v>26.8</v>
      </c>
      <c r="O73" s="19">
        <f>Tabela1746810121422303226816192527313336242101214161824262830384024810121416202226283032343624268101214246101224262442626282626810262862366810[[#This Row],[Total Acumulado]]-P73</f>
        <v>-67</v>
      </c>
      <c r="P73" s="48">
        <f>Tabela1746810121422303226816192527313336242101214161824262830384024810121416202226283032343624268101214246101224262442626282626810262862366810[[#This Row],[Uso diário]]*5</f>
        <v>67</v>
      </c>
      <c r="Q7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3" s="25">
        <v>3</v>
      </c>
    </row>
    <row r="74" spans="1:20" s="26" customFormat="1" x14ac:dyDescent="0.25">
      <c r="A74" s="16">
        <v>215307</v>
      </c>
      <c r="B74" s="30" t="s">
        <v>203</v>
      </c>
      <c r="C74" s="20" t="s">
        <v>654</v>
      </c>
      <c r="D74" s="20" t="s">
        <v>715</v>
      </c>
      <c r="E74" s="20" t="s">
        <v>2227</v>
      </c>
      <c r="F74" s="20" t="s">
        <v>2228</v>
      </c>
      <c r="G74" s="21">
        <v>13.4</v>
      </c>
      <c r="H74" s="16">
        <v>26</v>
      </c>
      <c r="I74" s="16"/>
      <c r="J7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4" s="22"/>
      <c r="L74" s="23"/>
      <c r="M74" s="23">
        <f>SUM(Tabela1746810121422303226816192527313336242101214161824262830384024810121416202226283032343624268101214246101224262442626282626810262862366810[[#This Row],[Saldo no cartão]:[Recarga Pendente]])</f>
        <v>0</v>
      </c>
      <c r="N74" s="19">
        <f>Tabela1746810121422303226816192527313336242101214161824262830384024810121416202226283032343624268101214246101224262442626282626810262862366810[[#This Row],[Uso diário]]*2</f>
        <v>26.8</v>
      </c>
      <c r="O74" s="19">
        <f>Tabela1746810121422303226816192527313336242101214161824262830384024810121416202226283032343624268101214246101224262442626282626810262862366810[[#This Row],[Total Acumulado]]-P74</f>
        <v>-67</v>
      </c>
      <c r="P74" s="48">
        <f>Tabela1746810121422303226816192527313336242101214161824262830384024810121416202226283032343624268101214246101224262442626282626810262862366810[[#This Row],[Uso diário]]*5</f>
        <v>67</v>
      </c>
      <c r="Q7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4" s="25">
        <v>3</v>
      </c>
    </row>
    <row r="75" spans="1:20" s="26" customFormat="1" x14ac:dyDescent="0.25">
      <c r="A75" s="16">
        <v>222466</v>
      </c>
      <c r="B75" s="30" t="s">
        <v>205</v>
      </c>
      <c r="C75" s="20" t="s">
        <v>654</v>
      </c>
      <c r="D75" s="20" t="s">
        <v>715</v>
      </c>
      <c r="E75" s="20" t="s">
        <v>2229</v>
      </c>
      <c r="F75" s="20" t="s">
        <v>2230</v>
      </c>
      <c r="G75" s="21">
        <v>18.8</v>
      </c>
      <c r="H75" s="16">
        <v>26</v>
      </c>
      <c r="I75" s="16"/>
      <c r="J7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75" s="22"/>
      <c r="L75" s="23"/>
      <c r="M75" s="23">
        <f>SUM(Tabela1746810121422303226816192527313336242101214161824262830384024810121416202226283032343624268101214246101224262442626282626810262862366810[[#This Row],[Saldo no cartão]:[Recarga Pendente]])</f>
        <v>0</v>
      </c>
      <c r="N75" s="19">
        <f>Tabela1746810121422303226816192527313336242101214161824262830384024810121416202226283032343624268101214246101224262442626282626810262862366810[[#This Row],[Uso diário]]*2</f>
        <v>37.6</v>
      </c>
      <c r="O75" s="19">
        <f>Tabela1746810121422303226816192527313336242101214161824262830384024810121416202226283032343624268101214246101224262442626282626810262862366810[[#This Row],[Total Acumulado]]-P75</f>
        <v>-94</v>
      </c>
      <c r="P75" s="48">
        <f>Tabela1746810121422303226816192527313336242101214161824262830384024810121416202226283032343624268101214246101224262442626282626810262862366810[[#This Row],[Uso diário]]*5</f>
        <v>94</v>
      </c>
      <c r="Q7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7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5" s="25">
        <v>3</v>
      </c>
    </row>
    <row r="76" spans="1:20" s="26" customFormat="1" x14ac:dyDescent="0.25">
      <c r="A76" s="16">
        <v>223562</v>
      </c>
      <c r="B76" s="30" t="s">
        <v>206</v>
      </c>
      <c r="C76" s="20" t="s">
        <v>654</v>
      </c>
      <c r="D76" s="20" t="s">
        <v>715</v>
      </c>
      <c r="E76" s="20" t="s">
        <v>2231</v>
      </c>
      <c r="F76" s="20" t="s">
        <v>2232</v>
      </c>
      <c r="G76" s="21">
        <v>18.8</v>
      </c>
      <c r="H76" s="16">
        <v>26</v>
      </c>
      <c r="I76" s="16">
        <v>1</v>
      </c>
      <c r="J7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470</v>
      </c>
      <c r="K76" s="22"/>
      <c r="L76" s="23"/>
      <c r="M76" s="23">
        <f>SUM(Tabela1746810121422303226816192527313336242101214161824262830384024810121416202226283032343624268101214246101224262442626282626810262862366810[[#This Row],[Saldo no cartão]:[Recarga Pendente]])</f>
        <v>0</v>
      </c>
      <c r="N76" s="19">
        <f>Tabela1746810121422303226816192527313336242101214161824262830384024810121416202226283032343624268101214246101224262442626282626810262862366810[[#This Row],[Uso diário]]*2</f>
        <v>37.6</v>
      </c>
      <c r="O76" s="19">
        <f>Tabela1746810121422303226816192527313336242101214161824262830384024810121416202226283032343624268101214246101224262442626282626810262862366810[[#This Row],[Total Acumulado]]-P76</f>
        <v>-94</v>
      </c>
      <c r="P76" s="48">
        <f>Tabela1746810121422303226816192527313336242101214161824262830384024810121416202226283032343624268101214246101224262442626282626810262862366810[[#This Row],[Uso diário]]*5</f>
        <v>94</v>
      </c>
      <c r="Q7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470</v>
      </c>
      <c r="S7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6" s="25">
        <v>3</v>
      </c>
    </row>
    <row r="77" spans="1:20" s="26" customFormat="1" x14ac:dyDescent="0.25">
      <c r="A77" s="16">
        <v>223864</v>
      </c>
      <c r="B77" s="30" t="s">
        <v>207</v>
      </c>
      <c r="C77" s="20" t="s">
        <v>654</v>
      </c>
      <c r="D77" s="20" t="s">
        <v>715</v>
      </c>
      <c r="E77" s="20" t="s">
        <v>2233</v>
      </c>
      <c r="F77" s="20" t="s">
        <v>2234</v>
      </c>
      <c r="G77" s="21">
        <v>13.4</v>
      </c>
      <c r="H77" s="16">
        <v>26</v>
      </c>
      <c r="I77" s="16"/>
      <c r="J7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7" s="22"/>
      <c r="L77" s="23"/>
      <c r="M77" s="23">
        <f>SUM(Tabela1746810121422303226816192527313336242101214161824262830384024810121416202226283032343624268101214246101224262442626282626810262862366810[[#This Row],[Saldo no cartão]:[Recarga Pendente]])</f>
        <v>0</v>
      </c>
      <c r="N77" s="19">
        <f>Tabela1746810121422303226816192527313336242101214161824262830384024810121416202226283032343624268101214246101224262442626282626810262862366810[[#This Row],[Uso diário]]*2</f>
        <v>26.8</v>
      </c>
      <c r="O77" s="19">
        <f>Tabela1746810121422303226816192527313336242101214161824262830384024810121416202226283032343624268101214246101224262442626282626810262862366810[[#This Row],[Total Acumulado]]-P77</f>
        <v>-67</v>
      </c>
      <c r="P77" s="48">
        <f>Tabela1746810121422303226816192527313336242101214161824262830384024810121416202226283032343624268101214246101224262442626282626810262862366810[[#This Row],[Uso diário]]*5</f>
        <v>67</v>
      </c>
      <c r="Q7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7" s="25">
        <v>3</v>
      </c>
    </row>
    <row r="78" spans="1:20" s="26" customFormat="1" x14ac:dyDescent="0.25">
      <c r="A78" s="16">
        <v>225387</v>
      </c>
      <c r="B78" s="30" t="s">
        <v>1163</v>
      </c>
      <c r="C78" s="20" t="s">
        <v>654</v>
      </c>
      <c r="D78" s="20" t="s">
        <v>715</v>
      </c>
      <c r="E78" s="20" t="s">
        <v>2235</v>
      </c>
      <c r="F78" s="20" t="s">
        <v>2236</v>
      </c>
      <c r="G78" s="21">
        <v>13.4</v>
      </c>
      <c r="H78" s="16">
        <v>26</v>
      </c>
      <c r="I78" s="16"/>
      <c r="J7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8" s="22"/>
      <c r="L78" s="23"/>
      <c r="M78" s="23">
        <f>SUM(Tabela1746810121422303226816192527313336242101214161824262830384024810121416202226283032343624268101214246101224262442626282626810262862366810[[#This Row],[Saldo no cartão]:[Recarga Pendente]])</f>
        <v>0</v>
      </c>
      <c r="N78" s="19">
        <f>Tabela1746810121422303226816192527313336242101214161824262830384024810121416202226283032343624268101214246101224262442626282626810262862366810[[#This Row],[Uso diário]]*2</f>
        <v>26.8</v>
      </c>
      <c r="O78" s="19">
        <f>Tabela1746810121422303226816192527313336242101214161824262830384024810121416202226283032343624268101214246101224262442626282626810262862366810[[#This Row],[Total Acumulado]]-P78</f>
        <v>-67</v>
      </c>
      <c r="P78" s="48">
        <f>Tabela1746810121422303226816192527313336242101214161824262830384024810121416202226283032343624268101214246101224262442626282626810262862366810[[#This Row],[Uso diário]]*5</f>
        <v>67</v>
      </c>
      <c r="Q7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8" s="25">
        <v>3</v>
      </c>
    </row>
    <row r="79" spans="1:20" s="26" customFormat="1" x14ac:dyDescent="0.25">
      <c r="A79" s="16">
        <v>230475</v>
      </c>
      <c r="B79" s="30" t="s">
        <v>208</v>
      </c>
      <c r="C79" s="20" t="s">
        <v>654</v>
      </c>
      <c r="D79" s="20" t="s">
        <v>715</v>
      </c>
      <c r="E79" s="20" t="s">
        <v>2237</v>
      </c>
      <c r="F79" s="20" t="s">
        <v>2238</v>
      </c>
      <c r="G79" s="21">
        <v>13.4</v>
      </c>
      <c r="H79" s="16">
        <v>26</v>
      </c>
      <c r="I79" s="16"/>
      <c r="J7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79" s="22"/>
      <c r="L79" s="23"/>
      <c r="M79" s="23">
        <f>SUM(Tabela1746810121422303226816192527313336242101214161824262830384024810121416202226283032343624268101214246101224262442626282626810262862366810[[#This Row],[Saldo no cartão]:[Recarga Pendente]])</f>
        <v>0</v>
      </c>
      <c r="N79" s="19">
        <f>Tabela1746810121422303226816192527313336242101214161824262830384024810121416202226283032343624268101214246101224262442626282626810262862366810[[#This Row],[Uso diário]]*2</f>
        <v>26.8</v>
      </c>
      <c r="O79" s="19">
        <f>Tabela1746810121422303226816192527313336242101214161824262830384024810121416202226283032343624268101214246101224262442626282626810262862366810[[#This Row],[Total Acumulado]]-P79</f>
        <v>-67</v>
      </c>
      <c r="P79" s="48">
        <f>Tabela1746810121422303226816192527313336242101214161824262830384024810121416202226283032343624268101214246101224262442626282626810262862366810[[#This Row],[Uso diário]]*5</f>
        <v>67</v>
      </c>
      <c r="Q7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7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7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79" s="25">
        <v>3</v>
      </c>
    </row>
    <row r="80" spans="1:20" s="26" customFormat="1" x14ac:dyDescent="0.25">
      <c r="A80" s="16">
        <v>231485</v>
      </c>
      <c r="B80" s="30" t="s">
        <v>786</v>
      </c>
      <c r="C80" s="20" t="s">
        <v>654</v>
      </c>
      <c r="D80" s="20" t="s">
        <v>715</v>
      </c>
      <c r="E80" s="20" t="s">
        <v>2239</v>
      </c>
      <c r="F80" s="20" t="s">
        <v>2240</v>
      </c>
      <c r="G80" s="21">
        <v>13.4</v>
      </c>
      <c r="H80" s="16">
        <v>26</v>
      </c>
      <c r="I80" s="16">
        <v>3</v>
      </c>
      <c r="J8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308.2</v>
      </c>
      <c r="K80" s="22"/>
      <c r="L80" s="23"/>
      <c r="M80" s="23">
        <f>SUM(Tabela1746810121422303226816192527313336242101214161824262830384024810121416202226283032343624268101214246101224262442626282626810262862366810[[#This Row],[Saldo no cartão]:[Recarga Pendente]])</f>
        <v>0</v>
      </c>
      <c r="N80" s="19">
        <f>Tabela1746810121422303226816192527313336242101214161824262830384024810121416202226283032343624268101214246101224262442626282626810262862366810[[#This Row],[Uso diário]]*2</f>
        <v>26.8</v>
      </c>
      <c r="O80" s="19">
        <f>Tabela1746810121422303226816192527313336242101214161824262830384024810121416202226283032343624268101214246101224262442626282626810262862366810[[#This Row],[Total Acumulado]]-P80</f>
        <v>-67</v>
      </c>
      <c r="P80" s="48">
        <f>Tabela1746810121422303226816192527313336242101214161824262830384024810121416202226283032343624268101214246101224262442626282626810262862366810[[#This Row],[Uso diário]]*5</f>
        <v>67</v>
      </c>
      <c r="Q8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308.2</v>
      </c>
      <c r="S8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0" s="25">
        <v>3</v>
      </c>
    </row>
    <row r="81" spans="1:20" s="26" customFormat="1" x14ac:dyDescent="0.25">
      <c r="A81" s="16">
        <v>232380</v>
      </c>
      <c r="B81" s="30" t="s">
        <v>899</v>
      </c>
      <c r="C81" s="20" t="s">
        <v>654</v>
      </c>
      <c r="D81" s="20" t="s">
        <v>715</v>
      </c>
      <c r="E81" s="20" t="s">
        <v>2241</v>
      </c>
      <c r="F81" s="20" t="s">
        <v>2242</v>
      </c>
      <c r="G81" s="21">
        <v>13.4</v>
      </c>
      <c r="H81" s="16">
        <v>26</v>
      </c>
      <c r="I81" s="16"/>
      <c r="J8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1" s="22"/>
      <c r="L81" s="23"/>
      <c r="M81" s="23">
        <f>SUM(Tabela1746810121422303226816192527313336242101214161824262830384024810121416202226283032343624268101214246101224262442626282626810262862366810[[#This Row],[Saldo no cartão]:[Recarga Pendente]])</f>
        <v>0</v>
      </c>
      <c r="N81" s="19">
        <f>Tabela1746810121422303226816192527313336242101214161824262830384024810121416202226283032343624268101214246101224262442626282626810262862366810[[#This Row],[Uso diário]]*2</f>
        <v>26.8</v>
      </c>
      <c r="O81" s="19">
        <f>Tabela1746810121422303226816192527313336242101214161824262830384024810121416202226283032343624268101214246101224262442626282626810262862366810[[#This Row],[Total Acumulado]]-P81</f>
        <v>-67</v>
      </c>
      <c r="P81" s="48">
        <f>Tabela1746810121422303226816192527313336242101214161824262830384024810121416202226283032343624268101214246101224262442626282626810262862366810[[#This Row],[Uso diário]]*5</f>
        <v>67</v>
      </c>
      <c r="Q8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1" s="25">
        <v>3</v>
      </c>
    </row>
    <row r="82" spans="1:20" s="26" customFormat="1" x14ac:dyDescent="0.25">
      <c r="A82" s="16">
        <v>232499</v>
      </c>
      <c r="B82" s="30" t="s">
        <v>900</v>
      </c>
      <c r="C82" s="20" t="s">
        <v>654</v>
      </c>
      <c r="D82" s="20" t="s">
        <v>715</v>
      </c>
      <c r="E82" s="20" t="s">
        <v>2243</v>
      </c>
      <c r="F82" s="20" t="s">
        <v>2244</v>
      </c>
      <c r="G82" s="21">
        <v>18.8</v>
      </c>
      <c r="H82" s="16">
        <v>26</v>
      </c>
      <c r="I82" s="16"/>
      <c r="J8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82" s="22"/>
      <c r="L82" s="23"/>
      <c r="M82" s="23">
        <f>SUM(Tabela1746810121422303226816192527313336242101214161824262830384024810121416202226283032343624268101214246101224262442626282626810262862366810[[#This Row],[Saldo no cartão]:[Recarga Pendente]])</f>
        <v>0</v>
      </c>
      <c r="N82" s="19">
        <f>Tabela1746810121422303226816192527313336242101214161824262830384024810121416202226283032343624268101214246101224262442626282626810262862366810[[#This Row],[Uso diário]]*2</f>
        <v>37.6</v>
      </c>
      <c r="O82" s="19">
        <f>Tabela1746810121422303226816192527313336242101214161824262830384024810121416202226283032343624268101214246101224262442626282626810262862366810[[#This Row],[Total Acumulado]]-P82</f>
        <v>-94</v>
      </c>
      <c r="P82" s="48">
        <f>Tabela1746810121422303226816192527313336242101214161824262830384024810121416202226283032343624268101214246101224262442626282626810262862366810[[#This Row],[Uso diário]]*5</f>
        <v>94</v>
      </c>
      <c r="Q8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8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2" s="25">
        <v>3</v>
      </c>
    </row>
    <row r="83" spans="1:20" s="26" customFormat="1" x14ac:dyDescent="0.25">
      <c r="A83" s="16">
        <v>234473</v>
      </c>
      <c r="B83" s="30" t="s">
        <v>1280</v>
      </c>
      <c r="C83" s="20" t="s">
        <v>654</v>
      </c>
      <c r="D83" s="20" t="s">
        <v>715</v>
      </c>
      <c r="E83" s="20" t="s">
        <v>2245</v>
      </c>
      <c r="F83" s="20" t="s">
        <v>2246</v>
      </c>
      <c r="G83" s="21">
        <v>13.4</v>
      </c>
      <c r="H83" s="16">
        <v>26</v>
      </c>
      <c r="I83" s="16"/>
      <c r="J8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3" s="22"/>
      <c r="L83" s="23">
        <v>11.25</v>
      </c>
      <c r="M83" s="23">
        <f>SUM(Tabela1746810121422303226816192527313336242101214161824262830384024810121416202226283032343624268101214246101224262442626282626810262862366810[[#This Row],[Saldo no cartão]:[Recarga Pendente]])</f>
        <v>11.25</v>
      </c>
      <c r="N83" s="19">
        <f>Tabela1746810121422303226816192527313336242101214161824262830384024810121416202226283032343624268101214246101224262442626282626810262862366810[[#This Row],[Uso diário]]*2</f>
        <v>26.8</v>
      </c>
      <c r="O83" s="19">
        <f>Tabela1746810121422303226816192527313336242101214161824262830384024810121416202226283032343624268101214246101224262442626282626810262862366810[[#This Row],[Total Acumulado]]-P83</f>
        <v>-55.75</v>
      </c>
      <c r="P83" s="48">
        <f>Tabela1746810121422303226816192527313336242101214161824262830384024810121416202226283032343624268101214246101224262442626282626810262862366810[[#This Row],[Uso diário]]*5</f>
        <v>67</v>
      </c>
      <c r="Q8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3" s="25">
        <v>3</v>
      </c>
    </row>
    <row r="84" spans="1:20" s="26" customFormat="1" x14ac:dyDescent="0.25">
      <c r="A84" s="16">
        <v>224116</v>
      </c>
      <c r="B84" s="30" t="s">
        <v>210</v>
      </c>
      <c r="C84" s="20" t="s">
        <v>640</v>
      </c>
      <c r="D84" s="20" t="s">
        <v>701</v>
      </c>
      <c r="E84" s="20" t="s">
        <v>2247</v>
      </c>
      <c r="F84" s="20" t="s">
        <v>2248</v>
      </c>
      <c r="G84" s="21">
        <v>13.4</v>
      </c>
      <c r="H84" s="16">
        <v>26</v>
      </c>
      <c r="I84" s="16"/>
      <c r="J8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4" s="22"/>
      <c r="L84" s="23"/>
      <c r="M84" s="23">
        <f>SUM(Tabela1746810121422303226816192527313336242101214161824262830384024810121416202226283032343624268101214246101224262442626282626810262862366810[[#This Row],[Saldo no cartão]:[Recarga Pendente]])</f>
        <v>0</v>
      </c>
      <c r="N84" s="19">
        <f>Tabela1746810121422303226816192527313336242101214161824262830384024810121416202226283032343624268101214246101224262442626282626810262862366810[[#This Row],[Uso diário]]*2</f>
        <v>26.8</v>
      </c>
      <c r="O84" s="19">
        <f>Tabela1746810121422303226816192527313336242101214161824262830384024810121416202226283032343624268101214246101224262442626282626810262862366810[[#This Row],[Total Acumulado]]-P84</f>
        <v>-67</v>
      </c>
      <c r="P84" s="48">
        <f>Tabela1746810121422303226816192527313336242101214161824262830384024810121416202226283032343624268101214246101224262442626282626810262862366810[[#This Row],[Uso diário]]*5</f>
        <v>67</v>
      </c>
      <c r="Q8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4" s="25">
        <v>3</v>
      </c>
    </row>
    <row r="85" spans="1:20" s="26" customFormat="1" x14ac:dyDescent="0.25">
      <c r="A85" s="16">
        <v>232379</v>
      </c>
      <c r="B85" s="30" t="s">
        <v>901</v>
      </c>
      <c r="C85" s="20" t="s">
        <v>640</v>
      </c>
      <c r="D85" s="20" t="s">
        <v>702</v>
      </c>
      <c r="E85" s="20" t="s">
        <v>2249</v>
      </c>
      <c r="F85" s="20" t="s">
        <v>2250</v>
      </c>
      <c r="G85" s="21">
        <v>13.4</v>
      </c>
      <c r="H85" s="16">
        <v>26</v>
      </c>
      <c r="I85" s="16"/>
      <c r="J8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5" s="22"/>
      <c r="L85" s="23"/>
      <c r="M85" s="23">
        <f>SUM(Tabela1746810121422303226816192527313336242101214161824262830384024810121416202226283032343624268101214246101224262442626282626810262862366810[[#This Row],[Saldo no cartão]:[Recarga Pendente]])</f>
        <v>0</v>
      </c>
      <c r="N85" s="19">
        <f>Tabela1746810121422303226816192527313336242101214161824262830384024810121416202226283032343624268101214246101224262442626282626810262862366810[[#This Row],[Uso diário]]*2</f>
        <v>26.8</v>
      </c>
      <c r="O85" s="19">
        <f>Tabela1746810121422303226816192527313336242101214161824262830384024810121416202226283032343624268101214246101224262442626282626810262862366810[[#This Row],[Total Acumulado]]-P85</f>
        <v>-67</v>
      </c>
      <c r="P85" s="48">
        <f>Tabela1746810121422303226816192527313336242101214161824262830384024810121416202226283032343624268101214246101224262442626282626810262862366810[[#This Row],[Uso diário]]*5</f>
        <v>67</v>
      </c>
      <c r="Q8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5" s="25">
        <v>3</v>
      </c>
    </row>
    <row r="86" spans="1:20" s="26" customFormat="1" x14ac:dyDescent="0.25">
      <c r="A86" s="16">
        <v>222344</v>
      </c>
      <c r="B86" s="30" t="s">
        <v>1426</v>
      </c>
      <c r="C86" s="20" t="s">
        <v>655</v>
      </c>
      <c r="D86" s="20" t="s">
        <v>734</v>
      </c>
      <c r="E86" s="20" t="s">
        <v>2251</v>
      </c>
      <c r="F86" s="20" t="s">
        <v>2252</v>
      </c>
      <c r="G86" s="21">
        <v>13.4</v>
      </c>
      <c r="H86" s="16">
        <v>26</v>
      </c>
      <c r="I86" s="16"/>
      <c r="J8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6" s="22"/>
      <c r="L86" s="23">
        <v>40.200000000000003</v>
      </c>
      <c r="M86" s="23">
        <f>SUM(Tabela1746810121422303226816192527313336242101214161824262830384024810121416202226283032343624268101214246101224262442626282626810262862366810[[#This Row],[Saldo no cartão]:[Recarga Pendente]])</f>
        <v>40.200000000000003</v>
      </c>
      <c r="N86" s="19">
        <f>Tabela1746810121422303226816192527313336242101214161824262830384024810121416202226283032343624268101214246101224262442626282626810262862366810[[#This Row],[Uso diário]]*2</f>
        <v>26.8</v>
      </c>
      <c r="O86" s="19">
        <f>Tabela1746810121422303226816192527313336242101214161824262830384024810121416202226283032343624268101214246101224262442626282626810262862366810[[#This Row],[Total Acumulado]]-P86</f>
        <v>-26.799999999999997</v>
      </c>
      <c r="P86" s="48">
        <f>Tabela1746810121422303226816192527313336242101214161824262830384024810121416202226283032343624268101214246101224262442626282626810262862366810[[#This Row],[Uso diário]]*5</f>
        <v>67</v>
      </c>
      <c r="Q8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6" s="25">
        <v>3</v>
      </c>
    </row>
    <row r="87" spans="1:20" s="26" customFormat="1" x14ac:dyDescent="0.25">
      <c r="A87" s="16">
        <v>230336</v>
      </c>
      <c r="B87" s="30" t="s">
        <v>211</v>
      </c>
      <c r="C87" s="20" t="s">
        <v>655</v>
      </c>
      <c r="D87" s="20" t="s">
        <v>734</v>
      </c>
      <c r="E87" s="20" t="s">
        <v>2253</v>
      </c>
      <c r="F87" s="20" t="s">
        <v>2254</v>
      </c>
      <c r="G87" s="21">
        <v>13.4</v>
      </c>
      <c r="H87" s="16">
        <v>26</v>
      </c>
      <c r="I87" s="16"/>
      <c r="J8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87" s="22"/>
      <c r="L87" s="23">
        <v>10</v>
      </c>
      <c r="M87" s="23">
        <f>SUM(Tabela1746810121422303226816192527313336242101214161824262830384024810121416202226283032343624268101214246101224262442626282626810262862366810[[#This Row],[Saldo no cartão]:[Recarga Pendente]])</f>
        <v>10</v>
      </c>
      <c r="N87" s="19">
        <f>Tabela1746810121422303226816192527313336242101214161824262830384024810121416202226283032343624268101214246101224262442626282626810262862366810[[#This Row],[Uso diário]]*2</f>
        <v>26.8</v>
      </c>
      <c r="O87" s="19">
        <f>Tabela1746810121422303226816192527313336242101214161824262830384024810121416202226283032343624268101214246101224262442626282626810262862366810[[#This Row],[Total Acumulado]]-P87</f>
        <v>-57</v>
      </c>
      <c r="P87" s="48">
        <f>Tabela1746810121422303226816192527313336242101214161824262830384024810121416202226283032343624268101214246101224262442626282626810262862366810[[#This Row],[Uso diário]]*5</f>
        <v>67</v>
      </c>
      <c r="Q8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87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7" s="25">
        <v>3</v>
      </c>
    </row>
    <row r="88" spans="1:20" s="26" customFormat="1" x14ac:dyDescent="0.25">
      <c r="A88" s="16">
        <v>231885</v>
      </c>
      <c r="B88" s="30" t="s">
        <v>819</v>
      </c>
      <c r="C88" s="20" t="s">
        <v>655</v>
      </c>
      <c r="D88" s="20" t="s">
        <v>734</v>
      </c>
      <c r="E88" s="20" t="s">
        <v>2255</v>
      </c>
      <c r="F88" s="20" t="s">
        <v>2256</v>
      </c>
      <c r="G88" s="21">
        <v>18.8</v>
      </c>
      <c r="H88" s="16">
        <v>26</v>
      </c>
      <c r="I88" s="16"/>
      <c r="J8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88" s="22"/>
      <c r="L88" s="23"/>
      <c r="M88" s="23">
        <f>SUM(Tabela1746810121422303226816192527313336242101214161824262830384024810121416202226283032343624268101214246101224262442626282626810262862366810[[#This Row],[Saldo no cartão]:[Recarga Pendente]])</f>
        <v>0</v>
      </c>
      <c r="N88" s="19">
        <f>Tabela1746810121422303226816192527313336242101214161824262830384024810121416202226283032343624268101214246101224262442626282626810262862366810[[#This Row],[Uso diário]]*2</f>
        <v>37.6</v>
      </c>
      <c r="O88" s="19">
        <f>Tabela1746810121422303226816192527313336242101214161824262830384024810121416202226283032343624268101214246101224262442626282626810262862366810[[#This Row],[Total Acumulado]]-P88</f>
        <v>-94</v>
      </c>
      <c r="P88" s="48">
        <f>Tabela1746810121422303226816192527313336242101214161824262830384024810121416202226283032343624268101214246101224262442626282626810262862366810[[#This Row],[Uso diário]]*5</f>
        <v>94</v>
      </c>
      <c r="Q8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8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8" s="25">
        <v>3</v>
      </c>
    </row>
    <row r="89" spans="1:20" s="26" customFormat="1" x14ac:dyDescent="0.25">
      <c r="A89" s="16">
        <v>213678</v>
      </c>
      <c r="B89" s="30" t="s">
        <v>371</v>
      </c>
      <c r="C89" s="20" t="s">
        <v>641</v>
      </c>
      <c r="D89" s="20" t="s">
        <v>735</v>
      </c>
      <c r="E89" s="20" t="s">
        <v>2257</v>
      </c>
      <c r="F89" s="20" t="s">
        <v>4182</v>
      </c>
      <c r="G89" s="21">
        <v>32.200000000000003</v>
      </c>
      <c r="H89" s="16">
        <v>26</v>
      </c>
      <c r="I89" s="16"/>
      <c r="J89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837.2</v>
      </c>
      <c r="K89" s="22"/>
      <c r="L89" s="23"/>
      <c r="M89" s="23">
        <f>SUM(Tabela1746810121422303226816192527313336242101214161824262830384024810121416202226283032343624268101214246101224262442626282626810262862366810[[#This Row],[Saldo no cartão]:[Recarga Pendente]])</f>
        <v>0</v>
      </c>
      <c r="N89" s="19">
        <f>Tabela1746810121422303226816192527313336242101214161824262830384024810121416202226283032343624268101214246101224262442626282626810262862366810[[#This Row],[Uso diário]]*2</f>
        <v>64.400000000000006</v>
      </c>
      <c r="O89" s="19">
        <f>Tabela1746810121422303226816192527313336242101214161824262830384024810121416202226283032343624268101214246101224262442626282626810262862366810[[#This Row],[Total Acumulado]]-P89</f>
        <v>-161</v>
      </c>
      <c r="P89" s="48">
        <f>Tabela1746810121422303226816192527313336242101214161824262830384024810121416202226283032343624268101214246101224262442626282626810262862366810[[#This Row],[Uso diário]]*5</f>
        <v>161</v>
      </c>
      <c r="Q89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89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837.2</v>
      </c>
      <c r="S89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89" s="25">
        <v>3</v>
      </c>
    </row>
    <row r="90" spans="1:20" s="26" customFormat="1" x14ac:dyDescent="0.25">
      <c r="A90" s="16">
        <v>216620</v>
      </c>
      <c r="B90" s="30" t="s">
        <v>212</v>
      </c>
      <c r="C90" s="20" t="s">
        <v>641</v>
      </c>
      <c r="D90" s="20" t="s">
        <v>705</v>
      </c>
      <c r="E90" s="20" t="s">
        <v>2258</v>
      </c>
      <c r="F90" s="20" t="s">
        <v>2259</v>
      </c>
      <c r="G90" s="21">
        <v>18.8</v>
      </c>
      <c r="H90" s="16">
        <v>26</v>
      </c>
      <c r="I90" s="16">
        <v>1</v>
      </c>
      <c r="J90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470</v>
      </c>
      <c r="K90" s="22"/>
      <c r="L90" s="23"/>
      <c r="M90" s="23">
        <f>SUM(Tabela1746810121422303226816192527313336242101214161824262830384024810121416202226283032343624268101214246101224262442626282626810262862366810[[#This Row],[Saldo no cartão]:[Recarga Pendente]])</f>
        <v>0</v>
      </c>
      <c r="N90" s="19">
        <f>Tabela1746810121422303226816192527313336242101214161824262830384024810121416202226283032343624268101214246101224262442626282626810262862366810[[#This Row],[Uso diário]]*2</f>
        <v>37.6</v>
      </c>
      <c r="O90" s="19">
        <f>Tabela1746810121422303226816192527313336242101214161824262830384024810121416202226283032343624268101214246101224262442626282626810262862366810[[#This Row],[Total Acumulado]]-P90</f>
        <v>-94</v>
      </c>
      <c r="P90" s="48">
        <f>Tabela1746810121422303226816192527313336242101214161824262830384024810121416202226283032343624268101214246101224262442626282626810262862366810[[#This Row],[Uso diário]]*5</f>
        <v>94</v>
      </c>
      <c r="Q90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0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470</v>
      </c>
      <c r="S90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0" s="25">
        <v>3</v>
      </c>
    </row>
    <row r="91" spans="1:20" s="26" customFormat="1" x14ac:dyDescent="0.25">
      <c r="A91" s="16">
        <v>224578</v>
      </c>
      <c r="B91" s="30" t="s">
        <v>1427</v>
      </c>
      <c r="C91" s="20" t="s">
        <v>641</v>
      </c>
      <c r="D91" s="20" t="s">
        <v>704</v>
      </c>
      <c r="E91" s="20" t="s">
        <v>2260</v>
      </c>
      <c r="F91" s="20" t="s">
        <v>2261</v>
      </c>
      <c r="G91" s="21">
        <v>18.8</v>
      </c>
      <c r="H91" s="16">
        <v>26</v>
      </c>
      <c r="I91" s="16"/>
      <c r="J91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488.8</v>
      </c>
      <c r="K91" s="22"/>
      <c r="L91" s="23"/>
      <c r="M91" s="23">
        <f>SUM(Tabela1746810121422303226816192527313336242101214161824262830384024810121416202226283032343624268101214246101224262442626282626810262862366810[[#This Row],[Saldo no cartão]:[Recarga Pendente]])</f>
        <v>0</v>
      </c>
      <c r="N91" s="19">
        <f>Tabela1746810121422303226816192527313336242101214161824262830384024810121416202226283032343624268101214246101224262442626282626810262862366810[[#This Row],[Uso diário]]*2</f>
        <v>37.6</v>
      </c>
      <c r="O91" s="19">
        <f>Tabela1746810121422303226816192527313336242101214161824262830384024810121416202226283032343624268101214246101224262442626282626810262862366810[[#This Row],[Total Acumulado]]-P91</f>
        <v>-94</v>
      </c>
      <c r="P91" s="48">
        <f>Tabela1746810121422303226816192527313336242101214161824262830384024810121416202226283032343624268101214246101224262442626282626810262862366810[[#This Row],[Uso diário]]*5</f>
        <v>94</v>
      </c>
      <c r="Q91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1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488.8</v>
      </c>
      <c r="S91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1" s="25">
        <v>3</v>
      </c>
    </row>
    <row r="92" spans="1:20" s="26" customFormat="1" x14ac:dyDescent="0.25">
      <c r="A92" s="16">
        <v>224579</v>
      </c>
      <c r="B92" s="30" t="s">
        <v>213</v>
      </c>
      <c r="C92" s="20" t="s">
        <v>641</v>
      </c>
      <c r="D92" s="20" t="s">
        <v>704</v>
      </c>
      <c r="E92" s="20" t="s">
        <v>2262</v>
      </c>
      <c r="F92" s="20" t="s">
        <v>2263</v>
      </c>
      <c r="G92" s="21">
        <v>13.4</v>
      </c>
      <c r="H92" s="16">
        <v>26</v>
      </c>
      <c r="I92" s="16"/>
      <c r="J92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92" s="22"/>
      <c r="L92" s="23"/>
      <c r="M92" s="23">
        <f>SUM(Tabela1746810121422303226816192527313336242101214161824262830384024810121416202226283032343624268101214246101224262442626282626810262862366810[[#This Row],[Saldo no cartão]:[Recarga Pendente]])</f>
        <v>0</v>
      </c>
      <c r="N92" s="19">
        <f>Tabela1746810121422303226816192527313336242101214161824262830384024810121416202226283032343624268101214246101224262442626282626810262862366810[[#This Row],[Uso diário]]*2</f>
        <v>26.8</v>
      </c>
      <c r="O92" s="19">
        <f>Tabela1746810121422303226816192527313336242101214161824262830384024810121416202226283032343624268101214246101224262442626282626810262862366810[[#This Row],[Total Acumulado]]-P92</f>
        <v>-67</v>
      </c>
      <c r="P92" s="48">
        <f>Tabela1746810121422303226816192527313336242101214161824262830384024810121416202226283032343624268101214246101224262442626282626810262862366810[[#This Row],[Uso diário]]*5</f>
        <v>67</v>
      </c>
      <c r="Q92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2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92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2" s="25">
        <v>3</v>
      </c>
    </row>
    <row r="93" spans="1:20" s="26" customFormat="1" x14ac:dyDescent="0.25">
      <c r="A93" s="16">
        <v>226680</v>
      </c>
      <c r="B93" s="30" t="s">
        <v>1349</v>
      </c>
      <c r="C93" s="20" t="s">
        <v>641</v>
      </c>
      <c r="D93" s="20" t="s">
        <v>704</v>
      </c>
      <c r="E93" s="20" t="s">
        <v>2264</v>
      </c>
      <c r="F93" s="20" t="s">
        <v>2265</v>
      </c>
      <c r="G93" s="21">
        <v>26.8</v>
      </c>
      <c r="H93" s="16">
        <v>26</v>
      </c>
      <c r="I93" s="16"/>
      <c r="J93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696.80000000000007</v>
      </c>
      <c r="K93" s="22"/>
      <c r="L93" s="23"/>
      <c r="M93" s="23">
        <f>SUM(Tabela1746810121422303226816192527313336242101214161824262830384024810121416202226283032343624268101214246101224262442626282626810262862366810[[#This Row],[Saldo no cartão]:[Recarga Pendente]])</f>
        <v>0</v>
      </c>
      <c r="N93" s="19">
        <f>Tabela1746810121422303226816192527313336242101214161824262830384024810121416202226283032343624268101214246101224262442626282626810262862366810[[#This Row],[Uso diário]]*2</f>
        <v>53.6</v>
      </c>
      <c r="O93" s="19">
        <f>Tabela1746810121422303226816192527313336242101214161824262830384024810121416202226283032343624268101214246101224262442626282626810262862366810[[#This Row],[Total Acumulado]]-P93</f>
        <v>-134</v>
      </c>
      <c r="P93" s="48">
        <f>Tabela1746810121422303226816192527313336242101214161824262830384024810121416202226283032343624268101214246101224262442626282626810262862366810[[#This Row],[Uso diário]]*5</f>
        <v>134</v>
      </c>
      <c r="Q93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3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696.80000000000007</v>
      </c>
      <c r="S93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3" s="25">
        <v>3</v>
      </c>
    </row>
    <row r="94" spans="1:20" s="26" customFormat="1" x14ac:dyDescent="0.25">
      <c r="A94" s="16">
        <v>233175</v>
      </c>
      <c r="B94" s="30" t="s">
        <v>972</v>
      </c>
      <c r="C94" s="20" t="s">
        <v>641</v>
      </c>
      <c r="D94" s="20" t="s">
        <v>704</v>
      </c>
      <c r="E94" s="20" t="s">
        <v>2266</v>
      </c>
      <c r="F94" s="20" t="s">
        <v>2267</v>
      </c>
      <c r="G94" s="21">
        <v>13.4</v>
      </c>
      <c r="H94" s="16">
        <v>26</v>
      </c>
      <c r="I94" s="16">
        <v>1</v>
      </c>
      <c r="J94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335</v>
      </c>
      <c r="K94" s="22"/>
      <c r="L94" s="23"/>
      <c r="M94" s="23">
        <f>SUM(Tabela1746810121422303226816192527313336242101214161824262830384024810121416202226283032343624268101214246101224262442626282626810262862366810[[#This Row],[Saldo no cartão]:[Recarga Pendente]])</f>
        <v>0</v>
      </c>
      <c r="N94" s="19">
        <f>Tabela1746810121422303226816192527313336242101214161824262830384024810121416202226283032343624268101214246101224262442626282626810262862366810[[#This Row],[Uso diário]]*2</f>
        <v>26.8</v>
      </c>
      <c r="O94" s="19">
        <f>Tabela1746810121422303226816192527313336242101214161824262830384024810121416202226283032343624268101214246101224262442626282626810262862366810[[#This Row],[Total Acumulado]]-P94</f>
        <v>-67</v>
      </c>
      <c r="P94" s="48">
        <f>Tabela1746810121422303226816192527313336242101214161824262830384024810121416202226283032343624268101214246101224262442626282626810262862366810[[#This Row],[Uso diário]]*5</f>
        <v>67</v>
      </c>
      <c r="Q94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4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335</v>
      </c>
      <c r="S94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4" s="25">
        <v>3</v>
      </c>
    </row>
    <row r="95" spans="1:20" s="26" customFormat="1" x14ac:dyDescent="0.25">
      <c r="A95" s="16">
        <v>234138</v>
      </c>
      <c r="B95" s="30" t="s">
        <v>1164</v>
      </c>
      <c r="C95" s="20" t="s">
        <v>641</v>
      </c>
      <c r="D95" s="20" t="s">
        <v>704</v>
      </c>
      <c r="E95" s="20" t="s">
        <v>2268</v>
      </c>
      <c r="F95" s="20" t="s">
        <v>2269</v>
      </c>
      <c r="G95" s="21">
        <v>18.8</v>
      </c>
      <c r="H95" s="16">
        <v>26</v>
      </c>
      <c r="I95" s="16">
        <v>1</v>
      </c>
      <c r="J95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470</v>
      </c>
      <c r="K95" s="22"/>
      <c r="L95" s="23"/>
      <c r="M95" s="23">
        <f>SUM(Tabela1746810121422303226816192527313336242101214161824262830384024810121416202226283032343624268101214246101224262442626282626810262862366810[[#This Row],[Saldo no cartão]:[Recarga Pendente]])</f>
        <v>0</v>
      </c>
      <c r="N95" s="19">
        <f>Tabela1746810121422303226816192527313336242101214161824262830384024810121416202226283032343624268101214246101224262442626282626810262862366810[[#This Row],[Uso diário]]*2</f>
        <v>37.6</v>
      </c>
      <c r="O95" s="19">
        <f>Tabela1746810121422303226816192527313336242101214161824262830384024810121416202226283032343624268101214246101224262442626282626810262862366810[[#This Row],[Total Acumulado]]-P95</f>
        <v>-94</v>
      </c>
      <c r="P95" s="48">
        <f>Tabela1746810121422303226816192527313336242101214161824262830384024810121416202226283032343624268101214246101224262442626282626810262862366810[[#This Row],[Uso diário]]*5</f>
        <v>94</v>
      </c>
      <c r="Q95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5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470</v>
      </c>
      <c r="S95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5" s="25">
        <v>3</v>
      </c>
    </row>
    <row r="96" spans="1:20" s="26" customFormat="1" x14ac:dyDescent="0.25">
      <c r="A96" s="16">
        <v>234722</v>
      </c>
      <c r="B96" s="30" t="s">
        <v>1350</v>
      </c>
      <c r="C96" s="20" t="s">
        <v>641</v>
      </c>
      <c r="D96" s="20" t="s">
        <v>704</v>
      </c>
      <c r="E96" s="20" t="s">
        <v>2270</v>
      </c>
      <c r="F96" s="20" t="s">
        <v>2271</v>
      </c>
      <c r="G96" s="21">
        <v>13.4</v>
      </c>
      <c r="H96" s="16">
        <v>26</v>
      </c>
      <c r="I96" s="16"/>
      <c r="J96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348.40000000000003</v>
      </c>
      <c r="K96" s="22"/>
      <c r="L96" s="23"/>
      <c r="M96" s="23">
        <f>SUM(Tabela1746810121422303226816192527313336242101214161824262830384024810121416202226283032343624268101214246101224262442626282626810262862366810[[#This Row],[Saldo no cartão]:[Recarga Pendente]])</f>
        <v>0</v>
      </c>
      <c r="N96" s="19">
        <f>Tabela1746810121422303226816192527313336242101214161824262830384024810121416202226283032343624268101214246101224262442626282626810262862366810[[#This Row],[Uso diário]]*2</f>
        <v>26.8</v>
      </c>
      <c r="O96" s="19">
        <f>Tabela1746810121422303226816192527313336242101214161824262830384024810121416202226283032343624268101214246101224262442626282626810262862366810[[#This Row],[Total Acumulado]]-P96</f>
        <v>-67</v>
      </c>
      <c r="P96" s="48">
        <f>Tabela1746810121422303226816192527313336242101214161824262830384024810121416202226283032343624268101214246101224262442626282626810262862366810[[#This Row],[Uso diário]]*5</f>
        <v>67</v>
      </c>
      <c r="Q96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6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348.40000000000003</v>
      </c>
      <c r="S96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6" s="25">
        <v>3</v>
      </c>
    </row>
    <row r="97" spans="1:20" s="26" customFormat="1" ht="22.5" x14ac:dyDescent="0.25">
      <c r="A97" s="16">
        <v>234979</v>
      </c>
      <c r="B97" s="30" t="s">
        <v>1428</v>
      </c>
      <c r="C97" s="20" t="s">
        <v>645</v>
      </c>
      <c r="D97" s="20" t="s">
        <v>711</v>
      </c>
      <c r="E97" s="20">
        <v>0</v>
      </c>
      <c r="F97" s="20" t="s">
        <v>4181</v>
      </c>
      <c r="G97" s="21">
        <v>13.4</v>
      </c>
      <c r="H97" s="16">
        <v>0</v>
      </c>
      <c r="I97" s="16"/>
      <c r="J97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0</v>
      </c>
      <c r="K97" s="22"/>
      <c r="L97" s="23"/>
      <c r="M97" s="23">
        <f>SUM(Tabela1746810121422303226816192527313336242101214161824262830384024810121416202226283032343624268101214246101224262442626282626810262862366810[[#This Row],[Saldo no cartão]:[Recarga Pendente]])</f>
        <v>0</v>
      </c>
      <c r="N97" s="19">
        <f>Tabela1746810121422303226816192527313336242101214161824262830384024810121416202226283032343624268101214246101224262442626282626810262862366810[[#This Row],[Uso diário]]*2</f>
        <v>26.8</v>
      </c>
      <c r="O97" s="19">
        <f>Tabela1746810121422303226816192527313336242101214161824262830384024810121416202226283032343624268101214246101224262442626282626810262862366810[[#This Row],[Total Acumulado]]-P97</f>
        <v>-67</v>
      </c>
      <c r="P97" s="48">
        <f>Tabela1746810121422303226816192527313336242101214161824262830384024810121416202226283032343624268101214246101224262442626282626810262862366810[[#This Row],[Uso diário]]*5</f>
        <v>67</v>
      </c>
      <c r="Q97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7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0</v>
      </c>
      <c r="S97" s="18" t="str">
        <f>IF(Tabela1746810121422303226816192527313336242101214161824262830384024810121416202226283032343624268101214246101224262442626282626810262862366810[[#This Row],[Pedido Final]]=0,"NÃO EFETUAR RECARGA","RECARGA NORMAL")</f>
        <v>NÃO EFETUAR RECARGA</v>
      </c>
      <c r="T97" s="25">
        <v>3</v>
      </c>
    </row>
    <row r="98" spans="1:20" s="26" customFormat="1" x14ac:dyDescent="0.25">
      <c r="A98" s="16">
        <v>234740</v>
      </c>
      <c r="B98" s="30" t="s">
        <v>1343</v>
      </c>
      <c r="C98" s="20" t="s">
        <v>637</v>
      </c>
      <c r="D98" s="20" t="s">
        <v>696</v>
      </c>
      <c r="E98" s="56" t="s">
        <v>1949</v>
      </c>
      <c r="F98" s="56" t="s">
        <v>1950</v>
      </c>
      <c r="G98" s="21">
        <v>18.8</v>
      </c>
      <c r="H98" s="16">
        <v>24</v>
      </c>
      <c r="I98" s="16"/>
      <c r="J98" s="17">
        <f>(Tabela1746810121422303226816192527313336242101214161824262830384024810121416202226283032343624268101214246101224262442626282626810262862366810[[#This Row],[D]]-Tabela1746810121422303226816192527313336242101214161824262830384024810121416202226283032343624268101214246101224262442626282626810262862366810[[#This Row],[F]])*Tabela1746810121422303226816192527313336242101214161824262830384024810121416202226283032343624268101214246101224262442626282626810262862366810[[#This Row],[Uso diário]]</f>
        <v>451.20000000000005</v>
      </c>
      <c r="K98" s="22"/>
      <c r="L98" s="23"/>
      <c r="M98" s="23">
        <f>SUM(Tabela1746810121422303226816192527313336242101214161824262830384024810121416202226283032343624268101214246101224262442626282626810262862366810[[#This Row],[Saldo no cartão]:[Recarga Pendente]])</f>
        <v>0</v>
      </c>
      <c r="N98" s="19">
        <f>Tabela1746810121422303226816192527313336242101214161824262830384024810121416202226283032343624268101214246101224262442626282626810262862366810[[#This Row],[Uso diário]]*2</f>
        <v>37.6</v>
      </c>
      <c r="O98" s="19">
        <f>Tabela1746810121422303226816192527313336242101214161824262830384024810121416202226283032343624268101214246101224262442626282626810262862366810[[#This Row],[Total Acumulado]]-P98</f>
        <v>-94</v>
      </c>
      <c r="P98" s="48">
        <f>Tabela1746810121422303226816192527313336242101214161824262830384024810121416202226283032343624268101214246101224262442626282626810262862366810[[#This Row],[Uso diário]]*5</f>
        <v>94</v>
      </c>
      <c r="Q98" s="17">
        <f>IF(Tabela1746810121422303226816192527313336242101214161824262830384024810121416202226283032343624268101214246101224262442626282626810262862366810[[#This Row],[acumulo]]&lt;Tabela1746810121422303226816192527313336242101214161824262830384024810121416202226283032343624268101214246101224262442626282626810262862366810[[#This Row],[acumulo minimo]],0,Tabela1746810121422303226816192527313336242101214161824262830384024810121416202226283032343624268101214246101224262442626282626810262862366810[[#This Row],[acumulo]])</f>
        <v>0</v>
      </c>
      <c r="R98" s="24">
        <f>IF(Tabela1746810121422303226816192527313336242101214161824262830384024810121416202226283032343624268101214246101224262442626282626810262862366810[[#This Row],[Valor economizado]]&gt;Tabela1746810121422303226816192527313336242101214161824262830384024810121416202226283032343624268101214246101224262442626282626810262862366810[[#This Row],[Pedido Inicial]],0,Tabela1746810121422303226816192527313336242101214161824262830384024810121416202226283032343624268101214246101224262442626282626810262862366810[[#This Row],[Pedido Inicial]]-Tabela1746810121422303226816192527313336242101214161824262830384024810121416202226283032343624268101214246101224262442626282626810262862366810[[#This Row],[Valor economizado]])</f>
        <v>451.20000000000005</v>
      </c>
      <c r="S98" s="18" t="str">
        <f>IF(Tabela1746810121422303226816192527313336242101214161824262830384024810121416202226283032343624268101214246101224262442626282626810262862366810[[#This Row],[Pedido Final]]=0,"NÃO EFETUAR RECARGA","RECARGA NORMAL")</f>
        <v>RECARGA NORMAL</v>
      </c>
      <c r="T98" s="25">
        <v>3</v>
      </c>
    </row>
    <row r="99" spans="1:20" s="8" customFormat="1" x14ac:dyDescent="0.25">
      <c r="A99" s="13" t="s">
        <v>13</v>
      </c>
      <c r="B99" s="13"/>
      <c r="C99" s="13"/>
      <c r="D99" s="13"/>
      <c r="E99" s="20"/>
      <c r="F99" s="20"/>
      <c r="G99" s="33"/>
      <c r="H99" s="13"/>
      <c r="I99" s="13"/>
      <c r="J99" s="14">
        <f>SUBTOTAL(109,Tabela1746810121422303226816192527313336242101214161824262830384024810121416202226283032343624268101214246101224262442626282626810262862366810[Pedido Inicial])</f>
        <v>30680.30000000001</v>
      </c>
      <c r="K99" s="15"/>
      <c r="L99" s="15"/>
      <c r="M99" s="15"/>
      <c r="N99" s="15"/>
      <c r="O99" s="15"/>
      <c r="P99" s="15"/>
      <c r="Q99" s="15"/>
      <c r="R99" s="14">
        <f>SUBTOTAL(109,Tabela1746810121422303226816192527313336242101214161824262830384024810121416202226283032343624268101214246101224262442626282626810262862366810[Pedido Final])</f>
        <v>30237.400000000009</v>
      </c>
      <c r="S99" s="31">
        <f>SUBTOTAL(103,Tabela1746810121422303226816192527313336242101214161824262830384024810121416202226283032343624268101214246101224262442626282626810262862366810[Status])</f>
        <v>95</v>
      </c>
      <c r="T99" s="13"/>
    </row>
    <row r="100" spans="1:20" s="8" customFormat="1" x14ac:dyDescent="0.25">
      <c r="A100" s="13"/>
      <c r="B100" s="13"/>
      <c r="C100" s="13"/>
      <c r="D100" s="13"/>
      <c r="E100" s="20"/>
      <c r="F100" s="20"/>
      <c r="G100" s="33"/>
      <c r="H100" s="13"/>
      <c r="I100" s="13"/>
      <c r="J100" s="14"/>
      <c r="K100" s="15"/>
      <c r="L100" s="15"/>
      <c r="M100" s="15"/>
      <c r="N100" s="15"/>
      <c r="O100" s="15"/>
      <c r="P100" s="15"/>
      <c r="Q100" s="15"/>
      <c r="R100" s="14"/>
      <c r="S100" s="31"/>
      <c r="T100" s="13"/>
    </row>
    <row r="101" spans="1:20" s="8" customFormat="1" x14ac:dyDescent="0.25">
      <c r="A101" s="13"/>
      <c r="B101" s="13"/>
      <c r="C101" s="13"/>
      <c r="D101" s="13"/>
      <c r="E101" s="20"/>
      <c r="F101" s="20"/>
      <c r="G101" s="33"/>
      <c r="H101" s="13"/>
      <c r="I101" s="13"/>
      <c r="J101" s="14"/>
      <c r="K101" s="15"/>
      <c r="L101" s="15"/>
      <c r="M101" s="15"/>
      <c r="N101" s="15"/>
      <c r="O101" s="15"/>
      <c r="P101" s="15"/>
      <c r="Q101" s="15"/>
      <c r="R101" s="14"/>
      <c r="S101" s="31"/>
      <c r="T101" s="13"/>
    </row>
    <row r="102" spans="1:20" s="8" customFormat="1" x14ac:dyDescent="0.25">
      <c r="A102" s="1"/>
      <c r="B102" s="54" t="s">
        <v>14</v>
      </c>
      <c r="C102" s="55"/>
      <c r="D102" s="13"/>
      <c r="F102" s="37"/>
      <c r="G102" s="37"/>
      <c r="H102" s="37"/>
      <c r="I102" s="37"/>
      <c r="J102" s="28"/>
      <c r="K102" s="3"/>
      <c r="L102" s="1"/>
      <c r="M102" s="1"/>
      <c r="N102" s="1"/>
      <c r="O102" s="1"/>
      <c r="P102" s="1"/>
      <c r="Q102" s="1"/>
      <c r="R102" s="4" t="s">
        <v>26</v>
      </c>
      <c r="S102" s="39" t="s">
        <v>15</v>
      </c>
    </row>
    <row r="103" spans="1:20" s="8" customFormat="1" x14ac:dyDescent="0.25">
      <c r="A103" s="1"/>
      <c r="B103" s="50" t="s">
        <v>24</v>
      </c>
      <c r="C103" s="45">
        <f>Tabela1746810121422303226816192527313336242101214161824262830384024810121416202226283032343624268101214246101224262442626282626810262862366810[[#Totals],[Pedido Inicial]]</f>
        <v>30680.30000000001</v>
      </c>
      <c r="D103" s="13"/>
      <c r="F103" s="41"/>
      <c r="G103" s="41"/>
      <c r="H103" s="34"/>
      <c r="I103" s="34"/>
      <c r="J103" s="34"/>
      <c r="K103" s="5"/>
      <c r="L103" s="1"/>
      <c r="M103" s="1"/>
      <c r="N103" s="1"/>
      <c r="O103" s="1"/>
      <c r="P103" s="1"/>
      <c r="Q103" s="1"/>
      <c r="R103" s="58" t="s">
        <v>28</v>
      </c>
      <c r="S103" s="59">
        <f>COUNTIF(Tabela1746810121422303226816192527313336242101214161824262830384024810121416202226283032343624268101214246101224262442626282626810262862366810[Status],Tabela257911131523313337917202628323437353111315171925272931394135911131517212327293133353735379111315357111335373453737393737911373973377911[[#This Row],[STATUS]])</f>
        <v>88</v>
      </c>
    </row>
    <row r="104" spans="1:20" s="8" customFormat="1" x14ac:dyDescent="0.25">
      <c r="A104" s="1"/>
      <c r="B104" s="50" t="s">
        <v>25</v>
      </c>
      <c r="C104" s="45">
        <f>Tabela1746810121422303226816192527313336242101214161824262830384024810121416202226283032343624268101214246101224262442626282626810262862366810[[#Totals],[Pedido Final]]</f>
        <v>30237.400000000009</v>
      </c>
      <c r="D104" s="13"/>
      <c r="F104" s="41"/>
      <c r="G104" s="41"/>
      <c r="H104" s="34"/>
      <c r="I104" s="34"/>
      <c r="J104" s="34"/>
      <c r="K104" s="5"/>
      <c r="L104" s="1"/>
      <c r="M104" s="1"/>
      <c r="N104" s="1"/>
      <c r="O104" s="1"/>
      <c r="P104" s="1"/>
      <c r="R104" s="58" t="s">
        <v>11</v>
      </c>
      <c r="S104" s="59">
        <f>COUNTIF(Tabela1746810121422303226816192527313336242101214161824262830384024810121416202226283032343624268101214246101224262442626282626810262862366810[Status],Tabela257911131523313337917202628323437353111315171925272931394135911131517212327293133353735379111315357111335373453737393737911373973377911[[#This Row],[STATUS]])</f>
        <v>3</v>
      </c>
    </row>
    <row r="105" spans="1:20" s="8" customFormat="1" x14ac:dyDescent="0.25">
      <c r="A105" s="1"/>
      <c r="B105" s="51" t="str">
        <f>_xlfn.CONCAT("ECONOMIA"," ",ROUND(C105/C103,2)*100,"%")</f>
        <v>ECONOMIA 1%</v>
      </c>
      <c r="C105" s="46">
        <f>SUM(C103-C104)</f>
        <v>442.90000000000146</v>
      </c>
      <c r="D105" s="13"/>
      <c r="F105" s="41"/>
      <c r="G105" s="41"/>
      <c r="H105" s="36"/>
      <c r="I105" s="36"/>
      <c r="J105" s="38"/>
      <c r="K105" s="36"/>
      <c r="L105" s="1"/>
      <c r="M105" s="1"/>
      <c r="N105" s="1"/>
      <c r="O105" s="1"/>
      <c r="P105" s="1"/>
      <c r="Q105" s="35"/>
      <c r="R105" s="58" t="s">
        <v>12</v>
      </c>
      <c r="S105" s="59">
        <f>COUNTIF(Tabela1746810121422303226816192527313336242101214161824262830384024810121416202226283032343624268101214246101224262442626282626810262862366810[Status],Tabela257911131523313337917202628323437353111315171925272931394135911131517212327293133353735379111315357111335373453737393737911373973377911[[#This Row],[STATUS]])</f>
        <v>4</v>
      </c>
    </row>
    <row r="106" spans="1:20" s="8" customFormat="1" x14ac:dyDescent="0.25">
      <c r="A106" s="1"/>
      <c r="B106" s="51" t="str">
        <f>_xlfn.CONCAT("HPOD"," ",ROUND(C106/C105,2)*100,"%")</f>
        <v>HPOD 12%</v>
      </c>
      <c r="C106" s="46">
        <f>C105*12%</f>
        <v>53.148000000000174</v>
      </c>
      <c r="D106" s="13"/>
      <c r="F106" s="41"/>
      <c r="G106" s="41"/>
      <c r="H106" s="36"/>
      <c r="I106" s="36"/>
      <c r="J106" s="38"/>
      <c r="K106" s="36"/>
      <c r="L106" s="1"/>
      <c r="M106" s="1"/>
      <c r="N106" s="1"/>
      <c r="O106" s="1"/>
      <c r="P106" s="1"/>
      <c r="Q106" s="1"/>
      <c r="R106" s="6" t="s">
        <v>27</v>
      </c>
      <c r="S106" s="40">
        <f>SUBTOTAL(109,Tabela257911131523313337917202628323437353111315171925272931394135911131517212327293133353735379111315357111335373453737393737911373973377911[Coluna1])</f>
        <v>95</v>
      </c>
    </row>
    <row r="107" spans="1:20" s="8" customFormat="1" x14ac:dyDescent="0.25">
      <c r="A107" s="1"/>
      <c r="B107" s="3"/>
      <c r="C107" s="47"/>
      <c r="D107" s="1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6"/>
    </row>
    <row r="108" spans="1:20" s="8" customFormat="1" x14ac:dyDescent="0.25">
      <c r="A108" s="1"/>
      <c r="B108" s="3"/>
      <c r="C108" s="3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5"/>
      <c r="P108" s="1"/>
      <c r="Q108" s="1"/>
      <c r="R108" s="1"/>
      <c r="S108" s="1"/>
      <c r="T108" s="1"/>
    </row>
    <row r="109" spans="1:20" s="8" customFormat="1" x14ac:dyDescent="0.25">
      <c r="A109" s="26"/>
      <c r="B109" s="12"/>
      <c r="C109" s="12"/>
      <c r="D109" s="12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1"/>
    </row>
    <row r="110" spans="1:20" s="8" customFormat="1" x14ac:dyDescent="0.25">
      <c r="A110" s="26"/>
      <c r="B110" s="12"/>
      <c r="C110" s="12"/>
      <c r="D110" s="12"/>
      <c r="E110" s="27"/>
      <c r="F110" s="27"/>
      <c r="G110" s="27"/>
      <c r="H110" s="27"/>
      <c r="I110" s="27"/>
      <c r="J110" s="27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s="8" customFormat="1" x14ac:dyDescent="0.25">
      <c r="A111" s="26"/>
      <c r="B111" s="12"/>
      <c r="C111" s="12"/>
      <c r="D111" s="12"/>
      <c r="E111" s="28"/>
      <c r="F111" s="28"/>
      <c r="G111" s="28"/>
      <c r="H111" s="28"/>
      <c r="I111" s="28"/>
      <c r="J111" s="28"/>
      <c r="K111" s="27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s="8" customFormat="1" x14ac:dyDescent="0.25">
      <c r="A112" s="26"/>
      <c r="B112" s="12"/>
      <c r="C112" s="12"/>
      <c r="D112" s="12"/>
      <c r="E112" s="28"/>
      <c r="F112" s="28"/>
      <c r="G112" s="28"/>
      <c r="H112" s="28"/>
      <c r="I112" s="28"/>
      <c r="J112" s="28"/>
      <c r="K112" s="27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1:20" s="8" customFormat="1" x14ac:dyDescent="0.25">
      <c r="A113" s="26"/>
      <c r="B113" s="12"/>
      <c r="C113" s="12"/>
      <c r="D113" s="12"/>
      <c r="E113" s="28"/>
      <c r="F113" s="28"/>
      <c r="G113" s="28"/>
      <c r="H113" s="28"/>
      <c r="I113" s="28"/>
      <c r="J113" s="28"/>
      <c r="K113" s="27"/>
      <c r="L113" s="26"/>
      <c r="M113" s="26"/>
      <c r="N113" s="26"/>
      <c r="O113" s="26"/>
      <c r="P113" s="29"/>
      <c r="Q113" s="26"/>
      <c r="R113" s="26"/>
      <c r="S113" s="26"/>
      <c r="T113" s="26"/>
    </row>
    <row r="114" spans="1:20" s="8" customFormat="1" x14ac:dyDescent="0.25">
      <c r="A114" s="26"/>
      <c r="B114" s="12"/>
      <c r="C114" s="12"/>
      <c r="D114" s="12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1:20" s="8" customFormat="1" x14ac:dyDescent="0.25">
      <c r="A115" s="26"/>
      <c r="B115" s="12"/>
      <c r="C115" s="12"/>
      <c r="D115" s="12"/>
      <c r="E115" s="28"/>
      <c r="F115" s="28"/>
      <c r="G115" s="28"/>
      <c r="H115" s="28"/>
      <c r="I115" s="28"/>
      <c r="J115" s="28"/>
      <c r="K115" s="29"/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1:20" s="8" customFormat="1" x14ac:dyDescent="0.25">
      <c r="A116" s="26"/>
      <c r="B116" s="12"/>
      <c r="C116" s="12"/>
      <c r="D116" s="12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1:20" s="8" customFormat="1" x14ac:dyDescent="0.25">
      <c r="A117" s="26"/>
      <c r="B117" s="12"/>
      <c r="C117" s="12"/>
      <c r="D117" s="12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9"/>
    </row>
    <row r="118" spans="1:20" s="8" customFormat="1" x14ac:dyDescent="0.25">
      <c r="A118" s="26"/>
      <c r="B118" s="12"/>
      <c r="C118" s="12"/>
      <c r="D118" s="12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1:20" s="8" customFormat="1" x14ac:dyDescent="0.25">
      <c r="A119" s="26"/>
      <c r="B119" s="12"/>
      <c r="C119" s="12"/>
      <c r="D119" s="12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1:20" s="8" customFormat="1" x14ac:dyDescent="0.25">
      <c r="A120" s="26"/>
      <c r="B120" s="12"/>
      <c r="C120" s="12"/>
      <c r="D120" s="12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1:20" s="8" customFormat="1" x14ac:dyDescent="0.25">
      <c r="A121" s="26"/>
      <c r="B121" s="12"/>
      <c r="C121" s="12"/>
      <c r="D121" s="12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1:20" s="8" customFormat="1" x14ac:dyDescent="0.25">
      <c r="A122" s="26"/>
      <c r="B122" s="12"/>
      <c r="C122" s="12"/>
      <c r="D122" s="12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1:20" s="8" customFormat="1" x14ac:dyDescent="0.25">
      <c r="A123" s="1"/>
      <c r="B123" s="3"/>
      <c r="C123" s="3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6"/>
    </row>
    <row r="124" spans="1:20" s="8" customFormat="1" x14ac:dyDescent="0.25">
      <c r="A124" s="1"/>
      <c r="B124" s="3"/>
      <c r="C124" s="3"/>
      <c r="D124" s="3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s="8" customFormat="1" x14ac:dyDescent="0.25">
      <c r="A125" s="1"/>
      <c r="B125" s="3"/>
      <c r="C125" s="3"/>
      <c r="D125" s="3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</row>
  </sheetData>
  <mergeCells count="1">
    <mergeCell ref="A2:T2"/>
  </mergeCells>
  <conditionalFormatting sqref="A1:A97 A99:A1048576">
    <cfRule type="duplicateValues" dxfId="65" priority="4"/>
    <cfRule type="duplicateValues" dxfId="64" priority="5"/>
  </conditionalFormatting>
  <conditionalFormatting sqref="B1:B97 B99:B1048576">
    <cfRule type="duplicateValues" dxfId="63" priority="6"/>
  </conditionalFormatting>
  <conditionalFormatting sqref="B103:C10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{9CA70560-FB47-4FE1-A33A-8BBD323473B5}</x14:id>
        </ext>
      </extLst>
    </cfRule>
  </conditionalFormatting>
  <conditionalFormatting sqref="H103:J104 F103:G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{B9ED24A2-9B92-44E9-8D7F-407C0629014B}</x14:id>
        </ext>
      </extLst>
    </cfRule>
  </conditionalFormatting>
  <conditionalFormatting sqref="R103:S10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{23C81459-F37F-4E49-8C97-9DF8D6789F6A}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A70560-FB47-4FE1-A33A-8BBD32347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B103:C106</xm:sqref>
        </x14:conditionalFormatting>
        <x14:conditionalFormatting xmlns:xm="http://schemas.microsoft.com/office/excel/2006/main">
          <x14:cfRule type="dataBar" id="{B9ED24A2-9B92-44E9-8D7F-407C0629014B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H103:J104 F103:G106</xm:sqref>
        </x14:conditionalFormatting>
        <x14:conditionalFormatting xmlns:xm="http://schemas.microsoft.com/office/excel/2006/main">
          <x14:cfRule type="dataBar" id="{23C81459-F37F-4E49-8C97-9DF8D6789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R103:S105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0871-BC96-43A2-B75A-8F37C4F9EFA5}">
  <sheetPr>
    <pageSetUpPr fitToPage="1"/>
  </sheetPr>
  <dimension ref="A1:BF170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9.85546875" style="3" bestFit="1" customWidth="1"/>
    <col min="3" max="3" width="16.140625" style="3" bestFit="1" customWidth="1"/>
    <col min="4" max="4" width="23.85546875" style="3" hidden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8" width="8.7109375" style="8" customWidth="1"/>
    <col min="59" max="233" width="8.7109375" style="7" customWidth="1"/>
    <col min="234" max="16384" width="9.140625" style="7"/>
  </cols>
  <sheetData>
    <row r="1" spans="1:58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58" s="1" customFormat="1" ht="38.450000000000003" customHeight="1" x14ac:dyDescent="0.25">
      <c r="A2" s="69" t="s">
        <v>4196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8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spans="1:58" s="26" customFormat="1" x14ac:dyDescent="0.25">
      <c r="A4" s="16">
        <v>208051</v>
      </c>
      <c r="B4" s="30" t="s">
        <v>214</v>
      </c>
      <c r="C4" s="20" t="s">
        <v>647</v>
      </c>
      <c r="D4" s="20" t="s">
        <v>720</v>
      </c>
      <c r="E4" s="20" t="s">
        <v>2272</v>
      </c>
      <c r="F4" s="20" t="s">
        <v>2273</v>
      </c>
      <c r="G4" s="21">
        <v>13.4</v>
      </c>
      <c r="H4" s="16">
        <v>26</v>
      </c>
      <c r="I4" s="16"/>
      <c r="J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4" s="22"/>
      <c r="L4" s="23"/>
      <c r="M4" s="23">
        <f>SUM(Tabela174681012142230322681619252731333624210121416182426283038402481012141620222628303234362426810121424610122426244262628262681026286236681012[[#This Row],[Saldo no cartão]:[Recarga Pendente]])</f>
        <v>0</v>
      </c>
      <c r="N4" s="19">
        <f>Tabela174681012142230322681619252731333624210121416182426283038402481012141620222628303234362426810121424610122426244262628262681026286236681012[[#This Row],[Uso diário]]*2</f>
        <v>26.8</v>
      </c>
      <c r="O4" s="19">
        <f>Tabela174681012142230322681619252731333624210121416182426283038402481012141620222628303234362426810121424610122426244262628262681026286236681012[[#This Row],[Total Acumulado]]-P4</f>
        <v>-67</v>
      </c>
      <c r="P4" s="48">
        <f>Tabela174681012142230322681619252731333624210121416182426283038402481012141620222628303234362426810121424610122426244262628262681026286236681012[[#This Row],[Uso diário]]*5</f>
        <v>67</v>
      </c>
      <c r="Q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" s="25">
        <v>4</v>
      </c>
    </row>
    <row r="5" spans="1:58" s="26" customFormat="1" x14ac:dyDescent="0.25">
      <c r="A5" s="16">
        <v>212000</v>
      </c>
      <c r="B5" s="30" t="s">
        <v>1165</v>
      </c>
      <c r="C5" s="20" t="s">
        <v>647</v>
      </c>
      <c r="D5" s="20" t="s">
        <v>720</v>
      </c>
      <c r="E5" s="20" t="s">
        <v>2274</v>
      </c>
      <c r="F5" s="20" t="s">
        <v>2275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SUM(Tabela174681012142230322681619252731333624210121416182426283038402481012141620222628303234362426810121424610122426244262628262681026286236681012[[#This Row],[Saldo no cartão]:[Recarga Pendente]])</f>
        <v>0</v>
      </c>
      <c r="N5" s="19">
        <f>Tabela174681012142230322681619252731333624210121416182426283038402481012141620222628303234362426810121424610122426244262628262681026286236681012[[#This Row],[Uso diário]]*2</f>
        <v>37.6</v>
      </c>
      <c r="O5" s="19">
        <f>Tabela174681012142230322681619252731333624210121416182426283038402481012141620222628303234362426810121424610122426244262628262681026286236681012[[#This Row],[Total Acumulado]]-P5</f>
        <v>-94</v>
      </c>
      <c r="P5" s="48">
        <f>Tabela174681012142230322681619252731333624210121416182426283038402481012141620222628303234362426810121424610122426244262628262681026286236681012[[#This Row],[Uso diário]]*5</f>
        <v>94</v>
      </c>
      <c r="Q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" s="25">
        <v>4</v>
      </c>
    </row>
    <row r="6" spans="1:58" s="26" customFormat="1" x14ac:dyDescent="0.25">
      <c r="A6" s="16">
        <v>218725</v>
      </c>
      <c r="B6" s="30" t="s">
        <v>1166</v>
      </c>
      <c r="C6" s="20" t="s">
        <v>647</v>
      </c>
      <c r="D6" s="20" t="s">
        <v>720</v>
      </c>
      <c r="E6" s="20" t="s">
        <v>2276</v>
      </c>
      <c r="F6" s="20" t="s">
        <v>2277</v>
      </c>
      <c r="G6" s="21">
        <v>14.2</v>
      </c>
      <c r="H6" s="16">
        <v>26</v>
      </c>
      <c r="I6" s="16"/>
      <c r="J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369.2</v>
      </c>
      <c r="K6" s="22"/>
      <c r="L6" s="23"/>
      <c r="M6" s="23">
        <f>SUM(Tabela174681012142230322681619252731333624210121416182426283038402481012141620222628303234362426810121424610122426244262628262681026286236681012[[#This Row],[Saldo no cartão]:[Recarga Pendente]])</f>
        <v>0</v>
      </c>
      <c r="N6" s="19">
        <f>Tabela174681012142230322681619252731333624210121416182426283038402481012141620222628303234362426810121424610122426244262628262681026286236681012[[#This Row],[Uso diário]]*2</f>
        <v>28.4</v>
      </c>
      <c r="O6" s="19">
        <f>Tabela174681012142230322681619252731333624210121416182426283038402481012141620222628303234362426810121424610122426244262628262681026286236681012[[#This Row],[Total Acumulado]]-P6</f>
        <v>-71</v>
      </c>
      <c r="P6" s="48">
        <f>Tabela174681012142230322681619252731333624210121416182426283038402481012141620222628303234362426810121424610122426244262628262681026286236681012[[#This Row],[Uso diário]]*5</f>
        <v>71</v>
      </c>
      <c r="Q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369.2</v>
      </c>
      <c r="S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" s="25">
        <v>4</v>
      </c>
    </row>
    <row r="7" spans="1:58" s="26" customFormat="1" x14ac:dyDescent="0.25">
      <c r="A7" s="16">
        <v>218757</v>
      </c>
      <c r="B7" s="30" t="s">
        <v>215</v>
      </c>
      <c r="C7" s="20" t="s">
        <v>647</v>
      </c>
      <c r="D7" s="20" t="s">
        <v>720</v>
      </c>
      <c r="E7" s="20" t="s">
        <v>2278</v>
      </c>
      <c r="F7" s="20" t="s">
        <v>2279</v>
      </c>
      <c r="G7" s="21">
        <v>18.8</v>
      </c>
      <c r="H7" s="16">
        <v>26</v>
      </c>
      <c r="I7" s="16"/>
      <c r="J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7" s="22"/>
      <c r="L7" s="23"/>
      <c r="M7" s="23">
        <f>SUM(Tabela174681012142230322681619252731333624210121416182426283038402481012141620222628303234362426810121424610122426244262628262681026286236681012[[#This Row],[Saldo no cartão]:[Recarga Pendente]])</f>
        <v>0</v>
      </c>
      <c r="N7" s="19">
        <f>Tabela174681012142230322681619252731333624210121416182426283038402481012141620222628303234362426810121424610122426244262628262681026286236681012[[#This Row],[Uso diário]]*2</f>
        <v>37.6</v>
      </c>
      <c r="O7" s="19">
        <f>Tabela174681012142230322681619252731333624210121416182426283038402481012141620222628303234362426810121424610122426244262628262681026286236681012[[#This Row],[Total Acumulado]]-P7</f>
        <v>-94</v>
      </c>
      <c r="P7" s="48">
        <f>Tabela174681012142230322681619252731333624210121416182426283038402481012141620222628303234362426810121424610122426244262628262681026286236681012[[#This Row],[Uso diário]]*5</f>
        <v>94</v>
      </c>
      <c r="Q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" s="25">
        <v>4</v>
      </c>
    </row>
    <row r="8" spans="1:58" s="26" customFormat="1" x14ac:dyDescent="0.25">
      <c r="A8" s="16">
        <v>221852</v>
      </c>
      <c r="B8" s="30" t="s">
        <v>1429</v>
      </c>
      <c r="C8" s="20" t="s">
        <v>647</v>
      </c>
      <c r="D8" s="20" t="s">
        <v>720</v>
      </c>
      <c r="E8" s="20" t="s">
        <v>2280</v>
      </c>
      <c r="F8" s="20" t="s">
        <v>2281</v>
      </c>
      <c r="G8" s="21">
        <v>13.4</v>
      </c>
      <c r="H8" s="16">
        <v>26</v>
      </c>
      <c r="I8" s="16">
        <v>3</v>
      </c>
      <c r="J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308.2</v>
      </c>
      <c r="K8" s="22"/>
      <c r="L8" s="23"/>
      <c r="M8" s="23">
        <f>SUM(Tabela174681012142230322681619252731333624210121416182426283038402481012141620222628303234362426810121424610122426244262628262681026286236681012[[#This Row],[Saldo no cartão]:[Recarga Pendente]])</f>
        <v>0</v>
      </c>
      <c r="N8" s="19">
        <f>Tabela174681012142230322681619252731333624210121416182426283038402481012141620222628303234362426810121424610122426244262628262681026286236681012[[#This Row],[Uso diário]]*2</f>
        <v>26.8</v>
      </c>
      <c r="O8" s="19">
        <f>Tabela174681012142230322681619252731333624210121416182426283038402481012141620222628303234362426810121424610122426244262628262681026286236681012[[#This Row],[Total Acumulado]]-P8</f>
        <v>-67</v>
      </c>
      <c r="P8" s="48">
        <f>Tabela174681012142230322681619252731333624210121416182426283038402481012141620222628303234362426810121424610122426244262628262681026286236681012[[#This Row],[Uso diário]]*5</f>
        <v>67</v>
      </c>
      <c r="Q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308.2</v>
      </c>
      <c r="S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" s="25">
        <v>4</v>
      </c>
    </row>
    <row r="9" spans="1:58" s="26" customFormat="1" x14ac:dyDescent="0.25">
      <c r="A9" s="16">
        <v>226424</v>
      </c>
      <c r="B9" s="30" t="s">
        <v>217</v>
      </c>
      <c r="C9" s="20" t="s">
        <v>647</v>
      </c>
      <c r="D9" s="20" t="s">
        <v>721</v>
      </c>
      <c r="E9" s="20" t="s">
        <v>2282</v>
      </c>
      <c r="F9" s="20" t="s">
        <v>2283</v>
      </c>
      <c r="G9" s="21">
        <v>18.8</v>
      </c>
      <c r="H9" s="16">
        <v>26</v>
      </c>
      <c r="I9" s="16"/>
      <c r="J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9" s="22"/>
      <c r="L9" s="23"/>
      <c r="M9" s="23">
        <f>SUM(Tabela174681012142230322681619252731333624210121416182426283038402481012141620222628303234362426810121424610122426244262628262681026286236681012[[#This Row],[Saldo no cartão]:[Recarga Pendente]])</f>
        <v>0</v>
      </c>
      <c r="N9" s="19">
        <f>Tabela174681012142230322681619252731333624210121416182426283038402481012141620222628303234362426810121424610122426244262628262681026286236681012[[#This Row],[Uso diário]]*2</f>
        <v>37.6</v>
      </c>
      <c r="O9" s="19">
        <f>Tabela174681012142230322681619252731333624210121416182426283038402481012141620222628303234362426810121424610122426244262628262681026286236681012[[#This Row],[Total Acumulado]]-P9</f>
        <v>-94</v>
      </c>
      <c r="P9" s="48">
        <f>Tabela174681012142230322681619252731333624210121416182426283038402481012141620222628303234362426810121424610122426244262628262681026286236681012[[#This Row],[Uso diário]]*5</f>
        <v>94</v>
      </c>
      <c r="Q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" s="25">
        <v>4</v>
      </c>
    </row>
    <row r="10" spans="1:58" s="26" customFormat="1" x14ac:dyDescent="0.25">
      <c r="A10" s="16">
        <v>230909</v>
      </c>
      <c r="B10" s="30" t="s">
        <v>529</v>
      </c>
      <c r="C10" s="20" t="s">
        <v>647</v>
      </c>
      <c r="D10" s="20" t="s">
        <v>720</v>
      </c>
      <c r="E10" s="20" t="s">
        <v>2284</v>
      </c>
      <c r="F10" s="20" t="s">
        <v>2285</v>
      </c>
      <c r="G10" s="21">
        <v>13.4</v>
      </c>
      <c r="H10" s="16">
        <v>26</v>
      </c>
      <c r="I10" s="16">
        <v>3</v>
      </c>
      <c r="J1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308.2</v>
      </c>
      <c r="K10" s="22"/>
      <c r="L10" s="23"/>
      <c r="M10" s="23">
        <f>SUM(Tabela174681012142230322681619252731333624210121416182426283038402481012141620222628303234362426810121424610122426244262628262681026286236681012[[#This Row],[Saldo no cartão]:[Recarga Pendente]])</f>
        <v>0</v>
      </c>
      <c r="N10" s="19">
        <f>Tabela174681012142230322681619252731333624210121416182426283038402481012141620222628303234362426810121424610122426244262628262681026286236681012[[#This Row],[Uso diário]]*2</f>
        <v>26.8</v>
      </c>
      <c r="O10" s="19">
        <f>Tabela174681012142230322681619252731333624210121416182426283038402481012141620222628303234362426810121424610122426244262628262681026286236681012[[#This Row],[Total Acumulado]]-P10</f>
        <v>-67</v>
      </c>
      <c r="P10" s="48">
        <f>Tabela174681012142230322681619252731333624210121416182426283038402481012141620222628303234362426810121424610122426244262628262681026286236681012[[#This Row],[Uso diário]]*5</f>
        <v>67</v>
      </c>
      <c r="Q1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308.2</v>
      </c>
      <c r="S1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" s="25">
        <v>4</v>
      </c>
    </row>
    <row r="11" spans="1:58" s="26" customFormat="1" x14ac:dyDescent="0.25">
      <c r="A11" s="16">
        <v>232621</v>
      </c>
      <c r="B11" s="30" t="s">
        <v>1430</v>
      </c>
      <c r="C11" s="20" t="s">
        <v>647</v>
      </c>
      <c r="D11" s="20" t="s">
        <v>721</v>
      </c>
      <c r="E11" s="20" t="s">
        <v>2286</v>
      </c>
      <c r="F11" s="20" t="s">
        <v>2287</v>
      </c>
      <c r="G11" s="21">
        <v>18.8</v>
      </c>
      <c r="H11" s="16">
        <v>26</v>
      </c>
      <c r="I11" s="16"/>
      <c r="J1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1" s="22"/>
      <c r="L11" s="23"/>
      <c r="M11" s="23">
        <f>SUM(Tabela174681012142230322681619252731333624210121416182426283038402481012141620222628303234362426810121424610122426244262628262681026286236681012[[#This Row],[Saldo no cartão]:[Recarga Pendente]])</f>
        <v>0</v>
      </c>
      <c r="N11" s="19">
        <f>Tabela174681012142230322681619252731333624210121416182426283038402481012141620222628303234362426810121424610122426244262628262681026286236681012[[#This Row],[Uso diário]]*2</f>
        <v>37.6</v>
      </c>
      <c r="O11" s="19">
        <f>Tabela174681012142230322681619252731333624210121416182426283038402481012141620222628303234362426810121424610122426244262628262681026286236681012[[#This Row],[Total Acumulado]]-P11</f>
        <v>-94</v>
      </c>
      <c r="P11" s="48">
        <f>Tabela174681012142230322681619252731333624210121416182426283038402481012141620222628303234362426810121424610122426244262628262681026286236681012[[#This Row],[Uso diário]]*5</f>
        <v>94</v>
      </c>
      <c r="Q1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" s="25">
        <v>4</v>
      </c>
    </row>
    <row r="12" spans="1:58" s="26" customFormat="1" x14ac:dyDescent="0.25">
      <c r="A12" s="16">
        <v>232622</v>
      </c>
      <c r="B12" s="30" t="s">
        <v>933</v>
      </c>
      <c r="C12" s="20" t="s">
        <v>647</v>
      </c>
      <c r="D12" s="20" t="s">
        <v>721</v>
      </c>
      <c r="E12" s="20" t="s">
        <v>2288</v>
      </c>
      <c r="F12" s="20" t="s">
        <v>2289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SUM(Tabela174681012142230322681619252731333624210121416182426283038402481012141620222628303234362426810121424610122426244262628262681026286236681012[[#This Row],[Saldo no cartão]:[Recarga Pendente]])</f>
        <v>0</v>
      </c>
      <c r="N12" s="19">
        <f>Tabela174681012142230322681619252731333624210121416182426283038402481012141620222628303234362426810121424610122426244262628262681026286236681012[[#This Row],[Uso diário]]*2</f>
        <v>26.8</v>
      </c>
      <c r="O12" s="19">
        <f>Tabela174681012142230322681619252731333624210121416182426283038402481012141620222628303234362426810121424610122426244262628262681026286236681012[[#This Row],[Total Acumulado]]-P12</f>
        <v>-67</v>
      </c>
      <c r="P12" s="48">
        <f>Tabela174681012142230322681619252731333624210121416182426283038402481012141620222628303234362426810121424610122426244262628262681026286236681012[[#This Row],[Uso diário]]*5</f>
        <v>67</v>
      </c>
      <c r="Q1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" s="25">
        <v>4</v>
      </c>
    </row>
    <row r="13" spans="1:58" s="26" customFormat="1" x14ac:dyDescent="0.25">
      <c r="A13" s="16">
        <v>232671</v>
      </c>
      <c r="B13" s="30" t="s">
        <v>934</v>
      </c>
      <c r="C13" s="20" t="s">
        <v>647</v>
      </c>
      <c r="D13" s="20" t="s">
        <v>720</v>
      </c>
      <c r="E13" s="20" t="s">
        <v>2290</v>
      </c>
      <c r="F13" s="20" t="s">
        <v>2291</v>
      </c>
      <c r="G13" s="21">
        <v>18.8</v>
      </c>
      <c r="H13" s="16">
        <v>26</v>
      </c>
      <c r="I13" s="16"/>
      <c r="J1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3" s="22"/>
      <c r="L13" s="23"/>
      <c r="M13" s="23">
        <f>SUM(Tabela174681012142230322681619252731333624210121416182426283038402481012141620222628303234362426810121424610122426244262628262681026286236681012[[#This Row],[Saldo no cartão]:[Recarga Pendente]])</f>
        <v>0</v>
      </c>
      <c r="N13" s="19">
        <f>Tabela174681012142230322681619252731333624210121416182426283038402481012141620222628303234362426810121424610122426244262628262681026286236681012[[#This Row],[Uso diário]]*2</f>
        <v>37.6</v>
      </c>
      <c r="O13" s="19">
        <f>Tabela174681012142230322681619252731333624210121416182426283038402481012141620222628303234362426810121424610122426244262628262681026286236681012[[#This Row],[Total Acumulado]]-P13</f>
        <v>-94</v>
      </c>
      <c r="P13" s="48">
        <f>Tabela174681012142230322681619252731333624210121416182426283038402481012141620222628303234362426810121424610122426244262628262681026286236681012[[#This Row],[Uso diário]]*5</f>
        <v>94</v>
      </c>
      <c r="Q1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" s="25">
        <v>4</v>
      </c>
    </row>
    <row r="14" spans="1:58" s="26" customFormat="1" x14ac:dyDescent="0.25">
      <c r="A14" s="16">
        <v>233527</v>
      </c>
      <c r="B14" s="30" t="s">
        <v>1055</v>
      </c>
      <c r="C14" s="20" t="s">
        <v>647</v>
      </c>
      <c r="D14" s="20" t="s">
        <v>721</v>
      </c>
      <c r="E14" s="20" t="s">
        <v>2292</v>
      </c>
      <c r="F14" s="20" t="s">
        <v>2293</v>
      </c>
      <c r="G14" s="21">
        <v>18.8</v>
      </c>
      <c r="H14" s="16">
        <v>26</v>
      </c>
      <c r="I14" s="16"/>
      <c r="J1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4" s="22"/>
      <c r="L14" s="23"/>
      <c r="M14" s="23">
        <f>SUM(Tabela174681012142230322681619252731333624210121416182426283038402481012141620222628303234362426810121424610122426244262628262681026286236681012[[#This Row],[Saldo no cartão]:[Recarga Pendente]])</f>
        <v>0</v>
      </c>
      <c r="N14" s="19">
        <f>Tabela174681012142230322681619252731333624210121416182426283038402481012141620222628303234362426810121424610122426244262628262681026286236681012[[#This Row],[Uso diário]]*2</f>
        <v>37.6</v>
      </c>
      <c r="O14" s="19">
        <f>Tabela174681012142230322681619252731333624210121416182426283038402481012141620222628303234362426810121424610122426244262628262681026286236681012[[#This Row],[Total Acumulado]]-P14</f>
        <v>-94</v>
      </c>
      <c r="P14" s="48">
        <f>Tabela174681012142230322681619252731333624210121416182426283038402481012141620222628303234362426810121424610122426244262628262681026286236681012[[#This Row],[Uso diário]]*5</f>
        <v>94</v>
      </c>
      <c r="Q1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4" s="25">
        <v>4</v>
      </c>
    </row>
    <row r="15" spans="1:58" s="26" customFormat="1" x14ac:dyDescent="0.25">
      <c r="A15" s="16">
        <v>234100</v>
      </c>
      <c r="B15" s="30" t="s">
        <v>1167</v>
      </c>
      <c r="C15" s="20" t="s">
        <v>647</v>
      </c>
      <c r="D15" s="20" t="s">
        <v>721</v>
      </c>
      <c r="E15" s="20" t="s">
        <v>2294</v>
      </c>
      <c r="F15" s="20" t="s">
        <v>2295</v>
      </c>
      <c r="G15" s="21">
        <v>13.4</v>
      </c>
      <c r="H15" s="16">
        <v>26</v>
      </c>
      <c r="I15" s="16"/>
      <c r="J1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5" s="22"/>
      <c r="L15" s="23"/>
      <c r="M15" s="23">
        <f>SUM(Tabela174681012142230322681619252731333624210121416182426283038402481012141620222628303234362426810121424610122426244262628262681026286236681012[[#This Row],[Saldo no cartão]:[Recarga Pendente]])</f>
        <v>0</v>
      </c>
      <c r="N15" s="19">
        <f>Tabela174681012142230322681619252731333624210121416182426283038402481012141620222628303234362426810121424610122426244262628262681026286236681012[[#This Row],[Uso diário]]*2</f>
        <v>26.8</v>
      </c>
      <c r="O15" s="19">
        <f>Tabela174681012142230322681619252731333624210121416182426283038402481012141620222628303234362426810121424610122426244262628262681026286236681012[[#This Row],[Total Acumulado]]-P15</f>
        <v>-67</v>
      </c>
      <c r="P15" s="48">
        <f>Tabela174681012142230322681619252731333624210121416182426283038402481012141620222628303234362426810121424610122426244262628262681026286236681012[[#This Row],[Uso diário]]*5</f>
        <v>67</v>
      </c>
      <c r="Q1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5" s="25">
        <v>4</v>
      </c>
    </row>
    <row r="16" spans="1:58" s="26" customFormat="1" x14ac:dyDescent="0.25">
      <c r="A16" s="16">
        <v>234969</v>
      </c>
      <c r="B16" s="30" t="s">
        <v>1431</v>
      </c>
      <c r="C16" s="20" t="s">
        <v>647</v>
      </c>
      <c r="D16" s="20" t="s">
        <v>721</v>
      </c>
      <c r="E16" s="20" t="s">
        <v>2296</v>
      </c>
      <c r="F16" s="20" t="s">
        <v>2297</v>
      </c>
      <c r="G16" s="21">
        <v>13.4</v>
      </c>
      <c r="H16" s="16">
        <v>26</v>
      </c>
      <c r="I16" s="16"/>
      <c r="J1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6" s="22"/>
      <c r="L16" s="23"/>
      <c r="M16" s="23">
        <f>SUM(Tabela174681012142230322681619252731333624210121416182426283038402481012141620222628303234362426810121424610122426244262628262681026286236681012[[#This Row],[Saldo no cartão]:[Recarga Pendente]])</f>
        <v>0</v>
      </c>
      <c r="N16" s="19">
        <f>Tabela174681012142230322681619252731333624210121416182426283038402481012141620222628303234362426810121424610122426244262628262681026286236681012[[#This Row],[Uso diário]]*2</f>
        <v>26.8</v>
      </c>
      <c r="O16" s="19">
        <f>Tabela174681012142230322681619252731333624210121416182426283038402481012141620222628303234362426810121424610122426244262628262681026286236681012[[#This Row],[Total Acumulado]]-P16</f>
        <v>-67</v>
      </c>
      <c r="P16" s="48">
        <f>Tabela174681012142230322681619252731333624210121416182426283038402481012141620222628303234362426810121424610122426244262628262681026286236681012[[#This Row],[Uso diário]]*5</f>
        <v>67</v>
      </c>
      <c r="Q1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6" s="25">
        <v>4</v>
      </c>
    </row>
    <row r="17" spans="1:20" s="26" customFormat="1" x14ac:dyDescent="0.25">
      <c r="A17" s="16">
        <v>234981</v>
      </c>
      <c r="B17" s="30" t="s">
        <v>1432</v>
      </c>
      <c r="C17" s="20" t="s">
        <v>647</v>
      </c>
      <c r="D17" s="20" t="s">
        <v>724</v>
      </c>
      <c r="E17" s="20" t="s">
        <v>2298</v>
      </c>
      <c r="F17" s="20" t="s">
        <v>2299</v>
      </c>
      <c r="G17" s="21">
        <v>13.4</v>
      </c>
      <c r="H17" s="16">
        <v>26</v>
      </c>
      <c r="I17" s="16"/>
      <c r="J1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7" s="22"/>
      <c r="L17" s="23"/>
      <c r="M17" s="23">
        <f>SUM(Tabela174681012142230322681619252731333624210121416182426283038402481012141620222628303234362426810121424610122426244262628262681026286236681012[[#This Row],[Saldo no cartão]:[Recarga Pendente]])</f>
        <v>0</v>
      </c>
      <c r="N17" s="19">
        <f>Tabela174681012142230322681619252731333624210121416182426283038402481012141620222628303234362426810121424610122426244262628262681026286236681012[[#This Row],[Uso diário]]*2</f>
        <v>26.8</v>
      </c>
      <c r="O17" s="19">
        <f>Tabela174681012142230322681619252731333624210121416182426283038402481012141620222628303234362426810121424610122426244262628262681026286236681012[[#This Row],[Total Acumulado]]-P17</f>
        <v>-67</v>
      </c>
      <c r="P17" s="48">
        <f>Tabela174681012142230322681619252731333624210121416182426283038402481012141620222628303234362426810121424610122426244262628262681026286236681012[[#This Row],[Uso diário]]*5</f>
        <v>67</v>
      </c>
      <c r="Q1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7" s="25">
        <v>4</v>
      </c>
    </row>
    <row r="18" spans="1:20" s="26" customFormat="1" x14ac:dyDescent="0.25">
      <c r="A18" s="16">
        <v>219941</v>
      </c>
      <c r="B18" s="30" t="s">
        <v>365</v>
      </c>
      <c r="C18" s="20" t="s">
        <v>630</v>
      </c>
      <c r="D18" s="20" t="s">
        <v>736</v>
      </c>
      <c r="E18" s="20" t="s">
        <v>2300</v>
      </c>
      <c r="F18" s="20" t="s">
        <v>2301</v>
      </c>
      <c r="G18" s="21">
        <v>18.8</v>
      </c>
      <c r="H18" s="16">
        <v>22</v>
      </c>
      <c r="I18" s="16"/>
      <c r="J1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18" s="22"/>
      <c r="L18" s="23"/>
      <c r="M18" s="23">
        <f>SUM(Tabela174681012142230322681619252731333624210121416182426283038402481012141620222628303234362426810121424610122426244262628262681026286236681012[[#This Row],[Saldo no cartão]:[Recarga Pendente]])</f>
        <v>0</v>
      </c>
      <c r="N18" s="19">
        <f>Tabela174681012142230322681619252731333624210121416182426283038402481012141620222628303234362426810121424610122426244262628262681026286236681012[[#This Row],[Uso diário]]*2</f>
        <v>37.6</v>
      </c>
      <c r="O18" s="19">
        <f>Tabela174681012142230322681619252731333624210121416182426283038402481012141620222628303234362426810121424610122426244262628262681026286236681012[[#This Row],[Total Acumulado]]-P18</f>
        <v>-94</v>
      </c>
      <c r="P18" s="48">
        <f>Tabela174681012142230322681619252731333624210121416182426283038402481012141620222628303234362426810121424610122426244262628262681026286236681012[[#This Row],[Uso diário]]*5</f>
        <v>94</v>
      </c>
      <c r="Q1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1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8" s="25">
        <v>4</v>
      </c>
    </row>
    <row r="19" spans="1:20" s="26" customFormat="1" x14ac:dyDescent="0.25">
      <c r="A19" s="16">
        <v>220524</v>
      </c>
      <c r="B19" s="30" t="s">
        <v>1433</v>
      </c>
      <c r="C19" s="20" t="s">
        <v>648</v>
      </c>
      <c r="D19" s="20" t="s">
        <v>718</v>
      </c>
      <c r="E19" s="20" t="s">
        <v>2302</v>
      </c>
      <c r="F19" s="20" t="s">
        <v>2303</v>
      </c>
      <c r="G19" s="21">
        <v>18.8</v>
      </c>
      <c r="H19" s="16">
        <v>26</v>
      </c>
      <c r="I19" s="16">
        <v>4</v>
      </c>
      <c r="J1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19" s="22"/>
      <c r="L19" s="23"/>
      <c r="M19" s="23">
        <f>SUM(Tabela174681012142230322681619252731333624210121416182426283038402481012141620222628303234362426810121424610122426244262628262681026286236681012[[#This Row],[Saldo no cartão]:[Recarga Pendente]])</f>
        <v>0</v>
      </c>
      <c r="N19" s="19">
        <f>Tabela174681012142230322681619252731333624210121416182426283038402481012141620222628303234362426810121424610122426244262628262681026286236681012[[#This Row],[Uso diário]]*2</f>
        <v>37.6</v>
      </c>
      <c r="O19" s="19">
        <f>Tabela174681012142230322681619252731333624210121416182426283038402481012141620222628303234362426810121424610122426244262628262681026286236681012[[#This Row],[Total Acumulado]]-P19</f>
        <v>-94</v>
      </c>
      <c r="P19" s="48">
        <f>Tabela174681012142230322681619252731333624210121416182426283038402481012141620222628303234362426810121424610122426244262628262681026286236681012[[#This Row],[Uso diário]]*5</f>
        <v>94</v>
      </c>
      <c r="Q1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1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9" s="25">
        <v>4</v>
      </c>
    </row>
    <row r="20" spans="1:20" s="26" customFormat="1" x14ac:dyDescent="0.25">
      <c r="A20" s="16">
        <v>222513</v>
      </c>
      <c r="B20" s="30" t="s">
        <v>216</v>
      </c>
      <c r="C20" s="20" t="s">
        <v>648</v>
      </c>
      <c r="D20" s="20" t="s">
        <v>718</v>
      </c>
      <c r="E20" s="20" t="s">
        <v>2304</v>
      </c>
      <c r="F20" s="20" t="s">
        <v>2305</v>
      </c>
      <c r="G20" s="21">
        <v>18.8</v>
      </c>
      <c r="H20" s="16">
        <v>17</v>
      </c>
      <c r="I20" s="16"/>
      <c r="J2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319.60000000000002</v>
      </c>
      <c r="K20" s="22"/>
      <c r="L20" s="23"/>
      <c r="M20" s="23">
        <f>SUM(Tabela174681012142230322681619252731333624210121416182426283038402481012141620222628303234362426810121424610122426244262628262681026286236681012[[#This Row],[Saldo no cartão]:[Recarga Pendente]])</f>
        <v>0</v>
      </c>
      <c r="N20" s="19">
        <f>Tabela174681012142230322681619252731333624210121416182426283038402481012141620222628303234362426810121424610122426244262628262681026286236681012[[#This Row],[Uso diário]]*2</f>
        <v>37.6</v>
      </c>
      <c r="O20" s="19">
        <f>Tabela174681012142230322681619252731333624210121416182426283038402481012141620222628303234362426810121424610122426244262628262681026286236681012[[#This Row],[Total Acumulado]]-P20</f>
        <v>-94</v>
      </c>
      <c r="P20" s="48">
        <f>Tabela174681012142230322681619252731333624210121416182426283038402481012141620222628303234362426810121424610122426244262628262681026286236681012[[#This Row],[Uso diário]]*5</f>
        <v>94</v>
      </c>
      <c r="Q2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319.60000000000002</v>
      </c>
      <c r="S2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0" s="25">
        <v>4</v>
      </c>
    </row>
    <row r="21" spans="1:20" s="26" customFormat="1" x14ac:dyDescent="0.25">
      <c r="A21" s="16">
        <v>223742</v>
      </c>
      <c r="B21" s="30" t="s">
        <v>1168</v>
      </c>
      <c r="C21" s="20" t="s">
        <v>648</v>
      </c>
      <c r="D21" s="20" t="s">
        <v>718</v>
      </c>
      <c r="E21" s="20" t="s">
        <v>2306</v>
      </c>
      <c r="F21" s="20" t="s">
        <v>2307</v>
      </c>
      <c r="G21" s="21">
        <v>13.4</v>
      </c>
      <c r="H21" s="16">
        <v>26</v>
      </c>
      <c r="I21" s="16"/>
      <c r="J2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21" s="22"/>
      <c r="L21" s="23"/>
      <c r="M21" s="23">
        <f>SUM(Tabela174681012142230322681619252731333624210121416182426283038402481012141620222628303234362426810121424610122426244262628262681026286236681012[[#This Row],[Saldo no cartão]:[Recarga Pendente]])</f>
        <v>0</v>
      </c>
      <c r="N21" s="19">
        <f>Tabela174681012142230322681619252731333624210121416182426283038402481012141620222628303234362426810121424610122426244262628262681026286236681012[[#This Row],[Uso diário]]*2</f>
        <v>26.8</v>
      </c>
      <c r="O21" s="19">
        <f>Tabela174681012142230322681619252731333624210121416182426283038402481012141620222628303234362426810121424610122426244262628262681026286236681012[[#This Row],[Total Acumulado]]-P21</f>
        <v>-67</v>
      </c>
      <c r="P21" s="48">
        <f>Tabela174681012142230322681619252731333624210121416182426283038402481012141620222628303234362426810121424610122426244262628262681026286236681012[[#This Row],[Uso diário]]*5</f>
        <v>67</v>
      </c>
      <c r="Q2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2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1" s="25">
        <v>4</v>
      </c>
    </row>
    <row r="22" spans="1:20" s="26" customFormat="1" x14ac:dyDescent="0.25">
      <c r="A22" s="16">
        <v>226081</v>
      </c>
      <c r="B22" s="30" t="s">
        <v>181</v>
      </c>
      <c r="C22" s="20" t="s">
        <v>648</v>
      </c>
      <c r="D22" s="20" t="s">
        <v>737</v>
      </c>
      <c r="E22" s="20" t="s">
        <v>2308</v>
      </c>
      <c r="F22" s="20" t="s">
        <v>2309</v>
      </c>
      <c r="G22" s="21">
        <v>18.8</v>
      </c>
      <c r="H22" s="16">
        <v>26</v>
      </c>
      <c r="I22" s="16"/>
      <c r="J2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22" s="22"/>
      <c r="L22" s="23"/>
      <c r="M22" s="23">
        <f>SUM(Tabela174681012142230322681619252731333624210121416182426283038402481012141620222628303234362426810121424610122426244262628262681026286236681012[[#This Row],[Saldo no cartão]:[Recarga Pendente]])</f>
        <v>0</v>
      </c>
      <c r="N22" s="19">
        <f>Tabela174681012142230322681619252731333624210121416182426283038402481012141620222628303234362426810121424610122426244262628262681026286236681012[[#This Row],[Uso diário]]*2</f>
        <v>37.6</v>
      </c>
      <c r="O22" s="19">
        <f>Tabela174681012142230322681619252731333624210121416182426283038402481012141620222628303234362426810121424610122426244262628262681026286236681012[[#This Row],[Total Acumulado]]-P22</f>
        <v>-94</v>
      </c>
      <c r="P22" s="48">
        <f>Tabela174681012142230322681619252731333624210121416182426283038402481012141620222628303234362426810121424610122426244262628262681026286236681012[[#This Row],[Uso diário]]*5</f>
        <v>94</v>
      </c>
      <c r="Q2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2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2" s="25">
        <v>4</v>
      </c>
    </row>
    <row r="23" spans="1:20" s="26" customFormat="1" x14ac:dyDescent="0.25">
      <c r="A23" s="16">
        <v>228923</v>
      </c>
      <c r="B23" s="30" t="s">
        <v>218</v>
      </c>
      <c r="C23" s="20" t="s">
        <v>648</v>
      </c>
      <c r="D23" s="20" t="s">
        <v>718</v>
      </c>
      <c r="E23" s="20" t="s">
        <v>2310</v>
      </c>
      <c r="F23" s="20" t="s">
        <v>2311</v>
      </c>
      <c r="G23" s="21">
        <v>13.4</v>
      </c>
      <c r="H23" s="16">
        <v>26</v>
      </c>
      <c r="I23" s="16"/>
      <c r="J2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23" s="22"/>
      <c r="L23" s="23"/>
      <c r="M23" s="23">
        <f>SUM(Tabela174681012142230322681619252731333624210121416182426283038402481012141620222628303234362426810121424610122426244262628262681026286236681012[[#This Row],[Saldo no cartão]:[Recarga Pendente]])</f>
        <v>0</v>
      </c>
      <c r="N23" s="19">
        <f>Tabela174681012142230322681619252731333624210121416182426283038402481012141620222628303234362426810121424610122426244262628262681026286236681012[[#This Row],[Uso diário]]*2</f>
        <v>26.8</v>
      </c>
      <c r="O23" s="19">
        <f>Tabela174681012142230322681619252731333624210121416182426283038402481012141620222628303234362426810121424610122426244262628262681026286236681012[[#This Row],[Total Acumulado]]-P23</f>
        <v>-67</v>
      </c>
      <c r="P23" s="48">
        <f>Tabela174681012142230322681619252731333624210121416182426283038402481012141620222628303234362426810121424610122426244262628262681026286236681012[[#This Row],[Uso diário]]*5</f>
        <v>67</v>
      </c>
      <c r="Q2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2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3" s="25">
        <v>4</v>
      </c>
    </row>
    <row r="24" spans="1:20" s="26" customFormat="1" x14ac:dyDescent="0.25">
      <c r="A24" s="16">
        <v>233453</v>
      </c>
      <c r="B24" s="30" t="s">
        <v>1351</v>
      </c>
      <c r="C24" s="20" t="s">
        <v>648</v>
      </c>
      <c r="D24" s="20" t="s">
        <v>718</v>
      </c>
      <c r="E24" s="20" t="s">
        <v>2312</v>
      </c>
      <c r="F24" s="20" t="s">
        <v>2313</v>
      </c>
      <c r="G24" s="21">
        <v>13.4</v>
      </c>
      <c r="H24" s="16">
        <v>26</v>
      </c>
      <c r="I24" s="16"/>
      <c r="J2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24" s="22"/>
      <c r="L24" s="23">
        <v>261.8</v>
      </c>
      <c r="M24" s="23">
        <f>SUM(Tabela174681012142230322681619252731333624210121416182426283038402481012141620222628303234362426810121424610122426244262628262681026286236681012[[#This Row],[Saldo no cartão]:[Recarga Pendente]])</f>
        <v>261.8</v>
      </c>
      <c r="N24" s="19">
        <f>Tabela174681012142230322681619252731333624210121416182426283038402481012141620222628303234362426810121424610122426244262628262681026286236681012[[#This Row],[Uso diário]]*2</f>
        <v>26.8</v>
      </c>
      <c r="O24" s="19">
        <f>Tabela174681012142230322681619252731333624210121416182426283038402481012141620222628303234362426810121424610122426244262628262681026286236681012[[#This Row],[Total Acumulado]]-P24</f>
        <v>194.8</v>
      </c>
      <c r="P24" s="48">
        <f>Tabela174681012142230322681619252731333624210121416182426283038402481012141620222628303234362426810121424610122426244262628262681026286236681012[[#This Row],[Uso diário]]*5</f>
        <v>67</v>
      </c>
      <c r="Q2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194.8</v>
      </c>
      <c r="R2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153.60000000000002</v>
      </c>
      <c r="S24" s="18" t="s">
        <v>11</v>
      </c>
      <c r="T24" s="25">
        <v>4</v>
      </c>
    </row>
    <row r="25" spans="1:20" s="26" customFormat="1" x14ac:dyDescent="0.25">
      <c r="A25" s="16">
        <v>215216</v>
      </c>
      <c r="B25" s="30" t="s">
        <v>219</v>
      </c>
      <c r="C25" s="20" t="s">
        <v>650</v>
      </c>
      <c r="D25" s="20" t="s">
        <v>726</v>
      </c>
      <c r="E25" s="20" t="s">
        <v>2314</v>
      </c>
      <c r="F25" s="20" t="s">
        <v>2315</v>
      </c>
      <c r="G25" s="21">
        <v>18.8</v>
      </c>
      <c r="H25" s="16">
        <v>26</v>
      </c>
      <c r="I25" s="16"/>
      <c r="J2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25" s="22"/>
      <c r="L25" s="23"/>
      <c r="M25" s="23">
        <f>SUM(Tabela174681012142230322681619252731333624210121416182426283038402481012141620222628303234362426810121424610122426244262628262681026286236681012[[#This Row],[Saldo no cartão]:[Recarga Pendente]])</f>
        <v>0</v>
      </c>
      <c r="N25" s="19">
        <f>Tabela174681012142230322681619252731333624210121416182426283038402481012141620222628303234362426810121424610122426244262628262681026286236681012[[#This Row],[Uso diário]]*2</f>
        <v>37.6</v>
      </c>
      <c r="O25" s="19">
        <f>Tabela174681012142230322681619252731333624210121416182426283038402481012141620222628303234362426810121424610122426244262628262681026286236681012[[#This Row],[Total Acumulado]]-P25</f>
        <v>-94</v>
      </c>
      <c r="P25" s="48">
        <f>Tabela174681012142230322681619252731333624210121416182426283038402481012141620222628303234362426810121424610122426244262628262681026286236681012[[#This Row],[Uso diário]]*5</f>
        <v>94</v>
      </c>
      <c r="Q2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2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5" s="25">
        <v>4</v>
      </c>
    </row>
    <row r="26" spans="1:20" s="26" customFormat="1" x14ac:dyDescent="0.25">
      <c r="A26" s="16">
        <v>219926</v>
      </c>
      <c r="B26" s="30" t="s">
        <v>1056</v>
      </c>
      <c r="C26" s="20" t="s">
        <v>650</v>
      </c>
      <c r="D26" s="20" t="s">
        <v>726</v>
      </c>
      <c r="E26" s="20" t="s">
        <v>2316</v>
      </c>
      <c r="F26" s="20" t="s">
        <v>2317</v>
      </c>
      <c r="G26" s="21">
        <v>13.4</v>
      </c>
      <c r="H26" s="16">
        <v>26</v>
      </c>
      <c r="I26" s="16"/>
      <c r="J2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26" s="22"/>
      <c r="L26" s="23"/>
      <c r="M26" s="23">
        <f>SUM(Tabela174681012142230322681619252731333624210121416182426283038402481012141620222628303234362426810121424610122426244262628262681026286236681012[[#This Row],[Saldo no cartão]:[Recarga Pendente]])</f>
        <v>0</v>
      </c>
      <c r="N26" s="19">
        <f>Tabela174681012142230322681619252731333624210121416182426283038402481012141620222628303234362426810121424610122426244262628262681026286236681012[[#This Row],[Uso diário]]*2</f>
        <v>26.8</v>
      </c>
      <c r="O26" s="19">
        <f>Tabela174681012142230322681619252731333624210121416182426283038402481012141620222628303234362426810121424610122426244262628262681026286236681012[[#This Row],[Total Acumulado]]-P26</f>
        <v>-67</v>
      </c>
      <c r="P26" s="48">
        <f>Tabela174681012142230322681619252731333624210121416182426283038402481012141620222628303234362426810121424610122426244262628262681026286236681012[[#This Row],[Uso diário]]*5</f>
        <v>67</v>
      </c>
      <c r="Q2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2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6" s="25">
        <v>4</v>
      </c>
    </row>
    <row r="27" spans="1:20" s="26" customFormat="1" x14ac:dyDescent="0.25">
      <c r="A27" s="16">
        <v>220714</v>
      </c>
      <c r="B27" s="30" t="s">
        <v>1169</v>
      </c>
      <c r="C27" s="20" t="s">
        <v>650</v>
      </c>
      <c r="D27" s="20" t="s">
        <v>726</v>
      </c>
      <c r="E27" s="20" t="s">
        <v>2318</v>
      </c>
      <c r="F27" s="20" t="s">
        <v>2319</v>
      </c>
      <c r="G27" s="21">
        <v>13.4</v>
      </c>
      <c r="H27" s="16">
        <v>26</v>
      </c>
      <c r="I27" s="16"/>
      <c r="J2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27" s="22"/>
      <c r="L27" s="23"/>
      <c r="M27" s="23">
        <f>SUM(Tabela174681012142230322681619252731333624210121416182426283038402481012141620222628303234362426810121424610122426244262628262681026286236681012[[#This Row],[Saldo no cartão]:[Recarga Pendente]])</f>
        <v>0</v>
      </c>
      <c r="N27" s="19">
        <f>Tabela174681012142230322681619252731333624210121416182426283038402481012141620222628303234362426810121424610122426244262628262681026286236681012[[#This Row],[Uso diário]]*2</f>
        <v>26.8</v>
      </c>
      <c r="O27" s="19">
        <f>Tabela174681012142230322681619252731333624210121416182426283038402481012141620222628303234362426810121424610122426244262628262681026286236681012[[#This Row],[Total Acumulado]]-P27</f>
        <v>-67</v>
      </c>
      <c r="P27" s="48">
        <f>Tabela174681012142230322681619252731333624210121416182426283038402481012141620222628303234362426810121424610122426244262628262681026286236681012[[#This Row],[Uso diário]]*5</f>
        <v>67</v>
      </c>
      <c r="Q2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2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7" s="25">
        <v>4</v>
      </c>
    </row>
    <row r="28" spans="1:20" s="26" customFormat="1" x14ac:dyDescent="0.25">
      <c r="A28" s="16">
        <v>232712</v>
      </c>
      <c r="B28" s="30" t="s">
        <v>935</v>
      </c>
      <c r="C28" s="20" t="s">
        <v>650</v>
      </c>
      <c r="D28" s="20" t="s">
        <v>726</v>
      </c>
      <c r="E28" s="20" t="s">
        <v>2320</v>
      </c>
      <c r="F28" s="20" t="s">
        <v>2321</v>
      </c>
      <c r="G28" s="21">
        <v>13.4</v>
      </c>
      <c r="H28" s="16">
        <v>26</v>
      </c>
      <c r="I28" s="16"/>
      <c r="J2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28" s="22"/>
      <c r="L28" s="23"/>
      <c r="M28" s="23">
        <f>SUM(Tabela174681012142230322681619252731333624210121416182426283038402481012141620222628303234362426810121424610122426244262628262681026286236681012[[#This Row],[Saldo no cartão]:[Recarga Pendente]])</f>
        <v>0</v>
      </c>
      <c r="N28" s="19">
        <f>Tabela174681012142230322681619252731333624210121416182426283038402481012141620222628303234362426810121424610122426244262628262681026286236681012[[#This Row],[Uso diário]]*2</f>
        <v>26.8</v>
      </c>
      <c r="O28" s="19">
        <f>Tabela174681012142230322681619252731333624210121416182426283038402481012141620222628303234362426810121424610122426244262628262681026286236681012[[#This Row],[Total Acumulado]]-P28</f>
        <v>-67</v>
      </c>
      <c r="P28" s="48">
        <f>Tabela174681012142230322681619252731333624210121416182426283038402481012141620222628303234362426810121424610122426244262628262681026286236681012[[#This Row],[Uso diário]]*5</f>
        <v>67</v>
      </c>
      <c r="Q2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2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8" s="25">
        <v>4</v>
      </c>
    </row>
    <row r="29" spans="1:20" s="26" customFormat="1" x14ac:dyDescent="0.25">
      <c r="A29" s="16">
        <v>210740</v>
      </c>
      <c r="B29" s="30" t="s">
        <v>187</v>
      </c>
      <c r="C29" s="20" t="s">
        <v>651</v>
      </c>
      <c r="D29" s="20" t="s">
        <v>727</v>
      </c>
      <c r="E29" s="20" t="s">
        <v>2322</v>
      </c>
      <c r="F29" s="20" t="s">
        <v>2323</v>
      </c>
      <c r="G29" s="21">
        <v>18.8</v>
      </c>
      <c r="H29" s="16">
        <v>26</v>
      </c>
      <c r="I29" s="16"/>
      <c r="J2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29" s="22"/>
      <c r="L29" s="23">
        <v>38.5</v>
      </c>
      <c r="M29" s="23">
        <f>SUM(Tabela174681012142230322681619252731333624210121416182426283038402481012141620222628303234362426810121424610122426244262628262681026286236681012[[#This Row],[Saldo no cartão]:[Recarga Pendente]])</f>
        <v>38.5</v>
      </c>
      <c r="N29" s="19">
        <f>Tabela174681012142230322681619252731333624210121416182426283038402481012141620222628303234362426810121424610122426244262628262681026286236681012[[#This Row],[Uso diário]]*2</f>
        <v>37.6</v>
      </c>
      <c r="O29" s="19">
        <f>Tabela174681012142230322681619252731333624210121416182426283038402481012141620222628303234362426810121424610122426244262628262681026286236681012[[#This Row],[Total Acumulado]]-P29</f>
        <v>-55.5</v>
      </c>
      <c r="P29" s="48">
        <f>Tabela174681012142230322681619252731333624210121416182426283038402481012141620222628303234362426810121424610122426244262628262681026286236681012[[#This Row],[Uso diário]]*5</f>
        <v>94</v>
      </c>
      <c r="Q2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2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2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29" s="25">
        <v>4</v>
      </c>
    </row>
    <row r="30" spans="1:20" s="26" customFormat="1" x14ac:dyDescent="0.25">
      <c r="A30" s="16">
        <v>211040</v>
      </c>
      <c r="B30" s="30" t="s">
        <v>1057</v>
      </c>
      <c r="C30" s="20" t="s">
        <v>651</v>
      </c>
      <c r="D30" s="20" t="s">
        <v>717</v>
      </c>
      <c r="E30" s="20" t="s">
        <v>2324</v>
      </c>
      <c r="F30" s="20" t="s">
        <v>2325</v>
      </c>
      <c r="G30" s="21">
        <v>18.8</v>
      </c>
      <c r="H30" s="16">
        <v>16</v>
      </c>
      <c r="I30" s="16"/>
      <c r="J3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30" s="22"/>
      <c r="L30" s="23"/>
      <c r="M30" s="23">
        <f>SUM(Tabela174681012142230322681619252731333624210121416182426283038402481012141620222628303234362426810121424610122426244262628262681026286236681012[[#This Row],[Saldo no cartão]:[Recarga Pendente]])</f>
        <v>0</v>
      </c>
      <c r="N30" s="19">
        <f>Tabela174681012142230322681619252731333624210121416182426283038402481012141620222628303234362426810121424610122426244262628262681026286236681012[[#This Row],[Uso diário]]*2</f>
        <v>37.6</v>
      </c>
      <c r="O30" s="19">
        <f>Tabela174681012142230322681619252731333624210121416182426283038402481012141620222628303234362426810121424610122426244262628262681026286236681012[[#This Row],[Total Acumulado]]-P30</f>
        <v>-94</v>
      </c>
      <c r="P30" s="48">
        <f>Tabela174681012142230322681619252731333624210121416182426283038402481012141620222628303234362426810121424610122426244262628262681026286236681012[[#This Row],[Uso diário]]*5</f>
        <v>94</v>
      </c>
      <c r="Q3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3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0" s="25">
        <v>4</v>
      </c>
    </row>
    <row r="31" spans="1:20" s="26" customFormat="1" x14ac:dyDescent="0.25">
      <c r="A31" s="16">
        <v>216391</v>
      </c>
      <c r="B31" s="30" t="s">
        <v>1434</v>
      </c>
      <c r="C31" s="20" t="s">
        <v>651</v>
      </c>
      <c r="D31" s="20" t="s">
        <v>719</v>
      </c>
      <c r="E31" s="20" t="s">
        <v>2326</v>
      </c>
      <c r="F31" s="20" t="s">
        <v>2327</v>
      </c>
      <c r="G31" s="21">
        <v>18.8</v>
      </c>
      <c r="H31" s="16">
        <v>16</v>
      </c>
      <c r="I31" s="16"/>
      <c r="J3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31" s="22"/>
      <c r="L31" s="23"/>
      <c r="M31" s="23">
        <f>SUM(Tabela174681012142230322681619252731333624210121416182426283038402481012141620222628303234362426810121424610122426244262628262681026286236681012[[#This Row],[Saldo no cartão]:[Recarga Pendente]])</f>
        <v>0</v>
      </c>
      <c r="N31" s="19">
        <f>Tabela174681012142230322681619252731333624210121416182426283038402481012141620222628303234362426810121424610122426244262628262681026286236681012[[#This Row],[Uso diário]]*2</f>
        <v>37.6</v>
      </c>
      <c r="O31" s="19">
        <f>Tabela174681012142230322681619252731333624210121416182426283038402481012141620222628303234362426810121424610122426244262628262681026286236681012[[#This Row],[Total Acumulado]]-P31</f>
        <v>-94</v>
      </c>
      <c r="P31" s="48">
        <f>Tabela174681012142230322681619252731333624210121416182426283038402481012141620222628303234362426810121424610122426244262628262681026286236681012[[#This Row],[Uso diário]]*5</f>
        <v>94</v>
      </c>
      <c r="Q3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3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1" s="25">
        <v>4</v>
      </c>
    </row>
    <row r="32" spans="1:20" s="26" customFormat="1" x14ac:dyDescent="0.25">
      <c r="A32" s="16">
        <v>219403</v>
      </c>
      <c r="B32" s="30" t="s">
        <v>1170</v>
      </c>
      <c r="C32" s="20" t="s">
        <v>651</v>
      </c>
      <c r="D32" s="20" t="s">
        <v>717</v>
      </c>
      <c r="E32" s="20" t="s">
        <v>2328</v>
      </c>
      <c r="F32" s="20" t="s">
        <v>2329</v>
      </c>
      <c r="G32" s="21">
        <v>18.8</v>
      </c>
      <c r="H32" s="16">
        <v>16</v>
      </c>
      <c r="I32" s="16"/>
      <c r="J3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32" s="22"/>
      <c r="L32" s="23"/>
      <c r="M32" s="23">
        <f>SUM(Tabela174681012142230322681619252731333624210121416182426283038402481012141620222628303234362426810121424610122426244262628262681026286236681012[[#This Row],[Saldo no cartão]:[Recarga Pendente]])</f>
        <v>0</v>
      </c>
      <c r="N32" s="19">
        <f>Tabela174681012142230322681619252731333624210121416182426283038402481012141620222628303234362426810121424610122426244262628262681026286236681012[[#This Row],[Uso diário]]*2</f>
        <v>37.6</v>
      </c>
      <c r="O32" s="19">
        <f>Tabela174681012142230322681619252731333624210121416182426283038402481012141620222628303234362426810121424610122426244262628262681026286236681012[[#This Row],[Total Acumulado]]-P32</f>
        <v>-94</v>
      </c>
      <c r="P32" s="48">
        <f>Tabela174681012142230322681619252731333624210121416182426283038402481012141620222628303234362426810121424610122426244262628262681026286236681012[[#This Row],[Uso diário]]*5</f>
        <v>94</v>
      </c>
      <c r="Q3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3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2" s="25">
        <v>4</v>
      </c>
    </row>
    <row r="33" spans="1:20" s="26" customFormat="1" x14ac:dyDescent="0.25">
      <c r="A33" s="16">
        <v>220674</v>
      </c>
      <c r="B33" s="30" t="s">
        <v>220</v>
      </c>
      <c r="C33" s="20" t="s">
        <v>651</v>
      </c>
      <c r="D33" s="20" t="s">
        <v>719</v>
      </c>
      <c r="E33" s="20" t="s">
        <v>2330</v>
      </c>
      <c r="F33" s="20" t="s">
        <v>2331</v>
      </c>
      <c r="G33" s="21">
        <v>13.4</v>
      </c>
      <c r="H33" s="16">
        <v>16</v>
      </c>
      <c r="I33" s="16"/>
      <c r="J3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33" s="22"/>
      <c r="L33" s="23"/>
      <c r="M33" s="23">
        <f>SUM(Tabela174681012142230322681619252731333624210121416182426283038402481012141620222628303234362426810121424610122426244262628262681026286236681012[[#This Row],[Saldo no cartão]:[Recarga Pendente]])</f>
        <v>0</v>
      </c>
      <c r="N33" s="19">
        <f>Tabela174681012142230322681619252731333624210121416182426283038402481012141620222628303234362426810121424610122426244262628262681026286236681012[[#This Row],[Uso diário]]*2</f>
        <v>26.8</v>
      </c>
      <c r="O33" s="19">
        <f>Tabela174681012142230322681619252731333624210121416182426283038402481012141620222628303234362426810121424610122426244262628262681026286236681012[[#This Row],[Total Acumulado]]-P33</f>
        <v>-67</v>
      </c>
      <c r="P33" s="48">
        <f>Tabela174681012142230322681619252731333624210121416182426283038402481012141620222628303234362426810121424610122426244262628262681026286236681012[[#This Row],[Uso diário]]*5</f>
        <v>67</v>
      </c>
      <c r="Q3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3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3" s="25">
        <v>4</v>
      </c>
    </row>
    <row r="34" spans="1:20" s="26" customFormat="1" x14ac:dyDescent="0.25">
      <c r="A34" s="16">
        <v>222049</v>
      </c>
      <c r="B34" s="30" t="s">
        <v>221</v>
      </c>
      <c r="C34" s="20" t="s">
        <v>651</v>
      </c>
      <c r="D34" s="20" t="s">
        <v>717</v>
      </c>
      <c r="E34" s="20" t="s">
        <v>2332</v>
      </c>
      <c r="F34" s="20" t="s">
        <v>2333</v>
      </c>
      <c r="G34" s="21">
        <v>18.8</v>
      </c>
      <c r="H34" s="16">
        <v>16</v>
      </c>
      <c r="I34" s="16"/>
      <c r="J3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34" s="22"/>
      <c r="L34" s="23"/>
      <c r="M34" s="23">
        <f>SUM(Tabela174681012142230322681619252731333624210121416182426283038402481012141620222628303234362426810121424610122426244262628262681026286236681012[[#This Row],[Saldo no cartão]:[Recarga Pendente]])</f>
        <v>0</v>
      </c>
      <c r="N34" s="19">
        <f>Tabela174681012142230322681619252731333624210121416182426283038402481012141620222628303234362426810121424610122426244262628262681026286236681012[[#This Row],[Uso diário]]*2</f>
        <v>37.6</v>
      </c>
      <c r="O34" s="19">
        <f>Tabela174681012142230322681619252731333624210121416182426283038402481012141620222628303234362426810121424610122426244262628262681026286236681012[[#This Row],[Total Acumulado]]-P34</f>
        <v>-94</v>
      </c>
      <c r="P34" s="48">
        <f>Tabela174681012142230322681619252731333624210121416182426283038402481012141620222628303234362426810121424610122426244262628262681026286236681012[[#This Row],[Uso diário]]*5</f>
        <v>94</v>
      </c>
      <c r="Q3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3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4" s="25">
        <v>4</v>
      </c>
    </row>
    <row r="35" spans="1:20" s="26" customFormat="1" x14ac:dyDescent="0.25">
      <c r="A35" s="16">
        <v>223411</v>
      </c>
      <c r="B35" s="30" t="s">
        <v>1058</v>
      </c>
      <c r="C35" s="20" t="s">
        <v>651</v>
      </c>
      <c r="D35" s="20" t="s">
        <v>719</v>
      </c>
      <c r="E35" s="20" t="s">
        <v>2334</v>
      </c>
      <c r="F35" s="20" t="s">
        <v>2335</v>
      </c>
      <c r="G35" s="21">
        <v>18.8</v>
      </c>
      <c r="H35" s="16">
        <v>16</v>
      </c>
      <c r="I35" s="16"/>
      <c r="J3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35" s="22"/>
      <c r="L35" s="23"/>
      <c r="M35" s="23">
        <f>SUM(Tabela174681012142230322681619252731333624210121416182426283038402481012141620222628303234362426810121424610122426244262628262681026286236681012[[#This Row],[Saldo no cartão]:[Recarga Pendente]])</f>
        <v>0</v>
      </c>
      <c r="N35" s="19">
        <f>Tabela174681012142230322681619252731333624210121416182426283038402481012141620222628303234362426810121424610122426244262628262681026286236681012[[#This Row],[Uso diário]]*2</f>
        <v>37.6</v>
      </c>
      <c r="O35" s="19">
        <f>Tabela174681012142230322681619252731333624210121416182426283038402481012141620222628303234362426810121424610122426244262628262681026286236681012[[#This Row],[Total Acumulado]]-P35</f>
        <v>-94</v>
      </c>
      <c r="P35" s="48">
        <f>Tabela174681012142230322681619252731333624210121416182426283038402481012141620222628303234362426810121424610122426244262628262681026286236681012[[#This Row],[Uso diário]]*5</f>
        <v>94</v>
      </c>
      <c r="Q3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3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5" s="25">
        <v>4</v>
      </c>
    </row>
    <row r="36" spans="1:20" s="26" customFormat="1" x14ac:dyDescent="0.25">
      <c r="A36" s="16">
        <v>225965</v>
      </c>
      <c r="B36" s="30" t="s">
        <v>222</v>
      </c>
      <c r="C36" s="20" t="s">
        <v>651</v>
      </c>
      <c r="D36" s="20" t="s">
        <v>719</v>
      </c>
      <c r="E36" s="20" t="s">
        <v>2336</v>
      </c>
      <c r="F36" s="20" t="s">
        <v>2337</v>
      </c>
      <c r="G36" s="21">
        <v>18.8</v>
      </c>
      <c r="H36" s="16">
        <v>16</v>
      </c>
      <c r="I36" s="16">
        <v>3</v>
      </c>
      <c r="J3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244.4</v>
      </c>
      <c r="K36" s="22"/>
      <c r="L36" s="23"/>
      <c r="M36" s="23">
        <f>SUM(Tabela174681012142230322681619252731333624210121416182426283038402481012141620222628303234362426810121424610122426244262628262681026286236681012[[#This Row],[Saldo no cartão]:[Recarga Pendente]])</f>
        <v>0</v>
      </c>
      <c r="N36" s="19">
        <f>Tabela174681012142230322681619252731333624210121416182426283038402481012141620222628303234362426810121424610122426244262628262681026286236681012[[#This Row],[Uso diário]]*2</f>
        <v>37.6</v>
      </c>
      <c r="O36" s="19">
        <f>Tabela174681012142230322681619252731333624210121416182426283038402481012141620222628303234362426810121424610122426244262628262681026286236681012[[#This Row],[Total Acumulado]]-P36</f>
        <v>-94</v>
      </c>
      <c r="P36" s="48">
        <f>Tabela174681012142230322681619252731333624210121416182426283038402481012141620222628303234362426810121424610122426244262628262681026286236681012[[#This Row],[Uso diário]]*5</f>
        <v>94</v>
      </c>
      <c r="Q3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244.4</v>
      </c>
      <c r="S3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6" s="25">
        <v>4</v>
      </c>
    </row>
    <row r="37" spans="1:20" s="26" customFormat="1" x14ac:dyDescent="0.25">
      <c r="A37" s="16">
        <v>226557</v>
      </c>
      <c r="B37" s="30" t="s">
        <v>1435</v>
      </c>
      <c r="C37" s="20" t="s">
        <v>651</v>
      </c>
      <c r="D37" s="20" t="s">
        <v>719</v>
      </c>
      <c r="E37" s="20" t="s">
        <v>2338</v>
      </c>
      <c r="F37" s="20" t="s">
        <v>2339</v>
      </c>
      <c r="G37" s="21">
        <v>18.8</v>
      </c>
      <c r="H37" s="16">
        <v>16</v>
      </c>
      <c r="I37" s="16"/>
      <c r="J3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37" s="22"/>
      <c r="L37" s="23"/>
      <c r="M37" s="23">
        <f>SUM(Tabela174681012142230322681619252731333624210121416182426283038402481012141620222628303234362426810121424610122426244262628262681026286236681012[[#This Row],[Saldo no cartão]:[Recarga Pendente]])</f>
        <v>0</v>
      </c>
      <c r="N37" s="19">
        <f>Tabela174681012142230322681619252731333624210121416182426283038402481012141620222628303234362426810121424610122426244262628262681026286236681012[[#This Row],[Uso diário]]*2</f>
        <v>37.6</v>
      </c>
      <c r="O37" s="19">
        <f>Tabela174681012142230322681619252731333624210121416182426283038402481012141620222628303234362426810121424610122426244262628262681026286236681012[[#This Row],[Total Acumulado]]-P37</f>
        <v>-94</v>
      </c>
      <c r="P37" s="48">
        <f>Tabela174681012142230322681619252731333624210121416182426283038402481012141620222628303234362426810121424610122426244262628262681026286236681012[[#This Row],[Uso diário]]*5</f>
        <v>94</v>
      </c>
      <c r="Q3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3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7" s="25">
        <v>4</v>
      </c>
    </row>
    <row r="38" spans="1:20" s="26" customFormat="1" x14ac:dyDescent="0.25">
      <c r="A38" s="16">
        <v>228128</v>
      </c>
      <c r="B38" s="30" t="s">
        <v>223</v>
      </c>
      <c r="C38" s="20" t="s">
        <v>651</v>
      </c>
      <c r="D38" s="20" t="s">
        <v>716</v>
      </c>
      <c r="E38" s="20" t="s">
        <v>2340</v>
      </c>
      <c r="F38" s="20" t="s">
        <v>2341</v>
      </c>
      <c r="G38" s="21">
        <v>13.4</v>
      </c>
      <c r="H38" s="16">
        <v>16</v>
      </c>
      <c r="I38" s="16"/>
      <c r="J3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38" s="22"/>
      <c r="L38" s="23"/>
      <c r="M38" s="23">
        <f>SUM(Tabela174681012142230322681619252731333624210121416182426283038402481012141620222628303234362426810121424610122426244262628262681026286236681012[[#This Row],[Saldo no cartão]:[Recarga Pendente]])</f>
        <v>0</v>
      </c>
      <c r="N38" s="19">
        <f>Tabela174681012142230322681619252731333624210121416182426283038402481012141620222628303234362426810121424610122426244262628262681026286236681012[[#This Row],[Uso diário]]*2</f>
        <v>26.8</v>
      </c>
      <c r="O38" s="19">
        <f>Tabela174681012142230322681619252731333624210121416182426283038402481012141620222628303234362426810121424610122426244262628262681026286236681012[[#This Row],[Total Acumulado]]-P38</f>
        <v>-67</v>
      </c>
      <c r="P38" s="48">
        <f>Tabela174681012142230322681619252731333624210121416182426283038402481012141620222628303234362426810121424610122426244262628262681026286236681012[[#This Row],[Uso diário]]*5</f>
        <v>67</v>
      </c>
      <c r="Q3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3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8" s="25">
        <v>4</v>
      </c>
    </row>
    <row r="39" spans="1:20" s="26" customFormat="1" x14ac:dyDescent="0.25">
      <c r="A39" s="16">
        <v>228129</v>
      </c>
      <c r="B39" s="30" t="s">
        <v>224</v>
      </c>
      <c r="C39" s="20" t="s">
        <v>651</v>
      </c>
      <c r="D39" s="20" t="s">
        <v>719</v>
      </c>
      <c r="E39" s="20" t="s">
        <v>2342</v>
      </c>
      <c r="F39" s="20" t="s">
        <v>2343</v>
      </c>
      <c r="G39" s="21">
        <v>18.8</v>
      </c>
      <c r="H39" s="16">
        <v>10</v>
      </c>
      <c r="I39" s="16">
        <v>4</v>
      </c>
      <c r="J3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112.80000000000001</v>
      </c>
      <c r="K39" s="22"/>
      <c r="L39" s="23"/>
      <c r="M39" s="23">
        <f>SUM(Tabela174681012142230322681619252731333624210121416182426283038402481012141620222628303234362426810121424610122426244262628262681026286236681012[[#This Row],[Saldo no cartão]:[Recarga Pendente]])</f>
        <v>0</v>
      </c>
      <c r="N39" s="19">
        <f>Tabela174681012142230322681619252731333624210121416182426283038402481012141620222628303234362426810121424610122426244262628262681026286236681012[[#This Row],[Uso diário]]*2</f>
        <v>37.6</v>
      </c>
      <c r="O39" s="19">
        <f>Tabela174681012142230322681619252731333624210121416182426283038402481012141620222628303234362426810121424610122426244262628262681026286236681012[[#This Row],[Total Acumulado]]-P39</f>
        <v>-94</v>
      </c>
      <c r="P39" s="48">
        <f>Tabela174681012142230322681619252731333624210121416182426283038402481012141620222628303234362426810121424610122426244262628262681026286236681012[[#This Row],[Uso diário]]*5</f>
        <v>94</v>
      </c>
      <c r="Q3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3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112.80000000000001</v>
      </c>
      <c r="S3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39" s="25">
        <v>4</v>
      </c>
    </row>
    <row r="40" spans="1:20" s="26" customFormat="1" x14ac:dyDescent="0.25">
      <c r="A40" s="16">
        <v>228657</v>
      </c>
      <c r="B40" s="30" t="s">
        <v>226</v>
      </c>
      <c r="C40" s="20" t="s">
        <v>651</v>
      </c>
      <c r="D40" s="20" t="s">
        <v>719</v>
      </c>
      <c r="E40" s="20" t="s">
        <v>2344</v>
      </c>
      <c r="F40" s="20" t="s">
        <v>2345</v>
      </c>
      <c r="G40" s="21">
        <v>13.4</v>
      </c>
      <c r="H40" s="16">
        <v>16</v>
      </c>
      <c r="I40" s="16">
        <v>3</v>
      </c>
      <c r="J4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174.20000000000002</v>
      </c>
      <c r="K40" s="22"/>
      <c r="L40" s="23"/>
      <c r="M40" s="23">
        <f>SUM(Tabela174681012142230322681619252731333624210121416182426283038402481012141620222628303234362426810121424610122426244262628262681026286236681012[[#This Row],[Saldo no cartão]:[Recarga Pendente]])</f>
        <v>0</v>
      </c>
      <c r="N40" s="19">
        <f>Tabela174681012142230322681619252731333624210121416182426283038402481012141620222628303234362426810121424610122426244262628262681026286236681012[[#This Row],[Uso diário]]*2</f>
        <v>26.8</v>
      </c>
      <c r="O40" s="19">
        <f>Tabela174681012142230322681619252731333624210121416182426283038402481012141620222628303234362426810121424610122426244262628262681026286236681012[[#This Row],[Total Acumulado]]-P40</f>
        <v>-67</v>
      </c>
      <c r="P40" s="48">
        <f>Tabela174681012142230322681619252731333624210121416182426283038402481012141620222628303234362426810121424610122426244262628262681026286236681012[[#This Row],[Uso diário]]*5</f>
        <v>67</v>
      </c>
      <c r="Q4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174.20000000000002</v>
      </c>
      <c r="S4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0" s="25">
        <v>4</v>
      </c>
    </row>
    <row r="41" spans="1:20" s="26" customFormat="1" x14ac:dyDescent="0.25">
      <c r="A41" s="16">
        <v>229142</v>
      </c>
      <c r="B41" s="30" t="s">
        <v>227</v>
      </c>
      <c r="C41" s="20" t="s">
        <v>651</v>
      </c>
      <c r="D41" s="20" t="s">
        <v>719</v>
      </c>
      <c r="E41" s="20" t="s">
        <v>2346</v>
      </c>
      <c r="F41" s="20" t="s">
        <v>2347</v>
      </c>
      <c r="G41" s="21">
        <v>13.4</v>
      </c>
      <c r="H41" s="16">
        <v>16</v>
      </c>
      <c r="I41" s="16"/>
      <c r="J4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41" s="22"/>
      <c r="L41" s="23"/>
      <c r="M41" s="23">
        <f>SUM(Tabela174681012142230322681619252731333624210121416182426283038402481012141620222628303234362426810121424610122426244262628262681026286236681012[[#This Row],[Saldo no cartão]:[Recarga Pendente]])</f>
        <v>0</v>
      </c>
      <c r="N41" s="19">
        <f>Tabela174681012142230322681619252731333624210121416182426283038402481012141620222628303234362426810121424610122426244262628262681026286236681012[[#This Row],[Uso diário]]*2</f>
        <v>26.8</v>
      </c>
      <c r="O41" s="19">
        <f>Tabela174681012142230322681619252731333624210121416182426283038402481012141620222628303234362426810121424610122426244262628262681026286236681012[[#This Row],[Total Acumulado]]-P41</f>
        <v>-67</v>
      </c>
      <c r="P41" s="48">
        <f>Tabela174681012142230322681619252731333624210121416182426283038402481012141620222628303234362426810121424610122426244262628262681026286236681012[[#This Row],[Uso diário]]*5</f>
        <v>67</v>
      </c>
      <c r="Q4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4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1" s="25">
        <v>4</v>
      </c>
    </row>
    <row r="42" spans="1:20" s="26" customFormat="1" x14ac:dyDescent="0.25">
      <c r="A42" s="16">
        <v>229166</v>
      </c>
      <c r="B42" s="30" t="s">
        <v>228</v>
      </c>
      <c r="C42" s="20" t="s">
        <v>651</v>
      </c>
      <c r="D42" s="20" t="s">
        <v>719</v>
      </c>
      <c r="E42" s="20" t="s">
        <v>2348</v>
      </c>
      <c r="F42" s="20" t="s">
        <v>2349</v>
      </c>
      <c r="G42" s="21">
        <v>13.4</v>
      </c>
      <c r="H42" s="16">
        <v>16</v>
      </c>
      <c r="I42" s="16"/>
      <c r="J4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42" s="22"/>
      <c r="L42" s="23"/>
      <c r="M42" s="23">
        <f>SUM(Tabela174681012142230322681619252731333624210121416182426283038402481012141620222628303234362426810121424610122426244262628262681026286236681012[[#This Row],[Saldo no cartão]:[Recarga Pendente]])</f>
        <v>0</v>
      </c>
      <c r="N42" s="19">
        <f>Tabela174681012142230322681619252731333624210121416182426283038402481012141620222628303234362426810121424610122426244262628262681026286236681012[[#This Row],[Uso diário]]*2</f>
        <v>26.8</v>
      </c>
      <c r="O42" s="19">
        <f>Tabela174681012142230322681619252731333624210121416182426283038402481012141620222628303234362426810121424610122426244262628262681026286236681012[[#This Row],[Total Acumulado]]-P42</f>
        <v>-67</v>
      </c>
      <c r="P42" s="48">
        <f>Tabela174681012142230322681619252731333624210121416182426283038402481012141620222628303234362426810121424610122426244262628262681026286236681012[[#This Row],[Uso diário]]*5</f>
        <v>67</v>
      </c>
      <c r="Q4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4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2" s="25">
        <v>4</v>
      </c>
    </row>
    <row r="43" spans="1:20" s="26" customFormat="1" x14ac:dyDescent="0.25">
      <c r="A43" s="16">
        <v>229250</v>
      </c>
      <c r="B43" s="30" t="s">
        <v>1059</v>
      </c>
      <c r="C43" s="20" t="s">
        <v>651</v>
      </c>
      <c r="D43" s="20" t="s">
        <v>719</v>
      </c>
      <c r="E43" s="20" t="s">
        <v>2350</v>
      </c>
      <c r="F43" s="20" t="s">
        <v>2351</v>
      </c>
      <c r="G43" s="21">
        <v>18.8</v>
      </c>
      <c r="H43" s="16">
        <v>16</v>
      </c>
      <c r="I43" s="16"/>
      <c r="J4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43" s="22"/>
      <c r="L43" s="23"/>
      <c r="M43" s="23">
        <f>SUM(Tabela174681012142230322681619252731333624210121416182426283038402481012141620222628303234362426810121424610122426244262628262681026286236681012[[#This Row],[Saldo no cartão]:[Recarga Pendente]])</f>
        <v>0</v>
      </c>
      <c r="N43" s="19">
        <f>Tabela174681012142230322681619252731333624210121416182426283038402481012141620222628303234362426810121424610122426244262628262681026286236681012[[#This Row],[Uso diário]]*2</f>
        <v>37.6</v>
      </c>
      <c r="O43" s="19">
        <f>Tabela174681012142230322681619252731333624210121416182426283038402481012141620222628303234362426810121424610122426244262628262681026286236681012[[#This Row],[Total Acumulado]]-P43</f>
        <v>-94</v>
      </c>
      <c r="P43" s="48">
        <f>Tabela174681012142230322681619252731333624210121416182426283038402481012141620222628303234362426810121424610122426244262628262681026286236681012[[#This Row],[Uso diário]]*5</f>
        <v>94</v>
      </c>
      <c r="Q4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4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3" s="25">
        <v>4</v>
      </c>
    </row>
    <row r="44" spans="1:20" s="26" customFormat="1" x14ac:dyDescent="0.25">
      <c r="A44" s="16">
        <v>229408</v>
      </c>
      <c r="B44" s="30" t="s">
        <v>229</v>
      </c>
      <c r="C44" s="20" t="s">
        <v>651</v>
      </c>
      <c r="D44" s="20" t="s">
        <v>719</v>
      </c>
      <c r="E44" s="20" t="s">
        <v>2352</v>
      </c>
      <c r="F44" s="20" t="s">
        <v>2353</v>
      </c>
      <c r="G44" s="21">
        <v>13.4</v>
      </c>
      <c r="H44" s="16">
        <v>16</v>
      </c>
      <c r="I44" s="16"/>
      <c r="J4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44" s="22"/>
      <c r="L44" s="23"/>
      <c r="M44" s="23">
        <f>SUM(Tabela174681012142230322681619252731333624210121416182426283038402481012141620222628303234362426810121424610122426244262628262681026286236681012[[#This Row],[Saldo no cartão]:[Recarga Pendente]])</f>
        <v>0</v>
      </c>
      <c r="N44" s="19">
        <f>Tabela174681012142230322681619252731333624210121416182426283038402481012141620222628303234362426810121424610122426244262628262681026286236681012[[#This Row],[Uso diário]]*2</f>
        <v>26.8</v>
      </c>
      <c r="O44" s="19">
        <f>Tabela174681012142230322681619252731333624210121416182426283038402481012141620222628303234362426810121424610122426244262628262681026286236681012[[#This Row],[Total Acumulado]]-P44</f>
        <v>-67</v>
      </c>
      <c r="P44" s="48">
        <f>Tabela174681012142230322681619252731333624210121416182426283038402481012141620222628303234362426810121424610122426244262628262681026286236681012[[#This Row],[Uso diário]]*5</f>
        <v>67</v>
      </c>
      <c r="Q4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4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4" s="25">
        <v>4</v>
      </c>
    </row>
    <row r="45" spans="1:20" s="26" customFormat="1" x14ac:dyDescent="0.25">
      <c r="A45" s="16">
        <v>229434</v>
      </c>
      <c r="B45" s="30" t="s">
        <v>230</v>
      </c>
      <c r="C45" s="20" t="s">
        <v>651</v>
      </c>
      <c r="D45" s="20" t="s">
        <v>719</v>
      </c>
      <c r="E45" s="20" t="s">
        <v>2354</v>
      </c>
      <c r="F45" s="20" t="s">
        <v>2355</v>
      </c>
      <c r="G45" s="21">
        <v>13.4</v>
      </c>
      <c r="H45" s="16">
        <v>16</v>
      </c>
      <c r="I45" s="16">
        <v>1</v>
      </c>
      <c r="J4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201</v>
      </c>
      <c r="K45" s="22"/>
      <c r="L45" s="23"/>
      <c r="M45" s="23">
        <f>SUM(Tabela174681012142230322681619252731333624210121416182426283038402481012141620222628303234362426810121424610122426244262628262681026286236681012[[#This Row],[Saldo no cartão]:[Recarga Pendente]])</f>
        <v>0</v>
      </c>
      <c r="N45" s="19">
        <f>Tabela174681012142230322681619252731333624210121416182426283038402481012141620222628303234362426810121424610122426244262628262681026286236681012[[#This Row],[Uso diário]]*2</f>
        <v>26.8</v>
      </c>
      <c r="O45" s="19">
        <f>Tabela174681012142230322681619252731333624210121416182426283038402481012141620222628303234362426810121424610122426244262628262681026286236681012[[#This Row],[Total Acumulado]]-P45</f>
        <v>-67</v>
      </c>
      <c r="P45" s="48">
        <f>Tabela174681012142230322681619252731333624210121416182426283038402481012141620222628303234362426810121424610122426244262628262681026286236681012[[#This Row],[Uso diário]]*5</f>
        <v>67</v>
      </c>
      <c r="Q4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201</v>
      </c>
      <c r="S4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5" s="25">
        <v>4</v>
      </c>
    </row>
    <row r="46" spans="1:20" s="26" customFormat="1" x14ac:dyDescent="0.25">
      <c r="A46" s="16">
        <v>229510</v>
      </c>
      <c r="B46" s="30" t="s">
        <v>231</v>
      </c>
      <c r="C46" s="20" t="s">
        <v>651</v>
      </c>
      <c r="D46" s="20" t="s">
        <v>719</v>
      </c>
      <c r="E46" s="20" t="s">
        <v>2356</v>
      </c>
      <c r="F46" s="20" t="s">
        <v>2357</v>
      </c>
      <c r="G46" s="21">
        <v>18.8</v>
      </c>
      <c r="H46" s="16">
        <v>16</v>
      </c>
      <c r="I46" s="16"/>
      <c r="J4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46" s="22"/>
      <c r="L46" s="23"/>
      <c r="M46" s="23">
        <f>SUM(Tabela174681012142230322681619252731333624210121416182426283038402481012141620222628303234362426810121424610122426244262628262681026286236681012[[#This Row],[Saldo no cartão]:[Recarga Pendente]])</f>
        <v>0</v>
      </c>
      <c r="N46" s="19">
        <f>Tabela174681012142230322681619252731333624210121416182426283038402481012141620222628303234362426810121424610122426244262628262681026286236681012[[#This Row],[Uso diário]]*2</f>
        <v>37.6</v>
      </c>
      <c r="O46" s="19">
        <f>Tabela174681012142230322681619252731333624210121416182426283038402481012141620222628303234362426810121424610122426244262628262681026286236681012[[#This Row],[Total Acumulado]]-P46</f>
        <v>-94</v>
      </c>
      <c r="P46" s="48">
        <f>Tabela174681012142230322681619252731333624210121416182426283038402481012141620222628303234362426810121424610122426244262628262681026286236681012[[#This Row],[Uso diário]]*5</f>
        <v>94</v>
      </c>
      <c r="Q4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4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6" s="25">
        <v>4</v>
      </c>
    </row>
    <row r="47" spans="1:20" s="26" customFormat="1" x14ac:dyDescent="0.25">
      <c r="A47" s="16">
        <v>229531</v>
      </c>
      <c r="B47" s="30" t="s">
        <v>232</v>
      </c>
      <c r="C47" s="20" t="s">
        <v>651</v>
      </c>
      <c r="D47" s="20" t="s">
        <v>719</v>
      </c>
      <c r="E47" s="20" t="s">
        <v>2358</v>
      </c>
      <c r="F47" s="20" t="s">
        <v>2359</v>
      </c>
      <c r="G47" s="21">
        <v>13.4</v>
      </c>
      <c r="H47" s="16">
        <v>10</v>
      </c>
      <c r="I47" s="16">
        <v>1</v>
      </c>
      <c r="J4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120.60000000000001</v>
      </c>
      <c r="K47" s="22"/>
      <c r="L47" s="23"/>
      <c r="M47" s="23">
        <f>SUM(Tabela174681012142230322681619252731333624210121416182426283038402481012141620222628303234362426810121424610122426244262628262681026286236681012[[#This Row],[Saldo no cartão]:[Recarga Pendente]])</f>
        <v>0</v>
      </c>
      <c r="N47" s="19">
        <f>Tabela174681012142230322681619252731333624210121416182426283038402481012141620222628303234362426810121424610122426244262628262681026286236681012[[#This Row],[Uso diário]]*2</f>
        <v>26.8</v>
      </c>
      <c r="O47" s="19">
        <f>Tabela174681012142230322681619252731333624210121416182426283038402481012141620222628303234362426810121424610122426244262628262681026286236681012[[#This Row],[Total Acumulado]]-P47</f>
        <v>-67</v>
      </c>
      <c r="P47" s="48">
        <f>Tabela174681012142230322681619252731333624210121416182426283038402481012141620222628303234362426810121424610122426244262628262681026286236681012[[#This Row],[Uso diário]]*5</f>
        <v>67</v>
      </c>
      <c r="Q4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120.60000000000001</v>
      </c>
      <c r="S4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7" s="25">
        <v>4</v>
      </c>
    </row>
    <row r="48" spans="1:20" s="26" customFormat="1" x14ac:dyDescent="0.25">
      <c r="A48" s="16">
        <v>229591</v>
      </c>
      <c r="B48" s="30" t="s">
        <v>234</v>
      </c>
      <c r="C48" s="20" t="s">
        <v>651</v>
      </c>
      <c r="D48" s="20" t="s">
        <v>719</v>
      </c>
      <c r="E48" s="20" t="s">
        <v>2360</v>
      </c>
      <c r="F48" s="20" t="s">
        <v>2361</v>
      </c>
      <c r="G48" s="21">
        <v>18.8</v>
      </c>
      <c r="H48" s="16">
        <v>16</v>
      </c>
      <c r="I48" s="16"/>
      <c r="J4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48" s="22"/>
      <c r="L48" s="23"/>
      <c r="M48" s="23">
        <f>SUM(Tabela174681012142230322681619252731333624210121416182426283038402481012141620222628303234362426810121424610122426244262628262681026286236681012[[#This Row],[Saldo no cartão]:[Recarga Pendente]])</f>
        <v>0</v>
      </c>
      <c r="N48" s="19">
        <f>Tabela174681012142230322681619252731333624210121416182426283038402481012141620222628303234362426810121424610122426244262628262681026286236681012[[#This Row],[Uso diário]]*2</f>
        <v>37.6</v>
      </c>
      <c r="O48" s="19">
        <f>Tabela174681012142230322681619252731333624210121416182426283038402481012141620222628303234362426810121424610122426244262628262681026286236681012[[#This Row],[Total Acumulado]]-P48</f>
        <v>-94</v>
      </c>
      <c r="P48" s="48">
        <f>Tabela174681012142230322681619252731333624210121416182426283038402481012141620222628303234362426810121424610122426244262628262681026286236681012[[#This Row],[Uso diário]]*5</f>
        <v>94</v>
      </c>
      <c r="Q4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4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8" s="25">
        <v>4</v>
      </c>
    </row>
    <row r="49" spans="1:20" s="26" customFormat="1" x14ac:dyDescent="0.25">
      <c r="A49" s="16">
        <v>229593</v>
      </c>
      <c r="B49" s="30" t="s">
        <v>1436</v>
      </c>
      <c r="C49" s="20" t="s">
        <v>651</v>
      </c>
      <c r="D49" s="20" t="s">
        <v>717</v>
      </c>
      <c r="E49" s="20" t="s">
        <v>2362</v>
      </c>
      <c r="F49" s="20" t="s">
        <v>2363</v>
      </c>
      <c r="G49" s="21">
        <v>13.4</v>
      </c>
      <c r="H49" s="16">
        <v>16</v>
      </c>
      <c r="I49" s="16"/>
      <c r="J4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49" s="22"/>
      <c r="L49" s="23"/>
      <c r="M49" s="23">
        <f>SUM(Tabela174681012142230322681619252731333624210121416182426283038402481012141620222628303234362426810121424610122426244262628262681026286236681012[[#This Row],[Saldo no cartão]:[Recarga Pendente]])</f>
        <v>0</v>
      </c>
      <c r="N49" s="19">
        <f>Tabela174681012142230322681619252731333624210121416182426283038402481012141620222628303234362426810121424610122426244262628262681026286236681012[[#This Row],[Uso diário]]*2</f>
        <v>26.8</v>
      </c>
      <c r="O49" s="19">
        <f>Tabela174681012142230322681619252731333624210121416182426283038402481012141620222628303234362426810121424610122426244262628262681026286236681012[[#This Row],[Total Acumulado]]-P49</f>
        <v>-67</v>
      </c>
      <c r="P49" s="48">
        <f>Tabela174681012142230322681619252731333624210121416182426283038402481012141620222628303234362426810121424610122426244262628262681026286236681012[[#This Row],[Uso diário]]*5</f>
        <v>67</v>
      </c>
      <c r="Q4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4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4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49" s="25">
        <v>4</v>
      </c>
    </row>
    <row r="50" spans="1:20" s="26" customFormat="1" x14ac:dyDescent="0.25">
      <c r="A50" s="16">
        <v>230791</v>
      </c>
      <c r="B50" s="30" t="s">
        <v>235</v>
      </c>
      <c r="C50" s="20" t="s">
        <v>651</v>
      </c>
      <c r="D50" s="20" t="s">
        <v>716</v>
      </c>
      <c r="E50" s="20" t="s">
        <v>2364</v>
      </c>
      <c r="F50" s="20" t="s">
        <v>2365</v>
      </c>
      <c r="G50" s="21">
        <v>13.4</v>
      </c>
      <c r="H50" s="16">
        <v>16</v>
      </c>
      <c r="I50" s="16"/>
      <c r="J5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0" s="22"/>
      <c r="L50" s="23"/>
      <c r="M50" s="23">
        <f>SUM(Tabela174681012142230322681619252731333624210121416182426283038402481012141620222628303234362426810121424610122426244262628262681026286236681012[[#This Row],[Saldo no cartão]:[Recarga Pendente]])</f>
        <v>0</v>
      </c>
      <c r="N50" s="19">
        <f>Tabela174681012142230322681619252731333624210121416182426283038402481012141620222628303234362426810121424610122426244262628262681026286236681012[[#This Row],[Uso diário]]*2</f>
        <v>26.8</v>
      </c>
      <c r="O50" s="19">
        <f>Tabela174681012142230322681619252731333624210121416182426283038402481012141620222628303234362426810121424610122426244262628262681026286236681012[[#This Row],[Total Acumulado]]-P50</f>
        <v>-67</v>
      </c>
      <c r="P50" s="48">
        <f>Tabela174681012142230322681619252731333624210121416182426283038402481012141620222628303234362426810121424610122426244262628262681026286236681012[[#This Row],[Uso diário]]*5</f>
        <v>67</v>
      </c>
      <c r="Q5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0" s="25">
        <v>4</v>
      </c>
    </row>
    <row r="51" spans="1:20" s="26" customFormat="1" x14ac:dyDescent="0.25">
      <c r="A51" s="16">
        <v>230883</v>
      </c>
      <c r="B51" s="30" t="s">
        <v>237</v>
      </c>
      <c r="C51" s="20" t="s">
        <v>651</v>
      </c>
      <c r="D51" s="20" t="s">
        <v>719</v>
      </c>
      <c r="E51" s="20" t="s">
        <v>2366</v>
      </c>
      <c r="F51" s="20" t="s">
        <v>2367</v>
      </c>
      <c r="G51" s="21">
        <v>13.4</v>
      </c>
      <c r="H51" s="16">
        <v>16</v>
      </c>
      <c r="I51" s="16"/>
      <c r="J5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1" s="22"/>
      <c r="L51" s="23"/>
      <c r="M51" s="23">
        <f>SUM(Tabela174681012142230322681619252731333624210121416182426283038402481012141620222628303234362426810121424610122426244262628262681026286236681012[[#This Row],[Saldo no cartão]:[Recarga Pendente]])</f>
        <v>0</v>
      </c>
      <c r="N51" s="19">
        <f>Tabela174681012142230322681619252731333624210121416182426283038402481012141620222628303234362426810121424610122426244262628262681026286236681012[[#This Row],[Uso diário]]*2</f>
        <v>26.8</v>
      </c>
      <c r="O51" s="19">
        <f>Tabela174681012142230322681619252731333624210121416182426283038402481012141620222628303234362426810121424610122426244262628262681026286236681012[[#This Row],[Total Acumulado]]-P51</f>
        <v>-67</v>
      </c>
      <c r="P51" s="48">
        <f>Tabela174681012142230322681619252731333624210121416182426283038402481012141620222628303234362426810121424610122426244262628262681026286236681012[[#This Row],[Uso diário]]*5</f>
        <v>67</v>
      </c>
      <c r="Q5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1" s="25">
        <v>4</v>
      </c>
    </row>
    <row r="52" spans="1:20" s="26" customFormat="1" x14ac:dyDescent="0.25">
      <c r="A52" s="16">
        <v>230884</v>
      </c>
      <c r="B52" s="30" t="s">
        <v>238</v>
      </c>
      <c r="C52" s="20" t="s">
        <v>651</v>
      </c>
      <c r="D52" s="20" t="s">
        <v>719</v>
      </c>
      <c r="E52" s="20" t="s">
        <v>2368</v>
      </c>
      <c r="F52" s="20" t="s">
        <v>2369</v>
      </c>
      <c r="G52" s="21">
        <v>18.8</v>
      </c>
      <c r="H52" s="16">
        <v>16</v>
      </c>
      <c r="I52" s="16"/>
      <c r="J5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52" s="22"/>
      <c r="L52" s="23"/>
      <c r="M52" s="23">
        <f>SUM(Tabela174681012142230322681619252731333624210121416182426283038402481012141620222628303234362426810121424610122426244262628262681026286236681012[[#This Row],[Saldo no cartão]:[Recarga Pendente]])</f>
        <v>0</v>
      </c>
      <c r="N52" s="19">
        <f>Tabela174681012142230322681619252731333624210121416182426283038402481012141620222628303234362426810121424610122426244262628262681026286236681012[[#This Row],[Uso diário]]*2</f>
        <v>37.6</v>
      </c>
      <c r="O52" s="19">
        <f>Tabela174681012142230322681619252731333624210121416182426283038402481012141620222628303234362426810121424610122426244262628262681026286236681012[[#This Row],[Total Acumulado]]-P52</f>
        <v>-94</v>
      </c>
      <c r="P52" s="48">
        <f>Tabela174681012142230322681619252731333624210121416182426283038402481012141620222628303234362426810121424610122426244262628262681026286236681012[[#This Row],[Uso diário]]*5</f>
        <v>94</v>
      </c>
      <c r="Q5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5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2" s="25">
        <v>4</v>
      </c>
    </row>
    <row r="53" spans="1:20" s="26" customFormat="1" x14ac:dyDescent="0.25">
      <c r="A53" s="16">
        <v>230919</v>
      </c>
      <c r="B53" s="30" t="s">
        <v>1437</v>
      </c>
      <c r="C53" s="20" t="s">
        <v>651</v>
      </c>
      <c r="D53" s="20" t="s">
        <v>719</v>
      </c>
      <c r="E53" s="20" t="s">
        <v>2370</v>
      </c>
      <c r="F53" s="20" t="s">
        <v>2371</v>
      </c>
      <c r="G53" s="21">
        <v>13.4</v>
      </c>
      <c r="H53" s="16">
        <v>16</v>
      </c>
      <c r="I53" s="16"/>
      <c r="J5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3" s="22"/>
      <c r="L53" s="23"/>
      <c r="M53" s="23">
        <f>SUM(Tabela174681012142230322681619252731333624210121416182426283038402481012141620222628303234362426810121424610122426244262628262681026286236681012[[#This Row],[Saldo no cartão]:[Recarga Pendente]])</f>
        <v>0</v>
      </c>
      <c r="N53" s="19">
        <f>Tabela174681012142230322681619252731333624210121416182426283038402481012141620222628303234362426810121424610122426244262628262681026286236681012[[#This Row],[Uso diário]]*2</f>
        <v>26.8</v>
      </c>
      <c r="O53" s="19">
        <f>Tabela174681012142230322681619252731333624210121416182426283038402481012141620222628303234362426810121424610122426244262628262681026286236681012[[#This Row],[Total Acumulado]]-P53</f>
        <v>-67</v>
      </c>
      <c r="P53" s="48">
        <f>Tabela174681012142230322681619252731333624210121416182426283038402481012141620222628303234362426810121424610122426244262628262681026286236681012[[#This Row],[Uso diário]]*5</f>
        <v>67</v>
      </c>
      <c r="Q5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3" s="25">
        <v>4</v>
      </c>
    </row>
    <row r="54" spans="1:20" s="26" customFormat="1" x14ac:dyDescent="0.25">
      <c r="A54" s="16">
        <v>231059</v>
      </c>
      <c r="B54" s="30" t="s">
        <v>765</v>
      </c>
      <c r="C54" s="20" t="s">
        <v>651</v>
      </c>
      <c r="D54" s="20" t="s">
        <v>719</v>
      </c>
      <c r="E54" s="20" t="s">
        <v>2372</v>
      </c>
      <c r="F54" s="20" t="s">
        <v>2373</v>
      </c>
      <c r="G54" s="21">
        <v>18.8</v>
      </c>
      <c r="H54" s="16">
        <v>16</v>
      </c>
      <c r="I54" s="16">
        <v>7</v>
      </c>
      <c r="J5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169.20000000000002</v>
      </c>
      <c r="K54" s="22"/>
      <c r="L54" s="23"/>
      <c r="M54" s="23">
        <f>SUM(Tabela174681012142230322681619252731333624210121416182426283038402481012141620222628303234362426810121424610122426244262628262681026286236681012[[#This Row],[Saldo no cartão]:[Recarga Pendente]])</f>
        <v>0</v>
      </c>
      <c r="N54" s="19">
        <f>Tabela174681012142230322681619252731333624210121416182426283038402481012141620222628303234362426810121424610122426244262628262681026286236681012[[#This Row],[Uso diário]]*2</f>
        <v>37.6</v>
      </c>
      <c r="O54" s="19">
        <f>Tabela174681012142230322681619252731333624210121416182426283038402481012141620222628303234362426810121424610122426244262628262681026286236681012[[#This Row],[Total Acumulado]]-P54</f>
        <v>-94</v>
      </c>
      <c r="P54" s="48">
        <f>Tabela174681012142230322681619252731333624210121416182426283038402481012141620222628303234362426810121424610122426244262628262681026286236681012[[#This Row],[Uso diário]]*5</f>
        <v>94</v>
      </c>
      <c r="Q5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169.20000000000002</v>
      </c>
      <c r="S5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4" s="25">
        <v>4</v>
      </c>
    </row>
    <row r="55" spans="1:20" s="26" customFormat="1" x14ac:dyDescent="0.25">
      <c r="A55" s="16">
        <v>231060</v>
      </c>
      <c r="B55" s="30" t="s">
        <v>1438</v>
      </c>
      <c r="C55" s="20" t="s">
        <v>651</v>
      </c>
      <c r="D55" s="20" t="s">
        <v>716</v>
      </c>
      <c r="E55" s="20" t="s">
        <v>2374</v>
      </c>
      <c r="F55" s="20" t="s">
        <v>2375</v>
      </c>
      <c r="G55" s="21">
        <v>13.4</v>
      </c>
      <c r="H55" s="16">
        <v>16</v>
      </c>
      <c r="I55" s="16"/>
      <c r="J5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5" s="22"/>
      <c r="L55" s="23"/>
      <c r="M55" s="23">
        <f>SUM(Tabela174681012142230322681619252731333624210121416182426283038402481012141620222628303234362426810121424610122426244262628262681026286236681012[[#This Row],[Saldo no cartão]:[Recarga Pendente]])</f>
        <v>0</v>
      </c>
      <c r="N55" s="19">
        <f>Tabela174681012142230322681619252731333624210121416182426283038402481012141620222628303234362426810121424610122426244262628262681026286236681012[[#This Row],[Uso diário]]*2</f>
        <v>26.8</v>
      </c>
      <c r="O55" s="19">
        <f>Tabela174681012142230322681619252731333624210121416182426283038402481012141620222628303234362426810121424610122426244262628262681026286236681012[[#This Row],[Total Acumulado]]-P55</f>
        <v>-67</v>
      </c>
      <c r="P55" s="48">
        <f>Tabela174681012142230322681619252731333624210121416182426283038402481012141620222628303234362426810121424610122426244262628262681026286236681012[[#This Row],[Uso diário]]*5</f>
        <v>67</v>
      </c>
      <c r="Q5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5" s="25">
        <v>4</v>
      </c>
    </row>
    <row r="56" spans="1:20" s="26" customFormat="1" x14ac:dyDescent="0.25">
      <c r="A56" s="16">
        <v>231104</v>
      </c>
      <c r="B56" s="30" t="s">
        <v>766</v>
      </c>
      <c r="C56" s="20" t="s">
        <v>651</v>
      </c>
      <c r="D56" s="20" t="s">
        <v>719</v>
      </c>
      <c r="E56" s="20" t="s">
        <v>2376</v>
      </c>
      <c r="F56" s="20" t="s">
        <v>2377</v>
      </c>
      <c r="G56" s="21">
        <v>18.8</v>
      </c>
      <c r="H56" s="16">
        <v>16</v>
      </c>
      <c r="I56" s="16"/>
      <c r="J5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56" s="22"/>
      <c r="L56" s="23"/>
      <c r="M56" s="23">
        <f>SUM(Tabela174681012142230322681619252731333624210121416182426283038402481012141620222628303234362426810121424610122426244262628262681026286236681012[[#This Row],[Saldo no cartão]:[Recarga Pendente]])</f>
        <v>0</v>
      </c>
      <c r="N56" s="19">
        <f>Tabela174681012142230322681619252731333624210121416182426283038402481012141620222628303234362426810121424610122426244262628262681026286236681012[[#This Row],[Uso diário]]*2</f>
        <v>37.6</v>
      </c>
      <c r="O56" s="19">
        <f>Tabela174681012142230322681619252731333624210121416182426283038402481012141620222628303234362426810121424610122426244262628262681026286236681012[[#This Row],[Total Acumulado]]-P56</f>
        <v>-94</v>
      </c>
      <c r="P56" s="48">
        <f>Tabela174681012142230322681619252731333624210121416182426283038402481012141620222628303234362426810121424610122426244262628262681026286236681012[[#This Row],[Uso diário]]*5</f>
        <v>94</v>
      </c>
      <c r="Q5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5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6" s="25">
        <v>4</v>
      </c>
    </row>
    <row r="57" spans="1:20" s="26" customFormat="1" x14ac:dyDescent="0.25">
      <c r="A57" s="16">
        <v>231105</v>
      </c>
      <c r="B57" s="30" t="s">
        <v>767</v>
      </c>
      <c r="C57" s="20" t="s">
        <v>651</v>
      </c>
      <c r="D57" s="20" t="s">
        <v>716</v>
      </c>
      <c r="E57" s="20" t="s">
        <v>2378</v>
      </c>
      <c r="F57" s="20" t="s">
        <v>2379</v>
      </c>
      <c r="G57" s="21">
        <v>13.4</v>
      </c>
      <c r="H57" s="16">
        <v>16</v>
      </c>
      <c r="I57" s="16"/>
      <c r="J5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7" s="22"/>
      <c r="L57" s="23"/>
      <c r="M57" s="23">
        <f>SUM(Tabela174681012142230322681619252731333624210121416182426283038402481012141620222628303234362426810121424610122426244262628262681026286236681012[[#This Row],[Saldo no cartão]:[Recarga Pendente]])</f>
        <v>0</v>
      </c>
      <c r="N57" s="19">
        <f>Tabela174681012142230322681619252731333624210121416182426283038402481012141620222628303234362426810121424610122426244262628262681026286236681012[[#This Row],[Uso diário]]*2</f>
        <v>26.8</v>
      </c>
      <c r="O57" s="19">
        <f>Tabela174681012142230322681619252731333624210121416182426283038402481012141620222628303234362426810121424610122426244262628262681026286236681012[[#This Row],[Total Acumulado]]-P57</f>
        <v>-67</v>
      </c>
      <c r="P57" s="48">
        <f>Tabela174681012142230322681619252731333624210121416182426283038402481012141620222628303234362426810121424610122426244262628262681026286236681012[[#This Row],[Uso diário]]*5</f>
        <v>67</v>
      </c>
      <c r="Q5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7" s="25">
        <v>4</v>
      </c>
    </row>
    <row r="58" spans="1:20" s="26" customFormat="1" x14ac:dyDescent="0.25">
      <c r="A58" s="16">
        <v>231148</v>
      </c>
      <c r="B58" s="30" t="s">
        <v>768</v>
      </c>
      <c r="C58" s="20" t="s">
        <v>651</v>
      </c>
      <c r="D58" s="20" t="s">
        <v>719</v>
      </c>
      <c r="E58" s="20" t="s">
        <v>2380</v>
      </c>
      <c r="F58" s="20" t="s">
        <v>2381</v>
      </c>
      <c r="G58" s="21">
        <v>13.4</v>
      </c>
      <c r="H58" s="16">
        <v>16</v>
      </c>
      <c r="I58" s="16"/>
      <c r="J5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8" s="22"/>
      <c r="L58" s="23"/>
      <c r="M58" s="23">
        <f>SUM(Tabela174681012142230322681619252731333624210121416182426283038402481012141620222628303234362426810121424610122426244262628262681026286236681012[[#This Row],[Saldo no cartão]:[Recarga Pendente]])</f>
        <v>0</v>
      </c>
      <c r="N58" s="19">
        <f>Tabela174681012142230322681619252731333624210121416182426283038402481012141620222628303234362426810121424610122426244262628262681026286236681012[[#This Row],[Uso diário]]*2</f>
        <v>26.8</v>
      </c>
      <c r="O58" s="19">
        <f>Tabela174681012142230322681619252731333624210121416182426283038402481012141620222628303234362426810121424610122426244262628262681026286236681012[[#This Row],[Total Acumulado]]-P58</f>
        <v>-67</v>
      </c>
      <c r="P58" s="48">
        <f>Tabela174681012142230322681619252731333624210121416182426283038402481012141620222628303234362426810121424610122426244262628262681026286236681012[[#This Row],[Uso diário]]*5</f>
        <v>67</v>
      </c>
      <c r="Q5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8" s="25">
        <v>4</v>
      </c>
    </row>
    <row r="59" spans="1:20" s="26" customFormat="1" x14ac:dyDescent="0.25">
      <c r="A59" s="16">
        <v>231327</v>
      </c>
      <c r="B59" s="30" t="s">
        <v>787</v>
      </c>
      <c r="C59" s="20" t="s">
        <v>651</v>
      </c>
      <c r="D59" s="20" t="s">
        <v>719</v>
      </c>
      <c r="E59" s="20" t="s">
        <v>2382</v>
      </c>
      <c r="F59" s="20" t="s">
        <v>2383</v>
      </c>
      <c r="G59" s="21">
        <v>13.4</v>
      </c>
      <c r="H59" s="16">
        <v>16</v>
      </c>
      <c r="I59" s="16"/>
      <c r="J5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59" s="22"/>
      <c r="L59" s="23"/>
      <c r="M59" s="23">
        <f>SUM(Tabela174681012142230322681619252731333624210121416182426283038402481012141620222628303234362426810121424610122426244262628262681026286236681012[[#This Row],[Saldo no cartão]:[Recarga Pendente]])</f>
        <v>0</v>
      </c>
      <c r="N59" s="19">
        <f>Tabela174681012142230322681619252731333624210121416182426283038402481012141620222628303234362426810121424610122426244262628262681026286236681012[[#This Row],[Uso diário]]*2</f>
        <v>26.8</v>
      </c>
      <c r="O59" s="19">
        <f>Tabela174681012142230322681619252731333624210121416182426283038402481012141620222628303234362426810121424610122426244262628262681026286236681012[[#This Row],[Total Acumulado]]-P59</f>
        <v>-67</v>
      </c>
      <c r="P59" s="48">
        <f>Tabela174681012142230322681619252731333624210121416182426283038402481012141620222628303234362426810121424610122426244262628262681026286236681012[[#This Row],[Uso diário]]*5</f>
        <v>67</v>
      </c>
      <c r="Q5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5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5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59" s="25">
        <v>4</v>
      </c>
    </row>
    <row r="60" spans="1:20" s="26" customFormat="1" x14ac:dyDescent="0.25">
      <c r="A60" s="16">
        <v>231573</v>
      </c>
      <c r="B60" s="30" t="s">
        <v>839</v>
      </c>
      <c r="C60" s="20" t="s">
        <v>651</v>
      </c>
      <c r="D60" s="20" t="s">
        <v>719</v>
      </c>
      <c r="E60" s="20" t="s">
        <v>2384</v>
      </c>
      <c r="F60" s="20" t="s">
        <v>2385</v>
      </c>
      <c r="G60" s="21">
        <v>18.8</v>
      </c>
      <c r="H60" s="16">
        <v>16</v>
      </c>
      <c r="I60" s="16"/>
      <c r="J6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60" s="22"/>
      <c r="L60" s="23"/>
      <c r="M60" s="23">
        <f>SUM(Tabela174681012142230322681619252731333624210121416182426283038402481012141620222628303234362426810121424610122426244262628262681026286236681012[[#This Row],[Saldo no cartão]:[Recarga Pendente]])</f>
        <v>0</v>
      </c>
      <c r="N60" s="19">
        <f>Tabela174681012142230322681619252731333624210121416182426283038402481012141620222628303234362426810121424610122426244262628262681026286236681012[[#This Row],[Uso diário]]*2</f>
        <v>37.6</v>
      </c>
      <c r="O60" s="19">
        <f>Tabela174681012142230322681619252731333624210121416182426283038402481012141620222628303234362426810121424610122426244262628262681026286236681012[[#This Row],[Total Acumulado]]-P60</f>
        <v>-94</v>
      </c>
      <c r="P60" s="48">
        <f>Tabela174681012142230322681619252731333624210121416182426283038402481012141620222628303234362426810121424610122426244262628262681026286236681012[[#This Row],[Uso diário]]*5</f>
        <v>94</v>
      </c>
      <c r="Q6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6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0" s="25">
        <v>4</v>
      </c>
    </row>
    <row r="61" spans="1:20" s="26" customFormat="1" x14ac:dyDescent="0.25">
      <c r="A61" s="16">
        <v>232557</v>
      </c>
      <c r="B61" s="30" t="s">
        <v>902</v>
      </c>
      <c r="C61" s="20" t="s">
        <v>651</v>
      </c>
      <c r="D61" s="20" t="s">
        <v>716</v>
      </c>
      <c r="E61" s="20" t="s">
        <v>2386</v>
      </c>
      <c r="F61" s="20" t="s">
        <v>2387</v>
      </c>
      <c r="G61" s="21">
        <v>20.100000000000001</v>
      </c>
      <c r="H61" s="16">
        <v>16</v>
      </c>
      <c r="I61" s="16"/>
      <c r="J6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321.60000000000002</v>
      </c>
      <c r="K61" s="22"/>
      <c r="L61" s="23">
        <v>71.400000000000006</v>
      </c>
      <c r="M61" s="23">
        <f>SUM(Tabela174681012142230322681619252731333624210121416182426283038402481012141620222628303234362426810121424610122426244262628262681026286236681012[[#This Row],[Saldo no cartão]:[Recarga Pendente]])</f>
        <v>71.400000000000006</v>
      </c>
      <c r="N61" s="19">
        <f>Tabela174681012142230322681619252731333624210121416182426283038402481012141620222628303234362426810121424610122426244262628262681026286236681012[[#This Row],[Uso diário]]*2</f>
        <v>40.200000000000003</v>
      </c>
      <c r="O61" s="19">
        <f>Tabela174681012142230322681619252731333624210121416182426283038402481012141620222628303234362426810121424610122426244262628262681026286236681012[[#This Row],[Total Acumulado]]-P61</f>
        <v>-29.099999999999994</v>
      </c>
      <c r="P61" s="48">
        <f>Tabela174681012142230322681619252731333624210121416182426283038402481012141620222628303234362426810121424610122426244262628262681026286236681012[[#This Row],[Uso diário]]*5</f>
        <v>100.5</v>
      </c>
      <c r="Q6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321.60000000000002</v>
      </c>
      <c r="S6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1" s="25">
        <v>4</v>
      </c>
    </row>
    <row r="62" spans="1:20" s="26" customFormat="1" x14ac:dyDescent="0.25">
      <c r="A62" s="16">
        <v>232848</v>
      </c>
      <c r="B62" s="30" t="s">
        <v>936</v>
      </c>
      <c r="C62" s="20" t="s">
        <v>651</v>
      </c>
      <c r="D62" s="20" t="s">
        <v>716</v>
      </c>
      <c r="E62" s="20" t="s">
        <v>2388</v>
      </c>
      <c r="F62" s="20" t="s">
        <v>2389</v>
      </c>
      <c r="G62" s="21">
        <v>18.8</v>
      </c>
      <c r="H62" s="16">
        <v>16</v>
      </c>
      <c r="I62" s="16"/>
      <c r="J6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62" s="22"/>
      <c r="L62" s="23"/>
      <c r="M62" s="23">
        <f>SUM(Tabela174681012142230322681619252731333624210121416182426283038402481012141620222628303234362426810121424610122426244262628262681026286236681012[[#This Row],[Saldo no cartão]:[Recarga Pendente]])</f>
        <v>0</v>
      </c>
      <c r="N62" s="19">
        <f>Tabela174681012142230322681619252731333624210121416182426283038402481012141620222628303234362426810121424610122426244262628262681026286236681012[[#This Row],[Uso diário]]*2</f>
        <v>37.6</v>
      </c>
      <c r="O62" s="19">
        <f>Tabela174681012142230322681619252731333624210121416182426283038402481012141620222628303234362426810121424610122426244262628262681026286236681012[[#This Row],[Total Acumulado]]-P62</f>
        <v>-94</v>
      </c>
      <c r="P62" s="48">
        <f>Tabela174681012142230322681619252731333624210121416182426283038402481012141620222628303234362426810121424610122426244262628262681026286236681012[[#This Row],[Uso diário]]*5</f>
        <v>94</v>
      </c>
      <c r="Q6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6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2" s="25">
        <v>4</v>
      </c>
    </row>
    <row r="63" spans="1:20" s="26" customFormat="1" x14ac:dyDescent="0.25">
      <c r="A63" s="16">
        <v>232849</v>
      </c>
      <c r="B63" s="30" t="s">
        <v>937</v>
      </c>
      <c r="C63" s="20" t="s">
        <v>651</v>
      </c>
      <c r="D63" s="20" t="s">
        <v>716</v>
      </c>
      <c r="E63" s="20" t="s">
        <v>2390</v>
      </c>
      <c r="F63" s="20" t="s">
        <v>2391</v>
      </c>
      <c r="G63" s="21">
        <v>13.4</v>
      </c>
      <c r="H63" s="16">
        <v>16</v>
      </c>
      <c r="I63" s="16"/>
      <c r="J6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63" s="22"/>
      <c r="L63" s="23"/>
      <c r="M63" s="23">
        <f>SUM(Tabela174681012142230322681619252731333624210121416182426283038402481012141620222628303234362426810121424610122426244262628262681026286236681012[[#This Row],[Saldo no cartão]:[Recarga Pendente]])</f>
        <v>0</v>
      </c>
      <c r="N63" s="19">
        <f>Tabela174681012142230322681619252731333624210121416182426283038402481012141620222628303234362426810121424610122426244262628262681026286236681012[[#This Row],[Uso diário]]*2</f>
        <v>26.8</v>
      </c>
      <c r="O63" s="19">
        <f>Tabela174681012142230322681619252731333624210121416182426283038402481012141620222628303234362426810121424610122426244262628262681026286236681012[[#This Row],[Total Acumulado]]-P63</f>
        <v>-67</v>
      </c>
      <c r="P63" s="48">
        <f>Tabela174681012142230322681619252731333624210121416182426283038402481012141620222628303234362426810121424610122426244262628262681026286236681012[[#This Row],[Uso diário]]*5</f>
        <v>67</v>
      </c>
      <c r="Q6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6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3" s="25">
        <v>4</v>
      </c>
    </row>
    <row r="64" spans="1:20" s="26" customFormat="1" x14ac:dyDescent="0.25">
      <c r="A64" s="16">
        <v>233059</v>
      </c>
      <c r="B64" s="30" t="s">
        <v>973</v>
      </c>
      <c r="C64" s="20" t="s">
        <v>651</v>
      </c>
      <c r="D64" s="20" t="s">
        <v>716</v>
      </c>
      <c r="E64" s="20" t="s">
        <v>2392</v>
      </c>
      <c r="F64" s="20" t="s">
        <v>2393</v>
      </c>
      <c r="G64" s="21">
        <v>18.8</v>
      </c>
      <c r="H64" s="16">
        <v>16</v>
      </c>
      <c r="I64" s="16"/>
      <c r="J6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64" s="22"/>
      <c r="L64" s="23"/>
      <c r="M64" s="23">
        <f>SUM(Tabela174681012142230322681619252731333624210121416182426283038402481012141620222628303234362426810121424610122426244262628262681026286236681012[[#This Row],[Saldo no cartão]:[Recarga Pendente]])</f>
        <v>0</v>
      </c>
      <c r="N64" s="19">
        <f>Tabela174681012142230322681619252731333624210121416182426283038402481012141620222628303234362426810121424610122426244262628262681026286236681012[[#This Row],[Uso diário]]*2</f>
        <v>37.6</v>
      </c>
      <c r="O64" s="19">
        <f>Tabela174681012142230322681619252731333624210121416182426283038402481012141620222628303234362426810121424610122426244262628262681026286236681012[[#This Row],[Total Acumulado]]-P64</f>
        <v>-94</v>
      </c>
      <c r="P64" s="48">
        <f>Tabela174681012142230322681619252731333624210121416182426283038402481012141620222628303234362426810121424610122426244262628262681026286236681012[[#This Row],[Uso diário]]*5</f>
        <v>94</v>
      </c>
      <c r="Q6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6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4" s="25">
        <v>4</v>
      </c>
    </row>
    <row r="65" spans="1:20" s="26" customFormat="1" x14ac:dyDescent="0.25">
      <c r="A65" s="16">
        <v>233061</v>
      </c>
      <c r="B65" s="30" t="s">
        <v>974</v>
      </c>
      <c r="C65" s="20" t="s">
        <v>651</v>
      </c>
      <c r="D65" s="20" t="s">
        <v>716</v>
      </c>
      <c r="E65" s="20" t="s">
        <v>2394</v>
      </c>
      <c r="F65" s="20" t="s">
        <v>2395</v>
      </c>
      <c r="G65" s="21">
        <v>18.8</v>
      </c>
      <c r="H65" s="16">
        <v>16</v>
      </c>
      <c r="I65" s="16">
        <v>1</v>
      </c>
      <c r="J6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282</v>
      </c>
      <c r="K65" s="22"/>
      <c r="L65" s="23"/>
      <c r="M65" s="23">
        <f>SUM(Tabela174681012142230322681619252731333624210121416182426283038402481012141620222628303234362426810121424610122426244262628262681026286236681012[[#This Row],[Saldo no cartão]:[Recarga Pendente]])</f>
        <v>0</v>
      </c>
      <c r="N65" s="19">
        <f>Tabela174681012142230322681619252731333624210121416182426283038402481012141620222628303234362426810121424610122426244262628262681026286236681012[[#This Row],[Uso diário]]*2</f>
        <v>37.6</v>
      </c>
      <c r="O65" s="19">
        <f>Tabela174681012142230322681619252731333624210121416182426283038402481012141620222628303234362426810121424610122426244262628262681026286236681012[[#This Row],[Total Acumulado]]-P65</f>
        <v>-94</v>
      </c>
      <c r="P65" s="48">
        <f>Tabela174681012142230322681619252731333624210121416182426283038402481012141620222628303234362426810121424610122426244262628262681026286236681012[[#This Row],[Uso diário]]*5</f>
        <v>94</v>
      </c>
      <c r="Q6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282</v>
      </c>
      <c r="S6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5" s="25">
        <v>4</v>
      </c>
    </row>
    <row r="66" spans="1:20" s="26" customFormat="1" x14ac:dyDescent="0.25">
      <c r="A66" s="16">
        <v>233178</v>
      </c>
      <c r="B66" s="30" t="s">
        <v>975</v>
      </c>
      <c r="C66" s="20" t="s">
        <v>651</v>
      </c>
      <c r="D66" s="20" t="s">
        <v>716</v>
      </c>
      <c r="E66" s="20" t="s">
        <v>2396</v>
      </c>
      <c r="F66" s="20" t="s">
        <v>2397</v>
      </c>
      <c r="G66" s="21">
        <v>13.4</v>
      </c>
      <c r="H66" s="16">
        <v>16</v>
      </c>
      <c r="I66" s="16"/>
      <c r="J6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66" s="22"/>
      <c r="L66" s="23"/>
      <c r="M66" s="23">
        <f>SUM(Tabela174681012142230322681619252731333624210121416182426283038402481012141620222628303234362426810121424610122426244262628262681026286236681012[[#This Row],[Saldo no cartão]:[Recarga Pendente]])</f>
        <v>0</v>
      </c>
      <c r="N66" s="19">
        <f>Tabela174681012142230322681619252731333624210121416182426283038402481012141620222628303234362426810121424610122426244262628262681026286236681012[[#This Row],[Uso diário]]*2</f>
        <v>26.8</v>
      </c>
      <c r="O66" s="19">
        <f>Tabela174681012142230322681619252731333624210121416182426283038402481012141620222628303234362426810121424610122426244262628262681026286236681012[[#This Row],[Total Acumulado]]-P66</f>
        <v>-67</v>
      </c>
      <c r="P66" s="48">
        <f>Tabela174681012142230322681619252731333624210121416182426283038402481012141620222628303234362426810121424610122426244262628262681026286236681012[[#This Row],[Uso diário]]*5</f>
        <v>67</v>
      </c>
      <c r="Q6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6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6" s="25">
        <v>4</v>
      </c>
    </row>
    <row r="67" spans="1:20" s="26" customFormat="1" x14ac:dyDescent="0.25">
      <c r="A67" s="16">
        <v>233245</v>
      </c>
      <c r="B67" s="30" t="s">
        <v>976</v>
      </c>
      <c r="C67" s="20" t="s">
        <v>651</v>
      </c>
      <c r="D67" s="20" t="s">
        <v>716</v>
      </c>
      <c r="E67" s="20" t="s">
        <v>2398</v>
      </c>
      <c r="F67" s="20" t="s">
        <v>2399</v>
      </c>
      <c r="G67" s="21">
        <v>13.4</v>
      </c>
      <c r="H67" s="16">
        <v>16</v>
      </c>
      <c r="I67" s="16">
        <v>1</v>
      </c>
      <c r="J6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201</v>
      </c>
      <c r="K67" s="22"/>
      <c r="L67" s="23"/>
      <c r="M67" s="23">
        <f>SUM(Tabela174681012142230322681619252731333624210121416182426283038402481012141620222628303234362426810121424610122426244262628262681026286236681012[[#This Row],[Saldo no cartão]:[Recarga Pendente]])</f>
        <v>0</v>
      </c>
      <c r="N67" s="19">
        <f>Tabela174681012142230322681619252731333624210121416182426283038402481012141620222628303234362426810121424610122426244262628262681026286236681012[[#This Row],[Uso diário]]*2</f>
        <v>26.8</v>
      </c>
      <c r="O67" s="19">
        <f>Tabela174681012142230322681619252731333624210121416182426283038402481012141620222628303234362426810121424610122426244262628262681026286236681012[[#This Row],[Total Acumulado]]-P67</f>
        <v>-67</v>
      </c>
      <c r="P67" s="48">
        <f>Tabela174681012142230322681619252731333624210121416182426283038402481012141620222628303234362426810121424610122426244262628262681026286236681012[[#This Row],[Uso diário]]*5</f>
        <v>67</v>
      </c>
      <c r="Q6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201</v>
      </c>
      <c r="S6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7" s="25">
        <v>4</v>
      </c>
    </row>
    <row r="68" spans="1:20" s="26" customFormat="1" x14ac:dyDescent="0.25">
      <c r="A68" s="16">
        <v>233246</v>
      </c>
      <c r="B68" s="30" t="s">
        <v>977</v>
      </c>
      <c r="C68" s="20" t="s">
        <v>651</v>
      </c>
      <c r="D68" s="20" t="s">
        <v>716</v>
      </c>
      <c r="E68" s="20" t="s">
        <v>2400</v>
      </c>
      <c r="F68" s="20" t="s">
        <v>2401</v>
      </c>
      <c r="G68" s="21">
        <v>18.8</v>
      </c>
      <c r="H68" s="16">
        <v>16</v>
      </c>
      <c r="I68" s="16">
        <v>1</v>
      </c>
      <c r="J6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282</v>
      </c>
      <c r="K68" s="22"/>
      <c r="L68" s="23"/>
      <c r="M68" s="23">
        <f>SUM(Tabela174681012142230322681619252731333624210121416182426283038402481012141620222628303234362426810121424610122426244262628262681026286236681012[[#This Row],[Saldo no cartão]:[Recarga Pendente]])</f>
        <v>0</v>
      </c>
      <c r="N68" s="19">
        <f>Tabela174681012142230322681619252731333624210121416182426283038402481012141620222628303234362426810121424610122426244262628262681026286236681012[[#This Row],[Uso diário]]*2</f>
        <v>37.6</v>
      </c>
      <c r="O68" s="19">
        <f>Tabela174681012142230322681619252731333624210121416182426283038402481012141620222628303234362426810121424610122426244262628262681026286236681012[[#This Row],[Total Acumulado]]-P68</f>
        <v>-94</v>
      </c>
      <c r="P68" s="48">
        <f>Tabela174681012142230322681619252731333624210121416182426283038402481012141620222628303234362426810121424610122426244262628262681026286236681012[[#This Row],[Uso diário]]*5</f>
        <v>94</v>
      </c>
      <c r="Q6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282</v>
      </c>
      <c r="S6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8" s="25">
        <v>4</v>
      </c>
    </row>
    <row r="69" spans="1:20" s="26" customFormat="1" x14ac:dyDescent="0.25">
      <c r="A69" s="16">
        <v>233317</v>
      </c>
      <c r="B69" s="30" t="s">
        <v>1060</v>
      </c>
      <c r="C69" s="20" t="s">
        <v>651</v>
      </c>
      <c r="D69" s="20" t="s">
        <v>716</v>
      </c>
      <c r="E69" s="20" t="s">
        <v>2402</v>
      </c>
      <c r="F69" s="20" t="s">
        <v>2403</v>
      </c>
      <c r="G69" s="21">
        <v>18.8</v>
      </c>
      <c r="H69" s="16">
        <v>16</v>
      </c>
      <c r="I69" s="16"/>
      <c r="J6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69" s="22"/>
      <c r="L69" s="23"/>
      <c r="M69" s="23">
        <f>SUM(Tabela174681012142230322681619252731333624210121416182426283038402481012141620222628303234362426810121424610122426244262628262681026286236681012[[#This Row],[Saldo no cartão]:[Recarga Pendente]])</f>
        <v>0</v>
      </c>
      <c r="N69" s="19">
        <f>Tabela174681012142230322681619252731333624210121416182426283038402481012141620222628303234362426810121424610122426244262628262681026286236681012[[#This Row],[Uso diário]]*2</f>
        <v>37.6</v>
      </c>
      <c r="O69" s="19">
        <f>Tabela174681012142230322681619252731333624210121416182426283038402481012141620222628303234362426810121424610122426244262628262681026286236681012[[#This Row],[Total Acumulado]]-P69</f>
        <v>-94</v>
      </c>
      <c r="P69" s="48">
        <f>Tabela174681012142230322681619252731333624210121416182426283038402481012141620222628303234362426810121424610122426244262628262681026286236681012[[#This Row],[Uso diário]]*5</f>
        <v>94</v>
      </c>
      <c r="Q6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6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6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69" s="25">
        <v>4</v>
      </c>
    </row>
    <row r="70" spans="1:20" s="26" customFormat="1" x14ac:dyDescent="0.25">
      <c r="A70" s="16">
        <v>233353</v>
      </c>
      <c r="B70" s="30" t="s">
        <v>1439</v>
      </c>
      <c r="C70" s="20" t="s">
        <v>651</v>
      </c>
      <c r="D70" s="20" t="s">
        <v>716</v>
      </c>
      <c r="E70" s="20" t="s">
        <v>2404</v>
      </c>
      <c r="F70" s="20" t="s">
        <v>2405</v>
      </c>
      <c r="G70" s="21">
        <v>18.8</v>
      </c>
      <c r="H70" s="16">
        <v>16</v>
      </c>
      <c r="I70" s="16">
        <v>1</v>
      </c>
      <c r="J7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282</v>
      </c>
      <c r="K70" s="22"/>
      <c r="L70" s="23"/>
      <c r="M70" s="23">
        <f>SUM(Tabela174681012142230322681619252731333624210121416182426283038402481012141620222628303234362426810121424610122426244262628262681026286236681012[[#This Row],[Saldo no cartão]:[Recarga Pendente]])</f>
        <v>0</v>
      </c>
      <c r="N70" s="19">
        <f>Tabela174681012142230322681619252731333624210121416182426283038402481012141620222628303234362426810121424610122426244262628262681026286236681012[[#This Row],[Uso diário]]*2</f>
        <v>37.6</v>
      </c>
      <c r="O70" s="19">
        <f>Tabela174681012142230322681619252731333624210121416182426283038402481012141620222628303234362426810121424610122426244262628262681026286236681012[[#This Row],[Total Acumulado]]-P70</f>
        <v>-94</v>
      </c>
      <c r="P70" s="48">
        <f>Tabela174681012142230322681619252731333624210121416182426283038402481012141620222628303234362426810121424610122426244262628262681026286236681012[[#This Row],[Uso diário]]*5</f>
        <v>94</v>
      </c>
      <c r="Q7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282</v>
      </c>
      <c r="S7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0" s="25">
        <v>4</v>
      </c>
    </row>
    <row r="71" spans="1:20" s="26" customFormat="1" x14ac:dyDescent="0.25">
      <c r="A71" s="16">
        <v>233565</v>
      </c>
      <c r="B71" s="30" t="s">
        <v>1061</v>
      </c>
      <c r="C71" s="20" t="s">
        <v>651</v>
      </c>
      <c r="D71" s="20" t="s">
        <v>719</v>
      </c>
      <c r="E71" s="20" t="s">
        <v>2406</v>
      </c>
      <c r="F71" s="20" t="s">
        <v>2407</v>
      </c>
      <c r="G71" s="21">
        <v>18.8</v>
      </c>
      <c r="H71" s="16">
        <v>16</v>
      </c>
      <c r="I71" s="16"/>
      <c r="J7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71" s="22"/>
      <c r="L71" s="23"/>
      <c r="M71" s="23">
        <f>SUM(Tabela174681012142230322681619252731333624210121416182426283038402481012141620222628303234362426810121424610122426244262628262681026286236681012[[#This Row],[Saldo no cartão]:[Recarga Pendente]])</f>
        <v>0</v>
      </c>
      <c r="N71" s="19">
        <f>Tabela174681012142230322681619252731333624210121416182426283038402481012141620222628303234362426810121424610122426244262628262681026286236681012[[#This Row],[Uso diário]]*2</f>
        <v>37.6</v>
      </c>
      <c r="O71" s="19">
        <f>Tabela174681012142230322681619252731333624210121416182426283038402481012141620222628303234362426810121424610122426244262628262681026286236681012[[#This Row],[Total Acumulado]]-P71</f>
        <v>-94</v>
      </c>
      <c r="P71" s="48">
        <f>Tabela174681012142230322681619252731333624210121416182426283038402481012141620222628303234362426810121424610122426244262628262681026286236681012[[#This Row],[Uso diário]]*5</f>
        <v>94</v>
      </c>
      <c r="Q7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7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1" s="25">
        <v>4</v>
      </c>
    </row>
    <row r="72" spans="1:20" s="26" customFormat="1" x14ac:dyDescent="0.25">
      <c r="A72" s="16">
        <v>233961</v>
      </c>
      <c r="B72" s="30" t="s">
        <v>1171</v>
      </c>
      <c r="C72" s="20" t="s">
        <v>651</v>
      </c>
      <c r="D72" s="20" t="s">
        <v>716</v>
      </c>
      <c r="E72" s="20" t="s">
        <v>2408</v>
      </c>
      <c r="F72" s="20" t="s">
        <v>2409</v>
      </c>
      <c r="G72" s="21">
        <v>18.8</v>
      </c>
      <c r="H72" s="16">
        <v>16</v>
      </c>
      <c r="I72" s="16"/>
      <c r="J7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72" s="22"/>
      <c r="L72" s="23"/>
      <c r="M72" s="23">
        <f>SUM(Tabela174681012142230322681619252731333624210121416182426283038402481012141620222628303234362426810121424610122426244262628262681026286236681012[[#This Row],[Saldo no cartão]:[Recarga Pendente]])</f>
        <v>0</v>
      </c>
      <c r="N72" s="19">
        <f>Tabela174681012142230322681619252731333624210121416182426283038402481012141620222628303234362426810121424610122426244262628262681026286236681012[[#This Row],[Uso diário]]*2</f>
        <v>37.6</v>
      </c>
      <c r="O72" s="19">
        <f>Tabela174681012142230322681619252731333624210121416182426283038402481012141620222628303234362426810121424610122426244262628262681026286236681012[[#This Row],[Total Acumulado]]-P72</f>
        <v>-94</v>
      </c>
      <c r="P72" s="48">
        <f>Tabela174681012142230322681619252731333624210121416182426283038402481012141620222628303234362426810121424610122426244262628262681026286236681012[[#This Row],[Uso diário]]*5</f>
        <v>94</v>
      </c>
      <c r="Q7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7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2" s="25">
        <v>4</v>
      </c>
    </row>
    <row r="73" spans="1:20" s="26" customFormat="1" x14ac:dyDescent="0.25">
      <c r="A73" s="16">
        <v>234020</v>
      </c>
      <c r="B73" s="30" t="s">
        <v>1172</v>
      </c>
      <c r="C73" s="20" t="s">
        <v>651</v>
      </c>
      <c r="D73" s="20" t="s">
        <v>716</v>
      </c>
      <c r="E73" s="20" t="s">
        <v>2410</v>
      </c>
      <c r="F73" s="20" t="s">
        <v>2411</v>
      </c>
      <c r="G73" s="21">
        <v>13.4</v>
      </c>
      <c r="H73" s="16">
        <v>16</v>
      </c>
      <c r="I73" s="16"/>
      <c r="J7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73" s="22"/>
      <c r="L73" s="23"/>
      <c r="M73" s="23">
        <f>SUM(Tabela174681012142230322681619252731333624210121416182426283038402481012141620222628303234362426810121424610122426244262628262681026286236681012[[#This Row],[Saldo no cartão]:[Recarga Pendente]])</f>
        <v>0</v>
      </c>
      <c r="N73" s="19">
        <f>Tabela174681012142230322681619252731333624210121416182426283038402481012141620222628303234362426810121424610122426244262628262681026286236681012[[#This Row],[Uso diário]]*2</f>
        <v>26.8</v>
      </c>
      <c r="O73" s="19">
        <f>Tabela174681012142230322681619252731333624210121416182426283038402481012141620222628303234362426810121424610122426244262628262681026286236681012[[#This Row],[Total Acumulado]]-P73</f>
        <v>-67</v>
      </c>
      <c r="P73" s="48">
        <f>Tabela174681012142230322681619252731333624210121416182426283038402481012141620222628303234362426810121424610122426244262628262681026286236681012[[#This Row],[Uso diário]]*5</f>
        <v>67</v>
      </c>
      <c r="Q7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7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3" s="25">
        <v>4</v>
      </c>
    </row>
    <row r="74" spans="1:20" s="26" customFormat="1" x14ac:dyDescent="0.25">
      <c r="A74" s="16">
        <v>234442</v>
      </c>
      <c r="B74" s="30" t="s">
        <v>1281</v>
      </c>
      <c r="C74" s="20" t="s">
        <v>651</v>
      </c>
      <c r="D74" s="20" t="s">
        <v>716</v>
      </c>
      <c r="E74" s="20" t="s">
        <v>2412</v>
      </c>
      <c r="F74" s="20" t="s">
        <v>2413</v>
      </c>
      <c r="G74" s="21">
        <v>13.4</v>
      </c>
      <c r="H74" s="16">
        <v>16</v>
      </c>
      <c r="I74" s="16"/>
      <c r="J7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74" s="22"/>
      <c r="L74" s="23"/>
      <c r="M74" s="23">
        <f>SUM(Tabela174681012142230322681619252731333624210121416182426283038402481012141620222628303234362426810121424610122426244262628262681026286236681012[[#This Row],[Saldo no cartão]:[Recarga Pendente]])</f>
        <v>0</v>
      </c>
      <c r="N74" s="19">
        <f>Tabela174681012142230322681619252731333624210121416182426283038402481012141620222628303234362426810121424610122426244262628262681026286236681012[[#This Row],[Uso diário]]*2</f>
        <v>26.8</v>
      </c>
      <c r="O74" s="19">
        <f>Tabela174681012142230322681619252731333624210121416182426283038402481012141620222628303234362426810121424610122426244262628262681026286236681012[[#This Row],[Total Acumulado]]-P74</f>
        <v>-67</v>
      </c>
      <c r="P74" s="48">
        <f>Tabela174681012142230322681619252731333624210121416182426283038402481012141620222628303234362426810121424610122426244262628262681026286236681012[[#This Row],[Uso diário]]*5</f>
        <v>67</v>
      </c>
      <c r="Q7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7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4" s="25">
        <v>4</v>
      </c>
    </row>
    <row r="75" spans="1:20" s="26" customFormat="1" x14ac:dyDescent="0.25">
      <c r="A75" s="16">
        <v>234486</v>
      </c>
      <c r="B75" s="30" t="s">
        <v>1282</v>
      </c>
      <c r="C75" s="20" t="s">
        <v>651</v>
      </c>
      <c r="D75" s="20" t="s">
        <v>719</v>
      </c>
      <c r="E75" s="20" t="s">
        <v>2414</v>
      </c>
      <c r="F75" s="20" t="s">
        <v>2415</v>
      </c>
      <c r="G75" s="21">
        <v>18.8</v>
      </c>
      <c r="H75" s="16">
        <v>16</v>
      </c>
      <c r="I75" s="16"/>
      <c r="J7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75" s="22"/>
      <c r="L75" s="23"/>
      <c r="M75" s="23">
        <f>SUM(Tabela174681012142230322681619252731333624210121416182426283038402481012141620222628303234362426810121424610122426244262628262681026286236681012[[#This Row],[Saldo no cartão]:[Recarga Pendente]])</f>
        <v>0</v>
      </c>
      <c r="N75" s="19">
        <f>Tabela174681012142230322681619252731333624210121416182426283038402481012141620222628303234362426810121424610122426244262628262681026286236681012[[#This Row],[Uso diário]]*2</f>
        <v>37.6</v>
      </c>
      <c r="O75" s="19">
        <f>Tabela174681012142230322681619252731333624210121416182426283038402481012141620222628303234362426810121424610122426244262628262681026286236681012[[#This Row],[Total Acumulado]]-P75</f>
        <v>-94</v>
      </c>
      <c r="P75" s="48">
        <f>Tabela174681012142230322681619252731333624210121416182426283038402481012141620222628303234362426810121424610122426244262628262681026286236681012[[#This Row],[Uso diário]]*5</f>
        <v>94</v>
      </c>
      <c r="Q7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7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5" s="25">
        <v>4</v>
      </c>
    </row>
    <row r="76" spans="1:20" s="26" customFormat="1" x14ac:dyDescent="0.25">
      <c r="A76" s="16">
        <v>234491</v>
      </c>
      <c r="B76" s="30" t="s">
        <v>1283</v>
      </c>
      <c r="C76" s="20" t="s">
        <v>651</v>
      </c>
      <c r="D76" s="20" t="s">
        <v>716</v>
      </c>
      <c r="E76" s="20" t="s">
        <v>2416</v>
      </c>
      <c r="F76" s="20" t="s">
        <v>2417</v>
      </c>
      <c r="G76" s="21">
        <v>18.8</v>
      </c>
      <c r="H76" s="16">
        <v>16</v>
      </c>
      <c r="I76" s="16"/>
      <c r="J7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76" s="22"/>
      <c r="L76" s="23"/>
      <c r="M76" s="23">
        <f>SUM(Tabela174681012142230322681619252731333624210121416182426283038402481012141620222628303234362426810121424610122426244262628262681026286236681012[[#This Row],[Saldo no cartão]:[Recarga Pendente]])</f>
        <v>0</v>
      </c>
      <c r="N76" s="19">
        <f>Tabela174681012142230322681619252731333624210121416182426283038402481012141620222628303234362426810121424610122426244262628262681026286236681012[[#This Row],[Uso diário]]*2</f>
        <v>37.6</v>
      </c>
      <c r="O76" s="19">
        <f>Tabela174681012142230322681619252731333624210121416182426283038402481012141620222628303234362426810121424610122426244262628262681026286236681012[[#This Row],[Total Acumulado]]-P76</f>
        <v>-94</v>
      </c>
      <c r="P76" s="48">
        <f>Tabela174681012142230322681619252731333624210121416182426283038402481012141620222628303234362426810121424610122426244262628262681026286236681012[[#This Row],[Uso diário]]*5</f>
        <v>94</v>
      </c>
      <c r="Q7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7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6" s="25">
        <v>4</v>
      </c>
    </row>
    <row r="77" spans="1:20" s="26" customFormat="1" x14ac:dyDescent="0.25">
      <c r="A77" s="16">
        <v>234590</v>
      </c>
      <c r="B77" s="30" t="s">
        <v>1307</v>
      </c>
      <c r="C77" s="20" t="s">
        <v>651</v>
      </c>
      <c r="D77" s="20" t="s">
        <v>719</v>
      </c>
      <c r="E77" s="20" t="s">
        <v>2418</v>
      </c>
      <c r="F77" s="20" t="s">
        <v>2419</v>
      </c>
      <c r="G77" s="21">
        <v>18.8</v>
      </c>
      <c r="H77" s="16">
        <v>16</v>
      </c>
      <c r="I77" s="16"/>
      <c r="J7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77" s="22"/>
      <c r="L77" s="23"/>
      <c r="M77" s="23">
        <f>SUM(Tabela174681012142230322681619252731333624210121416182426283038402481012141620222628303234362426810121424610122426244262628262681026286236681012[[#This Row],[Saldo no cartão]:[Recarga Pendente]])</f>
        <v>0</v>
      </c>
      <c r="N77" s="19">
        <f>Tabela174681012142230322681619252731333624210121416182426283038402481012141620222628303234362426810121424610122426244262628262681026286236681012[[#This Row],[Uso diário]]*2</f>
        <v>37.6</v>
      </c>
      <c r="O77" s="19">
        <f>Tabela174681012142230322681619252731333624210121416182426283038402481012141620222628303234362426810121424610122426244262628262681026286236681012[[#This Row],[Total Acumulado]]-P77</f>
        <v>-94</v>
      </c>
      <c r="P77" s="48">
        <f>Tabela174681012142230322681619252731333624210121416182426283038402481012141620222628303234362426810121424610122426244262628262681026286236681012[[#This Row],[Uso diário]]*5</f>
        <v>94</v>
      </c>
      <c r="Q7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7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7" s="25">
        <v>4</v>
      </c>
    </row>
    <row r="78" spans="1:20" s="26" customFormat="1" x14ac:dyDescent="0.25">
      <c r="A78" s="16">
        <v>234640</v>
      </c>
      <c r="B78" s="30" t="s">
        <v>1308</v>
      </c>
      <c r="C78" s="20" t="s">
        <v>651</v>
      </c>
      <c r="D78" s="20" t="s">
        <v>719</v>
      </c>
      <c r="E78" s="20" t="s">
        <v>2420</v>
      </c>
      <c r="F78" s="20" t="s">
        <v>2421</v>
      </c>
      <c r="G78" s="21">
        <v>13.4</v>
      </c>
      <c r="H78" s="16">
        <v>16</v>
      </c>
      <c r="I78" s="16"/>
      <c r="J7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78" s="22"/>
      <c r="L78" s="23"/>
      <c r="M78" s="23">
        <f>SUM(Tabela174681012142230322681619252731333624210121416182426283038402481012141620222628303234362426810121424610122426244262628262681026286236681012[[#This Row],[Saldo no cartão]:[Recarga Pendente]])</f>
        <v>0</v>
      </c>
      <c r="N78" s="19">
        <f>Tabela174681012142230322681619252731333624210121416182426283038402481012141620222628303234362426810121424610122426244262628262681026286236681012[[#This Row],[Uso diário]]*2</f>
        <v>26.8</v>
      </c>
      <c r="O78" s="19">
        <f>Tabela174681012142230322681619252731333624210121416182426283038402481012141620222628303234362426810121424610122426244262628262681026286236681012[[#This Row],[Total Acumulado]]-P78</f>
        <v>-67</v>
      </c>
      <c r="P78" s="48">
        <f>Tabela174681012142230322681619252731333624210121416182426283038402481012141620222628303234362426810121424610122426244262628262681026286236681012[[#This Row],[Uso diário]]*5</f>
        <v>67</v>
      </c>
      <c r="Q7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7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8" s="25">
        <v>4</v>
      </c>
    </row>
    <row r="79" spans="1:20" s="26" customFormat="1" x14ac:dyDescent="0.25">
      <c r="A79" s="16">
        <v>234680</v>
      </c>
      <c r="B79" s="30" t="s">
        <v>1352</v>
      </c>
      <c r="C79" s="20" t="s">
        <v>651</v>
      </c>
      <c r="D79" s="20" t="s">
        <v>719</v>
      </c>
      <c r="E79" s="20" t="s">
        <v>2422</v>
      </c>
      <c r="F79" s="20" t="s">
        <v>2423</v>
      </c>
      <c r="G79" s="21">
        <v>13.4</v>
      </c>
      <c r="H79" s="16">
        <v>16</v>
      </c>
      <c r="I79" s="16"/>
      <c r="J7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214.4</v>
      </c>
      <c r="K79" s="22"/>
      <c r="L79" s="23"/>
      <c r="M79" s="23">
        <f>SUM(Tabela174681012142230322681619252731333624210121416182426283038402481012141620222628303234362426810121424610122426244262628262681026286236681012[[#This Row],[Saldo no cartão]:[Recarga Pendente]])</f>
        <v>0</v>
      </c>
      <c r="N79" s="19">
        <f>Tabela174681012142230322681619252731333624210121416182426283038402481012141620222628303234362426810121424610122426244262628262681026286236681012[[#This Row],[Uso diário]]*2</f>
        <v>26.8</v>
      </c>
      <c r="O79" s="19">
        <f>Tabela174681012142230322681619252731333624210121416182426283038402481012141620222628303234362426810121424610122426244262628262681026286236681012[[#This Row],[Total Acumulado]]-P79</f>
        <v>-67</v>
      </c>
      <c r="P79" s="48">
        <f>Tabela174681012142230322681619252731333624210121416182426283038402481012141620222628303234362426810121424610122426244262628262681026286236681012[[#This Row],[Uso diário]]*5</f>
        <v>67</v>
      </c>
      <c r="Q7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7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214.4</v>
      </c>
      <c r="S7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79" s="25">
        <v>4</v>
      </c>
    </row>
    <row r="80" spans="1:20" s="26" customFormat="1" x14ac:dyDescent="0.25">
      <c r="A80" s="16">
        <v>234841</v>
      </c>
      <c r="B80" s="30" t="s">
        <v>1440</v>
      </c>
      <c r="C80" s="20" t="s">
        <v>651</v>
      </c>
      <c r="D80" s="20" t="s">
        <v>716</v>
      </c>
      <c r="E80" s="20" t="s">
        <v>2424</v>
      </c>
      <c r="F80" s="20" t="s">
        <v>2425</v>
      </c>
      <c r="G80" s="21">
        <v>18.8</v>
      </c>
      <c r="H80" s="16">
        <v>16</v>
      </c>
      <c r="I80" s="16"/>
      <c r="J8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300.8</v>
      </c>
      <c r="K80" s="22"/>
      <c r="L80" s="23">
        <v>94</v>
      </c>
      <c r="M80" s="23">
        <f>SUM(Tabela174681012142230322681619252731333624210121416182426283038402481012141620222628303234362426810121424610122426244262628262681026286236681012[[#This Row],[Saldo no cartão]:[Recarga Pendente]])</f>
        <v>94</v>
      </c>
      <c r="N80" s="19">
        <f>Tabela174681012142230322681619252731333624210121416182426283038402481012141620222628303234362426810121424610122426244262628262681026286236681012[[#This Row],[Uso diário]]*2</f>
        <v>37.6</v>
      </c>
      <c r="O80" s="19">
        <f>Tabela174681012142230322681619252731333624210121416182426283038402481012141620222628303234362426810121424610122426244262628262681026286236681012[[#This Row],[Total Acumulado]]-P80</f>
        <v>0</v>
      </c>
      <c r="P80" s="48">
        <f>Tabela174681012142230322681619252731333624210121416182426283038402481012141620222628303234362426810121424610122426244262628262681026286236681012[[#This Row],[Uso diário]]*5</f>
        <v>94</v>
      </c>
      <c r="Q8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300.8</v>
      </c>
      <c r="S8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0" s="25">
        <v>4</v>
      </c>
    </row>
    <row r="81" spans="1:20" s="26" customFormat="1" ht="22.5" x14ac:dyDescent="0.25">
      <c r="A81" s="16">
        <v>234883</v>
      </c>
      <c r="B81" s="30" t="s">
        <v>1442</v>
      </c>
      <c r="C81" s="20" t="s">
        <v>651</v>
      </c>
      <c r="D81" s="20" t="s">
        <v>716</v>
      </c>
      <c r="E81" s="20">
        <v>0</v>
      </c>
      <c r="F81" s="20" t="s">
        <v>4181</v>
      </c>
      <c r="G81" s="21">
        <v>18.8</v>
      </c>
      <c r="H81" s="16">
        <v>0</v>
      </c>
      <c r="I81" s="16"/>
      <c r="J8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0</v>
      </c>
      <c r="K81" s="22"/>
      <c r="L81" s="23"/>
      <c r="M81" s="23">
        <f>SUM(Tabela174681012142230322681619252731333624210121416182426283038402481012141620222628303234362426810121424610122426244262628262681026286236681012[[#This Row],[Saldo no cartão]:[Recarga Pendente]])</f>
        <v>0</v>
      </c>
      <c r="N81" s="19">
        <f>Tabela174681012142230322681619252731333624210121416182426283038402481012141620222628303234362426810121424610122426244262628262681026286236681012[[#This Row],[Uso diário]]*2</f>
        <v>37.6</v>
      </c>
      <c r="O81" s="19">
        <f>Tabela174681012142230322681619252731333624210121416182426283038402481012141620222628303234362426810121424610122426244262628262681026286236681012[[#This Row],[Total Acumulado]]-P81</f>
        <v>-94</v>
      </c>
      <c r="P81" s="48">
        <f>Tabela174681012142230322681619252731333624210121416182426283038402481012141620222628303234362426810121424610122426244262628262681026286236681012[[#This Row],[Uso diário]]*5</f>
        <v>94</v>
      </c>
      <c r="Q8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0</v>
      </c>
      <c r="S81" s="18" t="str">
        <f>IF(Tabela174681012142230322681619252731333624210121416182426283038402481012141620222628303234362426810121424610122426244262628262681026286236681012[[#This Row],[Pedido Final]]=0,"NÃO EFETUAR RECARGA","RECARGA NORMAL")</f>
        <v>NÃO EFETUAR RECARGA</v>
      </c>
      <c r="T81" s="25">
        <v>4</v>
      </c>
    </row>
    <row r="82" spans="1:20" s="26" customFormat="1" x14ac:dyDescent="0.25">
      <c r="A82" s="16">
        <v>200365</v>
      </c>
      <c r="B82" s="30" t="s">
        <v>1173</v>
      </c>
      <c r="C82" s="20" t="s">
        <v>635</v>
      </c>
      <c r="D82" s="20" t="s">
        <v>689</v>
      </c>
      <c r="E82" s="20" t="s">
        <v>2430</v>
      </c>
      <c r="F82" s="20" t="s">
        <v>2431</v>
      </c>
      <c r="G82" s="21">
        <v>18.8</v>
      </c>
      <c r="H82" s="16">
        <v>22</v>
      </c>
      <c r="I82" s="16">
        <v>1</v>
      </c>
      <c r="J8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394.8</v>
      </c>
      <c r="K82" s="22"/>
      <c r="L82" s="23"/>
      <c r="M82" s="23">
        <f>SUM(Tabela174681012142230322681619252731333624210121416182426283038402481012141620222628303234362426810121424610122426244262628262681026286236681012[[#This Row],[Saldo no cartão]:[Recarga Pendente]])</f>
        <v>0</v>
      </c>
      <c r="N82" s="19">
        <f>Tabela174681012142230322681619252731333624210121416182426283038402481012141620222628303234362426810121424610122426244262628262681026286236681012[[#This Row],[Uso diário]]*2</f>
        <v>37.6</v>
      </c>
      <c r="O82" s="19">
        <f>Tabela174681012142230322681619252731333624210121416182426283038402481012141620222628303234362426810121424610122426244262628262681026286236681012[[#This Row],[Total Acumulado]]-P82</f>
        <v>-94</v>
      </c>
      <c r="P82" s="48">
        <f>Tabela174681012142230322681619252731333624210121416182426283038402481012141620222628303234362426810121424610122426244262628262681026286236681012[[#This Row],[Uso diário]]*5</f>
        <v>94</v>
      </c>
      <c r="Q8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394.8</v>
      </c>
      <c r="S8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2" s="25">
        <v>4</v>
      </c>
    </row>
    <row r="83" spans="1:20" s="26" customFormat="1" x14ac:dyDescent="0.25">
      <c r="A83" s="16">
        <v>204327</v>
      </c>
      <c r="B83" s="30" t="s">
        <v>1444</v>
      </c>
      <c r="C83" s="20" t="s">
        <v>635</v>
      </c>
      <c r="D83" s="20" t="s">
        <v>689</v>
      </c>
      <c r="E83" s="20" t="s">
        <v>2432</v>
      </c>
      <c r="F83" s="20" t="s">
        <v>2433</v>
      </c>
      <c r="G83" s="21">
        <v>18.8</v>
      </c>
      <c r="H83" s="16">
        <v>22</v>
      </c>
      <c r="I83" s="16"/>
      <c r="J8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83" s="22"/>
      <c r="L83" s="23"/>
      <c r="M83" s="23">
        <f>SUM(Tabela174681012142230322681619252731333624210121416182426283038402481012141620222628303234362426810121424610122426244262628262681026286236681012[[#This Row],[Saldo no cartão]:[Recarga Pendente]])</f>
        <v>0</v>
      </c>
      <c r="N83" s="19">
        <f>Tabela174681012142230322681619252731333624210121416182426283038402481012141620222628303234362426810121424610122426244262628262681026286236681012[[#This Row],[Uso diário]]*2</f>
        <v>37.6</v>
      </c>
      <c r="O83" s="19">
        <f>Tabela174681012142230322681619252731333624210121416182426283038402481012141620222628303234362426810121424610122426244262628262681026286236681012[[#This Row],[Total Acumulado]]-P83</f>
        <v>-94</v>
      </c>
      <c r="P83" s="48">
        <f>Tabela174681012142230322681619252731333624210121416182426283038402481012141620222628303234362426810121424610122426244262628262681026286236681012[[#This Row],[Uso diário]]*5</f>
        <v>94</v>
      </c>
      <c r="Q8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8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3" s="25">
        <v>4</v>
      </c>
    </row>
    <row r="84" spans="1:20" s="26" customFormat="1" x14ac:dyDescent="0.25">
      <c r="A84" s="16">
        <v>204854</v>
      </c>
      <c r="B84" s="30" t="s">
        <v>239</v>
      </c>
      <c r="C84" s="20" t="s">
        <v>635</v>
      </c>
      <c r="D84" s="20" t="s">
        <v>689</v>
      </c>
      <c r="E84" s="20" t="s">
        <v>2434</v>
      </c>
      <c r="F84" s="20" t="s">
        <v>2435</v>
      </c>
      <c r="G84" s="21">
        <v>18.8</v>
      </c>
      <c r="H84" s="16">
        <v>22</v>
      </c>
      <c r="I84" s="16"/>
      <c r="J8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84" s="22"/>
      <c r="L84" s="23"/>
      <c r="M84" s="23">
        <f>SUM(Tabela174681012142230322681619252731333624210121416182426283038402481012141620222628303234362426810121424610122426244262628262681026286236681012[[#This Row],[Saldo no cartão]:[Recarga Pendente]])</f>
        <v>0</v>
      </c>
      <c r="N84" s="19">
        <f>Tabela174681012142230322681619252731333624210121416182426283038402481012141620222628303234362426810121424610122426244262628262681026286236681012[[#This Row],[Uso diário]]*2</f>
        <v>37.6</v>
      </c>
      <c r="O84" s="19">
        <f>Tabela174681012142230322681619252731333624210121416182426283038402481012141620222628303234362426810121424610122426244262628262681026286236681012[[#This Row],[Total Acumulado]]-P84</f>
        <v>-94</v>
      </c>
      <c r="P84" s="48">
        <f>Tabela174681012142230322681619252731333624210121416182426283038402481012141620222628303234362426810121424610122426244262628262681026286236681012[[#This Row],[Uso diário]]*5</f>
        <v>94</v>
      </c>
      <c r="Q8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8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4" s="25">
        <v>4</v>
      </c>
    </row>
    <row r="85" spans="1:20" s="26" customFormat="1" x14ac:dyDescent="0.25">
      <c r="A85" s="16">
        <v>231623</v>
      </c>
      <c r="B85" s="30" t="s">
        <v>821</v>
      </c>
      <c r="C85" s="20" t="s">
        <v>636</v>
      </c>
      <c r="D85" s="20" t="s">
        <v>729</v>
      </c>
      <c r="E85" s="20" t="s">
        <v>2436</v>
      </c>
      <c r="F85" s="20" t="s">
        <v>2437</v>
      </c>
      <c r="G85" s="21">
        <v>6.7</v>
      </c>
      <c r="H85" s="16">
        <v>22</v>
      </c>
      <c r="I85" s="16">
        <v>4</v>
      </c>
      <c r="J8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120.60000000000001</v>
      </c>
      <c r="K85" s="22"/>
      <c r="L85" s="23"/>
      <c r="M85" s="23">
        <f>SUM(Tabela174681012142230322681619252731333624210121416182426283038402481012141620222628303234362426810121424610122426244262628262681026286236681012[[#This Row],[Saldo no cartão]:[Recarga Pendente]])</f>
        <v>0</v>
      </c>
      <c r="N85" s="19">
        <f>Tabela174681012142230322681619252731333624210121416182426283038402481012141620222628303234362426810121424610122426244262628262681026286236681012[[#This Row],[Uso diário]]*2</f>
        <v>13.4</v>
      </c>
      <c r="O85" s="19">
        <f>Tabela174681012142230322681619252731333624210121416182426283038402481012141620222628303234362426810121424610122426244262628262681026286236681012[[#This Row],[Total Acumulado]]-P85</f>
        <v>-33.5</v>
      </c>
      <c r="P85" s="48">
        <f>Tabela174681012142230322681619252731333624210121416182426283038402481012141620222628303234362426810121424610122426244262628262681026286236681012[[#This Row],[Uso diário]]*5</f>
        <v>33.5</v>
      </c>
      <c r="Q8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120.60000000000001</v>
      </c>
      <c r="S8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5" s="25">
        <v>4</v>
      </c>
    </row>
    <row r="86" spans="1:20" s="26" customFormat="1" x14ac:dyDescent="0.25">
      <c r="A86" s="16">
        <v>232518</v>
      </c>
      <c r="B86" s="30" t="s">
        <v>903</v>
      </c>
      <c r="C86" s="20" t="s">
        <v>636</v>
      </c>
      <c r="D86" s="20" t="s">
        <v>729</v>
      </c>
      <c r="E86" s="20" t="s">
        <v>2438</v>
      </c>
      <c r="F86" s="20" t="s">
        <v>2439</v>
      </c>
      <c r="G86" s="21">
        <v>18.8</v>
      </c>
      <c r="H86" s="16">
        <v>22</v>
      </c>
      <c r="I86" s="16"/>
      <c r="J8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86" s="22"/>
      <c r="L86" s="23"/>
      <c r="M86" s="23">
        <f>SUM(Tabela174681012142230322681619252731333624210121416182426283038402481012141620222628303234362426810121424610122426244262628262681026286236681012[[#This Row],[Saldo no cartão]:[Recarga Pendente]])</f>
        <v>0</v>
      </c>
      <c r="N86" s="19">
        <f>Tabela174681012142230322681619252731333624210121416182426283038402481012141620222628303234362426810121424610122426244262628262681026286236681012[[#This Row],[Uso diário]]*2</f>
        <v>37.6</v>
      </c>
      <c r="O86" s="19">
        <f>Tabela174681012142230322681619252731333624210121416182426283038402481012141620222628303234362426810121424610122426244262628262681026286236681012[[#This Row],[Total Acumulado]]-P86</f>
        <v>-94</v>
      </c>
      <c r="P86" s="48">
        <f>Tabela174681012142230322681619252731333624210121416182426283038402481012141620222628303234362426810121424610122426244262628262681026286236681012[[#This Row],[Uso diário]]*5</f>
        <v>94</v>
      </c>
      <c r="Q8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8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6" s="25">
        <v>4</v>
      </c>
    </row>
    <row r="87" spans="1:20" s="26" customFormat="1" x14ac:dyDescent="0.25">
      <c r="A87" s="16">
        <v>233219</v>
      </c>
      <c r="B87" s="30" t="s">
        <v>978</v>
      </c>
      <c r="C87" s="20" t="s">
        <v>636</v>
      </c>
      <c r="D87" s="20" t="s">
        <v>729</v>
      </c>
      <c r="E87" s="20" t="s">
        <v>2440</v>
      </c>
      <c r="F87" s="20" t="s">
        <v>2441</v>
      </c>
      <c r="G87" s="21">
        <v>13.4</v>
      </c>
      <c r="H87" s="16">
        <v>22</v>
      </c>
      <c r="I87" s="16">
        <v>2</v>
      </c>
      <c r="J8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268</v>
      </c>
      <c r="K87" s="22"/>
      <c r="L87" s="23"/>
      <c r="M87" s="23">
        <f>SUM(Tabela174681012142230322681619252731333624210121416182426283038402481012141620222628303234362426810121424610122426244262628262681026286236681012[[#This Row],[Saldo no cartão]:[Recarga Pendente]])</f>
        <v>0</v>
      </c>
      <c r="N87" s="19">
        <f>Tabela174681012142230322681619252731333624210121416182426283038402481012141620222628303234362426810121424610122426244262628262681026286236681012[[#This Row],[Uso diário]]*2</f>
        <v>26.8</v>
      </c>
      <c r="O87" s="19">
        <f>Tabela174681012142230322681619252731333624210121416182426283038402481012141620222628303234362426810121424610122426244262628262681026286236681012[[#This Row],[Total Acumulado]]-P87</f>
        <v>-67</v>
      </c>
      <c r="P87" s="48">
        <f>Tabela174681012142230322681619252731333624210121416182426283038402481012141620222628303234362426810121424610122426244262628262681026286236681012[[#This Row],[Uso diário]]*5</f>
        <v>67</v>
      </c>
      <c r="Q8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268</v>
      </c>
      <c r="S8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7" s="25">
        <v>4</v>
      </c>
    </row>
    <row r="88" spans="1:20" s="26" customFormat="1" x14ac:dyDescent="0.25">
      <c r="A88" s="16">
        <v>233220</v>
      </c>
      <c r="B88" s="30" t="s">
        <v>979</v>
      </c>
      <c r="C88" s="20" t="s">
        <v>636</v>
      </c>
      <c r="D88" s="20" t="s">
        <v>729</v>
      </c>
      <c r="E88" s="20" t="s">
        <v>2442</v>
      </c>
      <c r="F88" s="20" t="s">
        <v>2443</v>
      </c>
      <c r="G88" s="21">
        <v>9.4</v>
      </c>
      <c r="H88" s="16">
        <v>22</v>
      </c>
      <c r="I88" s="16">
        <v>5</v>
      </c>
      <c r="J8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159.80000000000001</v>
      </c>
      <c r="K88" s="22"/>
      <c r="L88" s="23"/>
      <c r="M88" s="23">
        <f>SUM(Tabela174681012142230322681619252731333624210121416182426283038402481012141620222628303234362426810121424610122426244262628262681026286236681012[[#This Row],[Saldo no cartão]:[Recarga Pendente]])</f>
        <v>0</v>
      </c>
      <c r="N88" s="19">
        <f>Tabela174681012142230322681619252731333624210121416182426283038402481012141620222628303234362426810121424610122426244262628262681026286236681012[[#This Row],[Uso diário]]*2</f>
        <v>18.8</v>
      </c>
      <c r="O88" s="19">
        <f>Tabela174681012142230322681619252731333624210121416182426283038402481012141620222628303234362426810121424610122426244262628262681026286236681012[[#This Row],[Total Acumulado]]-P88</f>
        <v>-47</v>
      </c>
      <c r="P88" s="48">
        <f>Tabela174681012142230322681619252731333624210121416182426283038402481012141620222628303234362426810121424610122426244262628262681026286236681012[[#This Row],[Uso diário]]*5</f>
        <v>47</v>
      </c>
      <c r="Q8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159.80000000000001</v>
      </c>
      <c r="S8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8" s="25">
        <v>4</v>
      </c>
    </row>
    <row r="89" spans="1:20" s="26" customFormat="1" x14ac:dyDescent="0.25">
      <c r="A89" s="16">
        <v>233221</v>
      </c>
      <c r="B89" s="30" t="s">
        <v>980</v>
      </c>
      <c r="C89" s="20" t="s">
        <v>636</v>
      </c>
      <c r="D89" s="20" t="s">
        <v>729</v>
      </c>
      <c r="E89" s="20" t="s">
        <v>2444</v>
      </c>
      <c r="F89" s="20" t="s">
        <v>2445</v>
      </c>
      <c r="G89" s="21">
        <v>18.8</v>
      </c>
      <c r="H89" s="16">
        <v>22</v>
      </c>
      <c r="I89" s="16"/>
      <c r="J8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89" s="22"/>
      <c r="L89" s="23"/>
      <c r="M89" s="23">
        <f>SUM(Tabela174681012142230322681619252731333624210121416182426283038402481012141620222628303234362426810121424610122426244262628262681026286236681012[[#This Row],[Saldo no cartão]:[Recarga Pendente]])</f>
        <v>0</v>
      </c>
      <c r="N89" s="19">
        <f>Tabela174681012142230322681619252731333624210121416182426283038402481012141620222628303234362426810121424610122426244262628262681026286236681012[[#This Row],[Uso diário]]*2</f>
        <v>37.6</v>
      </c>
      <c r="O89" s="19">
        <f>Tabela174681012142230322681619252731333624210121416182426283038402481012141620222628303234362426810121424610122426244262628262681026286236681012[[#This Row],[Total Acumulado]]-P89</f>
        <v>-94</v>
      </c>
      <c r="P89" s="48">
        <f>Tabela174681012142230322681619252731333624210121416182426283038402481012141620222628303234362426810121424610122426244262628262681026286236681012[[#This Row],[Uso diário]]*5</f>
        <v>94</v>
      </c>
      <c r="Q8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8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8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89" s="25">
        <v>4</v>
      </c>
    </row>
    <row r="90" spans="1:20" s="26" customFormat="1" x14ac:dyDescent="0.25">
      <c r="A90" s="16">
        <v>233222</v>
      </c>
      <c r="B90" s="30" t="s">
        <v>981</v>
      </c>
      <c r="C90" s="20" t="s">
        <v>636</v>
      </c>
      <c r="D90" s="20" t="s">
        <v>729</v>
      </c>
      <c r="E90" s="20" t="s">
        <v>2446</v>
      </c>
      <c r="F90" s="20" t="s">
        <v>2447</v>
      </c>
      <c r="G90" s="21">
        <v>18.8</v>
      </c>
      <c r="H90" s="16">
        <v>22</v>
      </c>
      <c r="I90" s="16">
        <v>3</v>
      </c>
      <c r="J9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357.2</v>
      </c>
      <c r="K90" s="22"/>
      <c r="L90" s="23"/>
      <c r="M90" s="23">
        <f>SUM(Tabela174681012142230322681619252731333624210121416182426283038402481012141620222628303234362426810121424610122426244262628262681026286236681012[[#This Row],[Saldo no cartão]:[Recarga Pendente]])</f>
        <v>0</v>
      </c>
      <c r="N90" s="19">
        <f>Tabela174681012142230322681619252731333624210121416182426283038402481012141620222628303234362426810121424610122426244262628262681026286236681012[[#This Row],[Uso diário]]*2</f>
        <v>37.6</v>
      </c>
      <c r="O90" s="19">
        <f>Tabela174681012142230322681619252731333624210121416182426283038402481012141620222628303234362426810121424610122426244262628262681026286236681012[[#This Row],[Total Acumulado]]-P90</f>
        <v>-94</v>
      </c>
      <c r="P90" s="48">
        <f>Tabela174681012142230322681619252731333624210121416182426283038402481012141620222628303234362426810121424610122426244262628262681026286236681012[[#This Row],[Uso diário]]*5</f>
        <v>94</v>
      </c>
      <c r="Q9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357.2</v>
      </c>
      <c r="S9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0" s="25">
        <v>4</v>
      </c>
    </row>
    <row r="91" spans="1:20" s="26" customFormat="1" x14ac:dyDescent="0.25">
      <c r="A91" s="16">
        <v>233224</v>
      </c>
      <c r="B91" s="30" t="s">
        <v>982</v>
      </c>
      <c r="C91" s="20" t="s">
        <v>636</v>
      </c>
      <c r="D91" s="20" t="s">
        <v>729</v>
      </c>
      <c r="E91" s="20" t="s">
        <v>2448</v>
      </c>
      <c r="F91" s="20" t="s">
        <v>2449</v>
      </c>
      <c r="G91" s="21">
        <v>13.4</v>
      </c>
      <c r="H91" s="16">
        <v>22</v>
      </c>
      <c r="I91" s="16"/>
      <c r="J9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294.8</v>
      </c>
      <c r="K91" s="22"/>
      <c r="L91" s="23"/>
      <c r="M91" s="23">
        <f>SUM(Tabela174681012142230322681619252731333624210121416182426283038402481012141620222628303234362426810121424610122426244262628262681026286236681012[[#This Row],[Saldo no cartão]:[Recarga Pendente]])</f>
        <v>0</v>
      </c>
      <c r="N91" s="19">
        <f>Tabela174681012142230322681619252731333624210121416182426283038402481012141620222628303234362426810121424610122426244262628262681026286236681012[[#This Row],[Uso diário]]*2</f>
        <v>26.8</v>
      </c>
      <c r="O91" s="19">
        <f>Tabela174681012142230322681619252731333624210121416182426283038402481012141620222628303234362426810121424610122426244262628262681026286236681012[[#This Row],[Total Acumulado]]-P91</f>
        <v>-67</v>
      </c>
      <c r="P91" s="48">
        <f>Tabela174681012142230322681619252731333624210121416182426283038402481012141620222628303234362426810121424610122426244262628262681026286236681012[[#This Row],[Uso diário]]*5</f>
        <v>67</v>
      </c>
      <c r="Q9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294.8</v>
      </c>
      <c r="S9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1" s="25">
        <v>4</v>
      </c>
    </row>
    <row r="92" spans="1:20" s="26" customFormat="1" x14ac:dyDescent="0.25">
      <c r="A92" s="16">
        <v>234078</v>
      </c>
      <c r="B92" s="30" t="s">
        <v>1174</v>
      </c>
      <c r="C92" s="20" t="s">
        <v>636</v>
      </c>
      <c r="D92" s="20" t="s">
        <v>729</v>
      </c>
      <c r="E92" s="20" t="s">
        <v>2450</v>
      </c>
      <c r="F92" s="20" t="s">
        <v>2451</v>
      </c>
      <c r="G92" s="21">
        <v>6.7</v>
      </c>
      <c r="H92" s="16">
        <v>22</v>
      </c>
      <c r="I92" s="16"/>
      <c r="J9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147.4</v>
      </c>
      <c r="K92" s="22"/>
      <c r="L92" s="23"/>
      <c r="M92" s="23">
        <f>SUM(Tabela174681012142230322681619252731333624210121416182426283038402481012141620222628303234362426810121424610122426244262628262681026286236681012[[#This Row],[Saldo no cartão]:[Recarga Pendente]])</f>
        <v>0</v>
      </c>
      <c r="N92" s="19">
        <f>Tabela174681012142230322681619252731333624210121416182426283038402481012141620222628303234362426810121424610122426244262628262681026286236681012[[#This Row],[Uso diário]]*2</f>
        <v>13.4</v>
      </c>
      <c r="O92" s="19">
        <f>Tabela174681012142230322681619252731333624210121416182426283038402481012141620222628303234362426810121424610122426244262628262681026286236681012[[#This Row],[Total Acumulado]]-P92</f>
        <v>-33.5</v>
      </c>
      <c r="P92" s="48">
        <f>Tabela174681012142230322681619252731333624210121416182426283038402481012141620222628303234362426810121424610122426244262628262681026286236681012[[#This Row],[Uso diário]]*5</f>
        <v>33.5</v>
      </c>
      <c r="Q9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147.4</v>
      </c>
      <c r="S9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2" s="25">
        <v>4</v>
      </c>
    </row>
    <row r="93" spans="1:20" s="26" customFormat="1" x14ac:dyDescent="0.25">
      <c r="A93" s="16">
        <v>234079</v>
      </c>
      <c r="B93" s="30" t="s">
        <v>1175</v>
      </c>
      <c r="C93" s="20" t="s">
        <v>636</v>
      </c>
      <c r="D93" s="20" t="s">
        <v>729</v>
      </c>
      <c r="E93" s="20" t="s">
        <v>2452</v>
      </c>
      <c r="F93" s="20" t="s">
        <v>2453</v>
      </c>
      <c r="G93" s="21">
        <v>6.7</v>
      </c>
      <c r="H93" s="16">
        <v>22</v>
      </c>
      <c r="I93" s="16">
        <v>1</v>
      </c>
      <c r="J9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140.70000000000002</v>
      </c>
      <c r="K93" s="22"/>
      <c r="L93" s="23"/>
      <c r="M93" s="23">
        <f>SUM(Tabela174681012142230322681619252731333624210121416182426283038402481012141620222628303234362426810121424610122426244262628262681026286236681012[[#This Row],[Saldo no cartão]:[Recarga Pendente]])</f>
        <v>0</v>
      </c>
      <c r="N93" s="19">
        <f>Tabela174681012142230322681619252731333624210121416182426283038402481012141620222628303234362426810121424610122426244262628262681026286236681012[[#This Row],[Uso diário]]*2</f>
        <v>13.4</v>
      </c>
      <c r="O93" s="19">
        <f>Tabela174681012142230322681619252731333624210121416182426283038402481012141620222628303234362426810121424610122426244262628262681026286236681012[[#This Row],[Total Acumulado]]-P93</f>
        <v>-33.5</v>
      </c>
      <c r="P93" s="48">
        <f>Tabela174681012142230322681619252731333624210121416182426283038402481012141620222628303234362426810121424610122426244262628262681026286236681012[[#This Row],[Uso diário]]*5</f>
        <v>33.5</v>
      </c>
      <c r="Q9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140.70000000000002</v>
      </c>
      <c r="S9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3" s="25">
        <v>4</v>
      </c>
    </row>
    <row r="94" spans="1:20" s="26" customFormat="1" x14ac:dyDescent="0.25">
      <c r="A94" s="16">
        <v>234080</v>
      </c>
      <c r="B94" s="30" t="s">
        <v>1176</v>
      </c>
      <c r="C94" s="20" t="s">
        <v>636</v>
      </c>
      <c r="D94" s="20" t="s">
        <v>729</v>
      </c>
      <c r="E94" s="20" t="s">
        <v>2454</v>
      </c>
      <c r="F94" s="20" t="s">
        <v>2455</v>
      </c>
      <c r="G94" s="21">
        <v>6.7</v>
      </c>
      <c r="H94" s="16">
        <v>22</v>
      </c>
      <c r="I94" s="16">
        <v>1</v>
      </c>
      <c r="J9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140.70000000000002</v>
      </c>
      <c r="K94" s="22"/>
      <c r="L94" s="23"/>
      <c r="M94" s="23">
        <f>SUM(Tabela174681012142230322681619252731333624210121416182426283038402481012141620222628303234362426810121424610122426244262628262681026286236681012[[#This Row],[Saldo no cartão]:[Recarga Pendente]])</f>
        <v>0</v>
      </c>
      <c r="N94" s="19">
        <f>Tabela174681012142230322681619252731333624210121416182426283038402481012141620222628303234362426810121424610122426244262628262681026286236681012[[#This Row],[Uso diário]]*2</f>
        <v>13.4</v>
      </c>
      <c r="O94" s="19">
        <f>Tabela174681012142230322681619252731333624210121416182426283038402481012141620222628303234362426810121424610122426244262628262681026286236681012[[#This Row],[Total Acumulado]]-P94</f>
        <v>-33.5</v>
      </c>
      <c r="P94" s="48">
        <f>Tabela174681012142230322681619252731333624210121416182426283038402481012141620222628303234362426810121424610122426244262628262681026286236681012[[#This Row],[Uso diário]]*5</f>
        <v>33.5</v>
      </c>
      <c r="Q9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140.70000000000002</v>
      </c>
      <c r="S9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4" s="25">
        <v>4</v>
      </c>
    </row>
    <row r="95" spans="1:20" s="26" customFormat="1" x14ac:dyDescent="0.25">
      <c r="A95" s="16">
        <v>235019</v>
      </c>
      <c r="B95" s="30" t="s">
        <v>1445</v>
      </c>
      <c r="C95" s="20" t="s">
        <v>636</v>
      </c>
      <c r="D95" s="20" t="s">
        <v>729</v>
      </c>
      <c r="E95" s="20" t="s">
        <v>2456</v>
      </c>
      <c r="F95" s="20" t="s">
        <v>2457</v>
      </c>
      <c r="G95" s="21">
        <v>13.4</v>
      </c>
      <c r="H95" s="16">
        <v>22</v>
      </c>
      <c r="I95" s="16"/>
      <c r="J9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294.8</v>
      </c>
      <c r="K95" s="22"/>
      <c r="L95" s="23">
        <v>59.5</v>
      </c>
      <c r="M95" s="23">
        <f>SUM(Tabela174681012142230322681619252731333624210121416182426283038402481012141620222628303234362426810121424610122426244262628262681026286236681012[[#This Row],[Saldo no cartão]:[Recarga Pendente]])</f>
        <v>59.5</v>
      </c>
      <c r="N95" s="19">
        <f>Tabela174681012142230322681619252731333624210121416182426283038402481012141620222628303234362426810121424610122426244262628262681026286236681012[[#This Row],[Uso diário]]*2</f>
        <v>26.8</v>
      </c>
      <c r="O95" s="19">
        <f>Tabela174681012142230322681619252731333624210121416182426283038402481012141620222628303234362426810121424610122426244262628262681026286236681012[[#This Row],[Total Acumulado]]-P95</f>
        <v>-7.5</v>
      </c>
      <c r="P95" s="48">
        <f>Tabela174681012142230322681619252731333624210121416182426283038402481012141620222628303234362426810121424610122426244262628262681026286236681012[[#This Row],[Uso diário]]*5</f>
        <v>67</v>
      </c>
      <c r="Q9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294.8</v>
      </c>
      <c r="S9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5" s="25">
        <v>4</v>
      </c>
    </row>
    <row r="96" spans="1:20" s="26" customFormat="1" x14ac:dyDescent="0.25">
      <c r="A96" s="16">
        <v>220129</v>
      </c>
      <c r="B96" s="30" t="s">
        <v>1446</v>
      </c>
      <c r="C96" s="20" t="s">
        <v>653</v>
      </c>
      <c r="D96" s="20" t="s">
        <v>714</v>
      </c>
      <c r="E96" s="20" t="s">
        <v>2458</v>
      </c>
      <c r="F96" s="20" t="s">
        <v>2459</v>
      </c>
      <c r="G96" s="21">
        <v>18.8</v>
      </c>
      <c r="H96" s="16">
        <v>26</v>
      </c>
      <c r="I96" s="16">
        <v>6</v>
      </c>
      <c r="J9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376</v>
      </c>
      <c r="K96" s="22"/>
      <c r="L96" s="23"/>
      <c r="M96" s="23">
        <f>SUM(Tabela174681012142230322681619252731333624210121416182426283038402481012141620222628303234362426810121424610122426244262628262681026286236681012[[#This Row],[Saldo no cartão]:[Recarga Pendente]])</f>
        <v>0</v>
      </c>
      <c r="N96" s="19">
        <f>Tabela174681012142230322681619252731333624210121416182426283038402481012141620222628303234362426810121424610122426244262628262681026286236681012[[#This Row],[Uso diário]]*2</f>
        <v>37.6</v>
      </c>
      <c r="O96" s="19">
        <f>Tabela174681012142230322681619252731333624210121416182426283038402481012141620222628303234362426810121424610122426244262628262681026286236681012[[#This Row],[Total Acumulado]]-P96</f>
        <v>-94</v>
      </c>
      <c r="P96" s="48">
        <f>Tabela174681012142230322681619252731333624210121416182426283038402481012141620222628303234362426810121424610122426244262628262681026286236681012[[#This Row],[Uso diário]]*5</f>
        <v>94</v>
      </c>
      <c r="Q9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376</v>
      </c>
      <c r="S9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6" s="25">
        <v>4</v>
      </c>
    </row>
    <row r="97" spans="1:20" s="26" customFormat="1" x14ac:dyDescent="0.25">
      <c r="A97" s="16">
        <v>225669</v>
      </c>
      <c r="B97" s="30" t="s">
        <v>240</v>
      </c>
      <c r="C97" s="20" t="s">
        <v>653</v>
      </c>
      <c r="D97" s="20" t="s">
        <v>714</v>
      </c>
      <c r="E97" s="20" t="s">
        <v>2460</v>
      </c>
      <c r="F97" s="20" t="s">
        <v>2461</v>
      </c>
      <c r="G97" s="21">
        <v>13.4</v>
      </c>
      <c r="H97" s="16">
        <v>26</v>
      </c>
      <c r="I97" s="16">
        <v>1</v>
      </c>
      <c r="J9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97" s="22"/>
      <c r="L97" s="23"/>
      <c r="M97" s="23">
        <f>SUM(Tabela174681012142230322681619252731333624210121416182426283038402481012141620222628303234362426810121424610122426244262628262681026286236681012[[#This Row],[Saldo no cartão]:[Recarga Pendente]])</f>
        <v>0</v>
      </c>
      <c r="N97" s="19">
        <f>Tabela174681012142230322681619252731333624210121416182426283038402481012141620222628303234362426810121424610122426244262628262681026286236681012[[#This Row],[Uso diário]]*2</f>
        <v>26.8</v>
      </c>
      <c r="O97" s="19">
        <f>Tabela174681012142230322681619252731333624210121416182426283038402481012141620222628303234362426810121424610122426244262628262681026286236681012[[#This Row],[Total Acumulado]]-P97</f>
        <v>-67</v>
      </c>
      <c r="P97" s="48">
        <f>Tabela174681012142230322681619252731333624210121416182426283038402481012141620222628303234362426810121424610122426244262628262681026286236681012[[#This Row],[Uso diário]]*5</f>
        <v>67</v>
      </c>
      <c r="Q9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9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7" s="25">
        <v>4</v>
      </c>
    </row>
    <row r="98" spans="1:20" s="26" customFormat="1" x14ac:dyDescent="0.25">
      <c r="A98" s="16">
        <v>229464</v>
      </c>
      <c r="B98" s="30" t="s">
        <v>1177</v>
      </c>
      <c r="C98" s="20" t="s">
        <v>653</v>
      </c>
      <c r="D98" s="20" t="s">
        <v>714</v>
      </c>
      <c r="E98" s="20" t="s">
        <v>2462</v>
      </c>
      <c r="F98" s="20" t="s">
        <v>2463</v>
      </c>
      <c r="G98" s="21">
        <v>13.4</v>
      </c>
      <c r="H98" s="16">
        <v>26</v>
      </c>
      <c r="I98" s="16">
        <v>1</v>
      </c>
      <c r="J9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98" s="22"/>
      <c r="L98" s="23"/>
      <c r="M98" s="23">
        <f>SUM(Tabela174681012142230322681619252731333624210121416182426283038402481012141620222628303234362426810121424610122426244262628262681026286236681012[[#This Row],[Saldo no cartão]:[Recarga Pendente]])</f>
        <v>0</v>
      </c>
      <c r="N98" s="19">
        <f>Tabela174681012142230322681619252731333624210121416182426283038402481012141620222628303234362426810121424610122426244262628262681026286236681012[[#This Row],[Uso diário]]*2</f>
        <v>26.8</v>
      </c>
      <c r="O98" s="19">
        <f>Tabela174681012142230322681619252731333624210121416182426283038402481012141620222628303234362426810121424610122426244262628262681026286236681012[[#This Row],[Total Acumulado]]-P98</f>
        <v>-67</v>
      </c>
      <c r="P98" s="48">
        <f>Tabela174681012142230322681619252731333624210121416182426283038402481012141620222628303234362426810121424610122426244262628262681026286236681012[[#This Row],[Uso diário]]*5</f>
        <v>67</v>
      </c>
      <c r="Q9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9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8" s="25">
        <v>4</v>
      </c>
    </row>
    <row r="99" spans="1:20" s="26" customFormat="1" x14ac:dyDescent="0.25">
      <c r="A99" s="16">
        <v>229550</v>
      </c>
      <c r="B99" s="30" t="s">
        <v>1062</v>
      </c>
      <c r="C99" s="20" t="s">
        <v>653</v>
      </c>
      <c r="D99" s="20" t="s">
        <v>714</v>
      </c>
      <c r="E99" s="20" t="s">
        <v>2464</v>
      </c>
      <c r="F99" s="20" t="s">
        <v>2465</v>
      </c>
      <c r="G99" s="21">
        <v>13.4</v>
      </c>
      <c r="H99" s="16">
        <v>26</v>
      </c>
      <c r="I99" s="16">
        <v>1</v>
      </c>
      <c r="J9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99" s="22"/>
      <c r="L99" s="23"/>
      <c r="M99" s="23">
        <f>SUM(Tabela174681012142230322681619252731333624210121416182426283038402481012141620222628303234362426810121424610122426244262628262681026286236681012[[#This Row],[Saldo no cartão]:[Recarga Pendente]])</f>
        <v>0</v>
      </c>
      <c r="N99" s="19">
        <f>Tabela174681012142230322681619252731333624210121416182426283038402481012141620222628303234362426810121424610122426244262628262681026286236681012[[#This Row],[Uso diário]]*2</f>
        <v>26.8</v>
      </c>
      <c r="O99" s="19">
        <f>Tabela174681012142230322681619252731333624210121416182426283038402481012141620222628303234362426810121424610122426244262628262681026286236681012[[#This Row],[Total Acumulado]]-P99</f>
        <v>-67</v>
      </c>
      <c r="P99" s="48">
        <f>Tabela174681012142230322681619252731333624210121416182426283038402481012141620222628303234362426810121424610122426244262628262681026286236681012[[#This Row],[Uso diário]]*5</f>
        <v>67</v>
      </c>
      <c r="Q9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9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9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99" s="25">
        <v>4</v>
      </c>
    </row>
    <row r="100" spans="1:20" s="26" customFormat="1" x14ac:dyDescent="0.25">
      <c r="A100" s="16">
        <v>230862</v>
      </c>
      <c r="B100" s="30" t="s">
        <v>594</v>
      </c>
      <c r="C100" s="20" t="s">
        <v>653</v>
      </c>
      <c r="D100" s="20" t="s">
        <v>714</v>
      </c>
      <c r="E100" s="20" t="s">
        <v>2466</v>
      </c>
      <c r="F100" s="20" t="s">
        <v>2467</v>
      </c>
      <c r="G100" s="21">
        <v>18.8</v>
      </c>
      <c r="H100" s="16">
        <v>26</v>
      </c>
      <c r="I100" s="16">
        <v>4</v>
      </c>
      <c r="J10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413.6</v>
      </c>
      <c r="K100" s="22"/>
      <c r="L100" s="23"/>
      <c r="M100" s="23">
        <f>SUM(Tabela174681012142230322681619252731333624210121416182426283038402481012141620222628303234362426810121424610122426244262628262681026286236681012[[#This Row],[Saldo no cartão]:[Recarga Pendente]])</f>
        <v>0</v>
      </c>
      <c r="N100" s="19">
        <f>Tabela174681012142230322681619252731333624210121416182426283038402481012141620222628303234362426810121424610122426244262628262681026286236681012[[#This Row],[Uso diário]]*2</f>
        <v>37.6</v>
      </c>
      <c r="O100" s="19">
        <f>Tabela174681012142230322681619252731333624210121416182426283038402481012141620222628303234362426810121424610122426244262628262681026286236681012[[#This Row],[Total Acumulado]]-P100</f>
        <v>-94</v>
      </c>
      <c r="P100" s="48">
        <f>Tabela174681012142230322681619252731333624210121416182426283038402481012141620222628303234362426810121424610122426244262628262681026286236681012[[#This Row],[Uso diário]]*5</f>
        <v>94</v>
      </c>
      <c r="Q10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413.6</v>
      </c>
      <c r="S10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0" s="25">
        <v>4</v>
      </c>
    </row>
    <row r="101" spans="1:20" s="26" customFormat="1" x14ac:dyDescent="0.25">
      <c r="A101" s="16">
        <v>232271</v>
      </c>
      <c r="B101" s="30" t="s">
        <v>884</v>
      </c>
      <c r="C101" s="20" t="s">
        <v>653</v>
      </c>
      <c r="D101" s="20" t="s">
        <v>714</v>
      </c>
      <c r="E101" s="20" t="s">
        <v>2468</v>
      </c>
      <c r="F101" s="20" t="s">
        <v>2469</v>
      </c>
      <c r="G101" s="21">
        <v>14.2</v>
      </c>
      <c r="H101" s="16">
        <v>26</v>
      </c>
      <c r="I101" s="16"/>
      <c r="J10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369.2</v>
      </c>
      <c r="K101" s="22"/>
      <c r="L101" s="23"/>
      <c r="M101" s="23">
        <f>SUM(Tabela174681012142230322681619252731333624210121416182426283038402481012141620222628303234362426810121424610122426244262628262681026286236681012[[#This Row],[Saldo no cartão]:[Recarga Pendente]])</f>
        <v>0</v>
      </c>
      <c r="N101" s="19">
        <f>Tabela174681012142230322681619252731333624210121416182426283038402481012141620222628303234362426810121424610122426244262628262681026286236681012[[#This Row],[Uso diário]]*2</f>
        <v>28.4</v>
      </c>
      <c r="O101" s="19">
        <f>Tabela174681012142230322681619252731333624210121416182426283038402481012141620222628303234362426810121424610122426244262628262681026286236681012[[#This Row],[Total Acumulado]]-P101</f>
        <v>-71</v>
      </c>
      <c r="P101" s="48">
        <f>Tabela174681012142230322681619252731333624210121416182426283038402481012141620222628303234362426810121424610122426244262628262681026286236681012[[#This Row],[Uso diário]]*5</f>
        <v>71</v>
      </c>
      <c r="Q10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369.2</v>
      </c>
      <c r="S10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1" s="25">
        <v>4</v>
      </c>
    </row>
    <row r="102" spans="1:20" s="26" customFormat="1" x14ac:dyDescent="0.25">
      <c r="A102" s="16">
        <v>232973</v>
      </c>
      <c r="B102" s="30" t="s">
        <v>983</v>
      </c>
      <c r="C102" s="20" t="s">
        <v>653</v>
      </c>
      <c r="D102" s="20" t="s">
        <v>714</v>
      </c>
      <c r="E102" s="20" t="s">
        <v>2470</v>
      </c>
      <c r="F102" s="20" t="s">
        <v>2471</v>
      </c>
      <c r="G102" s="21">
        <v>13.4</v>
      </c>
      <c r="H102" s="16">
        <v>26</v>
      </c>
      <c r="I102" s="16"/>
      <c r="J10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02" s="22"/>
      <c r="L102" s="23"/>
      <c r="M102" s="23">
        <f>SUM(Tabela174681012142230322681619252731333624210121416182426283038402481012141620222628303234362426810121424610122426244262628262681026286236681012[[#This Row],[Saldo no cartão]:[Recarga Pendente]])</f>
        <v>0</v>
      </c>
      <c r="N102" s="19">
        <f>Tabela174681012142230322681619252731333624210121416182426283038402481012141620222628303234362426810121424610122426244262628262681026286236681012[[#This Row],[Uso diário]]*2</f>
        <v>26.8</v>
      </c>
      <c r="O102" s="19">
        <f>Tabela174681012142230322681619252731333624210121416182426283038402481012141620222628303234362426810121424610122426244262628262681026286236681012[[#This Row],[Total Acumulado]]-P102</f>
        <v>-67</v>
      </c>
      <c r="P102" s="48">
        <f>Tabela174681012142230322681619252731333624210121416182426283038402481012141620222628303234362426810121424610122426244262628262681026286236681012[[#This Row],[Uso diário]]*5</f>
        <v>67</v>
      </c>
      <c r="Q10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0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2" s="25">
        <v>4</v>
      </c>
    </row>
    <row r="103" spans="1:20" s="26" customFormat="1" x14ac:dyDescent="0.25">
      <c r="A103" s="16">
        <v>218881</v>
      </c>
      <c r="B103" s="30" t="s">
        <v>241</v>
      </c>
      <c r="C103" s="20" t="s">
        <v>656</v>
      </c>
      <c r="D103" s="20" t="s">
        <v>740</v>
      </c>
      <c r="E103" s="20" t="s">
        <v>2472</v>
      </c>
      <c r="F103" s="20" t="s">
        <v>2473</v>
      </c>
      <c r="G103" s="21">
        <v>18.8</v>
      </c>
      <c r="H103" s="16">
        <v>29</v>
      </c>
      <c r="I103" s="16"/>
      <c r="J10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545.20000000000005</v>
      </c>
      <c r="K103" s="22"/>
      <c r="L103" s="23"/>
      <c r="M103" s="23">
        <f>SUM(Tabela174681012142230322681619252731333624210121416182426283038402481012141620222628303234362426810121424610122426244262628262681026286236681012[[#This Row],[Saldo no cartão]:[Recarga Pendente]])</f>
        <v>0</v>
      </c>
      <c r="N103" s="19">
        <f>Tabela174681012142230322681619252731333624210121416182426283038402481012141620222628303234362426810121424610122426244262628262681026286236681012[[#This Row],[Uso diário]]*2</f>
        <v>37.6</v>
      </c>
      <c r="O103" s="19">
        <f>Tabela174681012142230322681619252731333624210121416182426283038402481012141620222628303234362426810121424610122426244262628262681026286236681012[[#This Row],[Total Acumulado]]-P103</f>
        <v>-94</v>
      </c>
      <c r="P103" s="48">
        <f>Tabela174681012142230322681619252731333624210121416182426283038402481012141620222628303234362426810121424610122426244262628262681026286236681012[[#This Row],[Uso diário]]*5</f>
        <v>94</v>
      </c>
      <c r="Q10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545.20000000000005</v>
      </c>
      <c r="S10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3" s="25">
        <v>4</v>
      </c>
    </row>
    <row r="104" spans="1:20" s="26" customFormat="1" x14ac:dyDescent="0.25">
      <c r="A104" s="16">
        <v>209654</v>
      </c>
      <c r="B104" s="30" t="s">
        <v>242</v>
      </c>
      <c r="C104" s="20" t="s">
        <v>654</v>
      </c>
      <c r="D104" s="20" t="s">
        <v>715</v>
      </c>
      <c r="E104" s="20" t="s">
        <v>2474</v>
      </c>
      <c r="F104" s="20" t="s">
        <v>2475</v>
      </c>
      <c r="G104" s="21">
        <v>18.8</v>
      </c>
      <c r="H104" s="16">
        <v>26</v>
      </c>
      <c r="I104" s="16"/>
      <c r="J10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04" s="22"/>
      <c r="L104" s="23"/>
      <c r="M104" s="23">
        <f>SUM(Tabela174681012142230322681619252731333624210121416182426283038402481012141620222628303234362426810121424610122426244262628262681026286236681012[[#This Row],[Saldo no cartão]:[Recarga Pendente]])</f>
        <v>0</v>
      </c>
      <c r="N104" s="19">
        <f>Tabela174681012142230322681619252731333624210121416182426283038402481012141620222628303234362426810121424610122426244262628262681026286236681012[[#This Row],[Uso diário]]*2</f>
        <v>37.6</v>
      </c>
      <c r="O104" s="19">
        <f>Tabela174681012142230322681619252731333624210121416182426283038402481012141620222628303234362426810121424610122426244262628262681026286236681012[[#This Row],[Total Acumulado]]-P104</f>
        <v>-94</v>
      </c>
      <c r="P104" s="48">
        <f>Tabela174681012142230322681619252731333624210121416182426283038402481012141620222628303234362426810121424610122426244262628262681026286236681012[[#This Row],[Uso diário]]*5</f>
        <v>94</v>
      </c>
      <c r="Q10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0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4" s="25">
        <v>4</v>
      </c>
    </row>
    <row r="105" spans="1:20" s="26" customFormat="1" x14ac:dyDescent="0.25">
      <c r="A105" s="16">
        <v>214093</v>
      </c>
      <c r="B105" s="30" t="s">
        <v>243</v>
      </c>
      <c r="C105" s="20" t="s">
        <v>654</v>
      </c>
      <c r="D105" s="20" t="s">
        <v>731</v>
      </c>
      <c r="E105" s="20" t="s">
        <v>2476</v>
      </c>
      <c r="F105" s="20" t="s">
        <v>2477</v>
      </c>
      <c r="G105" s="21">
        <v>18.8</v>
      </c>
      <c r="H105" s="16">
        <v>26</v>
      </c>
      <c r="I105" s="16"/>
      <c r="J10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05" s="22"/>
      <c r="L105" s="23">
        <v>93.9</v>
      </c>
      <c r="M105" s="23">
        <f>SUM(Tabela174681012142230322681619252731333624210121416182426283038402481012141620222628303234362426810121424610122426244262628262681026286236681012[[#This Row],[Saldo no cartão]:[Recarga Pendente]])</f>
        <v>93.9</v>
      </c>
      <c r="N105" s="19">
        <f>Tabela174681012142230322681619252731333624210121416182426283038402481012141620222628303234362426810121424610122426244262628262681026286236681012[[#This Row],[Uso diário]]*2</f>
        <v>37.6</v>
      </c>
      <c r="O105" s="19">
        <f>Tabela174681012142230322681619252731333624210121416182426283038402481012141620222628303234362426810121424610122426244262628262681026286236681012[[#This Row],[Total Acumulado]]-P105</f>
        <v>-9.9999999999994316E-2</v>
      </c>
      <c r="P105" s="48">
        <f>Tabela174681012142230322681619252731333624210121416182426283038402481012141620222628303234362426810121424610122426244262628262681026286236681012[[#This Row],[Uso diário]]*5</f>
        <v>94</v>
      </c>
      <c r="Q10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0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5" s="25">
        <v>4</v>
      </c>
    </row>
    <row r="106" spans="1:20" s="26" customFormat="1" x14ac:dyDescent="0.25">
      <c r="A106" s="16">
        <v>214588</v>
      </c>
      <c r="B106" s="30" t="s">
        <v>244</v>
      </c>
      <c r="C106" s="20" t="s">
        <v>654</v>
      </c>
      <c r="D106" s="20" t="s">
        <v>731</v>
      </c>
      <c r="E106" s="20" t="s">
        <v>2478</v>
      </c>
      <c r="F106" s="20" t="s">
        <v>2479</v>
      </c>
      <c r="G106" s="21">
        <v>18.8</v>
      </c>
      <c r="H106" s="16">
        <v>26</v>
      </c>
      <c r="I106" s="16">
        <v>1</v>
      </c>
      <c r="J10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470</v>
      </c>
      <c r="K106" s="22"/>
      <c r="L106" s="23">
        <v>18.8</v>
      </c>
      <c r="M106" s="23">
        <f>SUM(Tabela174681012142230322681619252731333624210121416182426283038402481012141620222628303234362426810121424610122426244262628262681026286236681012[[#This Row],[Saldo no cartão]:[Recarga Pendente]])</f>
        <v>18.8</v>
      </c>
      <c r="N106" s="19">
        <f>Tabela174681012142230322681619252731333624210121416182426283038402481012141620222628303234362426810121424610122426244262628262681026286236681012[[#This Row],[Uso diário]]*2</f>
        <v>37.6</v>
      </c>
      <c r="O106" s="19">
        <f>Tabela174681012142230322681619252731333624210121416182426283038402481012141620222628303234362426810121424610122426244262628262681026286236681012[[#This Row],[Total Acumulado]]-P106</f>
        <v>-75.2</v>
      </c>
      <c r="P106" s="48">
        <f>Tabela174681012142230322681619252731333624210121416182426283038402481012141620222628303234362426810121424610122426244262628262681026286236681012[[#This Row],[Uso diário]]*5</f>
        <v>94</v>
      </c>
      <c r="Q10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470</v>
      </c>
      <c r="S10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6" s="25">
        <v>4</v>
      </c>
    </row>
    <row r="107" spans="1:20" s="26" customFormat="1" x14ac:dyDescent="0.25">
      <c r="A107" s="16">
        <v>216262</v>
      </c>
      <c r="B107" s="30" t="s">
        <v>245</v>
      </c>
      <c r="C107" s="20" t="s">
        <v>654</v>
      </c>
      <c r="D107" s="20" t="s">
        <v>715</v>
      </c>
      <c r="E107" s="20" t="s">
        <v>2480</v>
      </c>
      <c r="F107" s="20" t="s">
        <v>2481</v>
      </c>
      <c r="G107" s="21">
        <v>13.4</v>
      </c>
      <c r="H107" s="16">
        <v>26</v>
      </c>
      <c r="I107" s="16"/>
      <c r="J10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07" s="22"/>
      <c r="L107" s="23"/>
      <c r="M107" s="23">
        <f>SUM(Tabela174681012142230322681619252731333624210121416182426283038402481012141620222628303234362426810121424610122426244262628262681026286236681012[[#This Row],[Saldo no cartão]:[Recarga Pendente]])</f>
        <v>0</v>
      </c>
      <c r="N107" s="19">
        <f>Tabela174681012142230322681619252731333624210121416182426283038402481012141620222628303234362426810121424610122426244262628262681026286236681012[[#This Row],[Uso diário]]*2</f>
        <v>26.8</v>
      </c>
      <c r="O107" s="19">
        <f>Tabela174681012142230322681619252731333624210121416182426283038402481012141620222628303234362426810121424610122426244262628262681026286236681012[[#This Row],[Total Acumulado]]-P107</f>
        <v>-67</v>
      </c>
      <c r="P107" s="48">
        <f>Tabela174681012142230322681619252731333624210121416182426283038402481012141620222628303234362426810121424610122426244262628262681026286236681012[[#This Row],[Uso diário]]*5</f>
        <v>67</v>
      </c>
      <c r="Q10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0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7" s="25">
        <v>4</v>
      </c>
    </row>
    <row r="108" spans="1:20" s="26" customFormat="1" x14ac:dyDescent="0.25">
      <c r="A108" s="16">
        <v>218568</v>
      </c>
      <c r="B108" s="30" t="s">
        <v>246</v>
      </c>
      <c r="C108" s="20" t="s">
        <v>654</v>
      </c>
      <c r="D108" s="20" t="s">
        <v>715</v>
      </c>
      <c r="E108" s="20" t="s">
        <v>2482</v>
      </c>
      <c r="F108" s="20" t="s">
        <v>2483</v>
      </c>
      <c r="G108" s="21">
        <v>18.8</v>
      </c>
      <c r="H108" s="16">
        <v>26</v>
      </c>
      <c r="I108" s="16"/>
      <c r="J10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08" s="22"/>
      <c r="L108" s="23"/>
      <c r="M108" s="23">
        <f>SUM(Tabela174681012142230322681619252731333624210121416182426283038402481012141620222628303234362426810121424610122426244262628262681026286236681012[[#This Row],[Saldo no cartão]:[Recarga Pendente]])</f>
        <v>0</v>
      </c>
      <c r="N108" s="19">
        <f>Tabela174681012142230322681619252731333624210121416182426283038402481012141620222628303234362426810121424610122426244262628262681026286236681012[[#This Row],[Uso diário]]*2</f>
        <v>37.6</v>
      </c>
      <c r="O108" s="19">
        <f>Tabela174681012142230322681619252731333624210121416182426283038402481012141620222628303234362426810121424610122426244262628262681026286236681012[[#This Row],[Total Acumulado]]-P108</f>
        <v>-94</v>
      </c>
      <c r="P108" s="48">
        <f>Tabela174681012142230322681619252731333624210121416182426283038402481012141620222628303234362426810121424610122426244262628262681026286236681012[[#This Row],[Uso diário]]*5</f>
        <v>94</v>
      </c>
      <c r="Q10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0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8" s="25">
        <v>4</v>
      </c>
    </row>
    <row r="109" spans="1:20" s="26" customFormat="1" x14ac:dyDescent="0.25">
      <c r="A109" s="16">
        <v>220800</v>
      </c>
      <c r="B109" s="30" t="s">
        <v>247</v>
      </c>
      <c r="C109" s="20" t="s">
        <v>654</v>
      </c>
      <c r="D109" s="20" t="s">
        <v>715</v>
      </c>
      <c r="E109" s="20" t="s">
        <v>2484</v>
      </c>
      <c r="F109" s="20" t="s">
        <v>2485</v>
      </c>
      <c r="G109" s="21">
        <v>13.4</v>
      </c>
      <c r="H109" s="16">
        <v>26</v>
      </c>
      <c r="I109" s="16">
        <v>1</v>
      </c>
      <c r="J10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109" s="22"/>
      <c r="L109" s="23"/>
      <c r="M109" s="23">
        <f>SUM(Tabela174681012142230322681619252731333624210121416182426283038402481012141620222628303234362426810121424610122426244262628262681026286236681012[[#This Row],[Saldo no cartão]:[Recarga Pendente]])</f>
        <v>0</v>
      </c>
      <c r="N109" s="19">
        <f>Tabela174681012142230322681619252731333624210121416182426283038402481012141620222628303234362426810121424610122426244262628262681026286236681012[[#This Row],[Uso diário]]*2</f>
        <v>26.8</v>
      </c>
      <c r="O109" s="19">
        <f>Tabela174681012142230322681619252731333624210121416182426283038402481012141620222628303234362426810121424610122426244262628262681026286236681012[[#This Row],[Total Acumulado]]-P109</f>
        <v>-67</v>
      </c>
      <c r="P109" s="48">
        <f>Tabela174681012142230322681619252731333624210121416182426283038402481012141620222628303234362426810121424610122426244262628262681026286236681012[[#This Row],[Uso diário]]*5</f>
        <v>67</v>
      </c>
      <c r="Q10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0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10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09" s="25">
        <v>4</v>
      </c>
    </row>
    <row r="110" spans="1:20" s="26" customFormat="1" x14ac:dyDescent="0.25">
      <c r="A110" s="16">
        <v>221474</v>
      </c>
      <c r="B110" s="30" t="s">
        <v>204</v>
      </c>
      <c r="C110" s="20" t="s">
        <v>654</v>
      </c>
      <c r="D110" s="20" t="s">
        <v>715</v>
      </c>
      <c r="E110" s="20" t="s">
        <v>2486</v>
      </c>
      <c r="F110" s="20" t="s">
        <v>2487</v>
      </c>
      <c r="G110" s="21">
        <v>13.4</v>
      </c>
      <c r="H110" s="16">
        <v>26</v>
      </c>
      <c r="I110" s="16">
        <v>4</v>
      </c>
      <c r="J11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294.8</v>
      </c>
      <c r="K110" s="22"/>
      <c r="L110" s="23"/>
      <c r="M110" s="23">
        <f>SUM(Tabela174681012142230322681619252731333624210121416182426283038402481012141620222628303234362426810121424610122426244262628262681026286236681012[[#This Row],[Saldo no cartão]:[Recarga Pendente]])</f>
        <v>0</v>
      </c>
      <c r="N110" s="19">
        <f>Tabela174681012142230322681619252731333624210121416182426283038402481012141620222628303234362426810121424610122426244262628262681026286236681012[[#This Row],[Uso diário]]*2</f>
        <v>26.8</v>
      </c>
      <c r="O110" s="19">
        <f>Tabela174681012142230322681619252731333624210121416182426283038402481012141620222628303234362426810121424610122426244262628262681026286236681012[[#This Row],[Total Acumulado]]-P110</f>
        <v>-67</v>
      </c>
      <c r="P110" s="48">
        <f>Tabela174681012142230322681619252731333624210121416182426283038402481012141620222628303234362426810121424610122426244262628262681026286236681012[[#This Row],[Uso diário]]*5</f>
        <v>67</v>
      </c>
      <c r="Q11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294.8</v>
      </c>
      <c r="S11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0" s="25">
        <v>4</v>
      </c>
    </row>
    <row r="111" spans="1:20" s="26" customFormat="1" x14ac:dyDescent="0.25">
      <c r="A111" s="16">
        <v>226681</v>
      </c>
      <c r="B111" s="30" t="s">
        <v>249</v>
      </c>
      <c r="C111" s="20" t="s">
        <v>654</v>
      </c>
      <c r="D111" s="20" t="s">
        <v>715</v>
      </c>
      <c r="E111" s="20" t="s">
        <v>2488</v>
      </c>
      <c r="F111" s="20" t="s">
        <v>2489</v>
      </c>
      <c r="G111" s="21">
        <v>13.4</v>
      </c>
      <c r="H111" s="16">
        <v>26</v>
      </c>
      <c r="I111" s="16"/>
      <c r="J11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11" s="22"/>
      <c r="L111" s="23"/>
      <c r="M111" s="23">
        <f>SUM(Tabela174681012142230322681619252731333624210121416182426283038402481012141620222628303234362426810121424610122426244262628262681026286236681012[[#This Row],[Saldo no cartão]:[Recarga Pendente]])</f>
        <v>0</v>
      </c>
      <c r="N111" s="19">
        <f>Tabela174681012142230322681619252731333624210121416182426283038402481012141620222628303234362426810121424610122426244262628262681026286236681012[[#This Row],[Uso diário]]*2</f>
        <v>26.8</v>
      </c>
      <c r="O111" s="19">
        <f>Tabela174681012142230322681619252731333624210121416182426283038402481012141620222628303234362426810121424610122426244262628262681026286236681012[[#This Row],[Total Acumulado]]-P111</f>
        <v>-67</v>
      </c>
      <c r="P111" s="48">
        <f>Tabela174681012142230322681619252731333624210121416182426283038402481012141620222628303234362426810121424610122426244262628262681026286236681012[[#This Row],[Uso diário]]*5</f>
        <v>67</v>
      </c>
      <c r="Q11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1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1" s="25">
        <v>4</v>
      </c>
    </row>
    <row r="112" spans="1:20" s="26" customFormat="1" x14ac:dyDescent="0.25">
      <c r="A112" s="16">
        <v>228130</v>
      </c>
      <c r="B112" s="30" t="s">
        <v>250</v>
      </c>
      <c r="C112" s="20" t="s">
        <v>654</v>
      </c>
      <c r="D112" s="20" t="s">
        <v>715</v>
      </c>
      <c r="E112" s="20" t="s">
        <v>2490</v>
      </c>
      <c r="F112" s="20" t="s">
        <v>2491</v>
      </c>
      <c r="G112" s="21">
        <v>18.8</v>
      </c>
      <c r="H112" s="16">
        <v>26</v>
      </c>
      <c r="I112" s="16">
        <v>1</v>
      </c>
      <c r="J11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470</v>
      </c>
      <c r="K112" s="22"/>
      <c r="L112" s="23"/>
      <c r="M112" s="23">
        <f>SUM(Tabela174681012142230322681619252731333624210121416182426283038402481012141620222628303234362426810121424610122426244262628262681026286236681012[[#This Row],[Saldo no cartão]:[Recarga Pendente]])</f>
        <v>0</v>
      </c>
      <c r="N112" s="19">
        <f>Tabela174681012142230322681619252731333624210121416182426283038402481012141620222628303234362426810121424610122426244262628262681026286236681012[[#This Row],[Uso diário]]*2</f>
        <v>37.6</v>
      </c>
      <c r="O112" s="19">
        <f>Tabela174681012142230322681619252731333624210121416182426283038402481012141620222628303234362426810121424610122426244262628262681026286236681012[[#This Row],[Total Acumulado]]-P112</f>
        <v>-94</v>
      </c>
      <c r="P112" s="48">
        <f>Tabela174681012142230322681619252731333624210121416182426283038402481012141620222628303234362426810121424610122426244262628262681026286236681012[[#This Row],[Uso diário]]*5</f>
        <v>94</v>
      </c>
      <c r="Q11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470</v>
      </c>
      <c r="S11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2" s="25">
        <v>4</v>
      </c>
    </row>
    <row r="113" spans="1:20" s="26" customFormat="1" x14ac:dyDescent="0.25">
      <c r="A113" s="16">
        <v>229752</v>
      </c>
      <c r="B113" s="30" t="s">
        <v>251</v>
      </c>
      <c r="C113" s="20" t="s">
        <v>654</v>
      </c>
      <c r="D113" s="20" t="s">
        <v>715</v>
      </c>
      <c r="E113" s="20" t="s">
        <v>2492</v>
      </c>
      <c r="F113" s="20" t="s">
        <v>2493</v>
      </c>
      <c r="G113" s="21">
        <v>13.4</v>
      </c>
      <c r="H113" s="16">
        <v>26</v>
      </c>
      <c r="I113" s="16">
        <v>1</v>
      </c>
      <c r="J11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113" s="22"/>
      <c r="L113" s="23"/>
      <c r="M113" s="23">
        <f>SUM(Tabela174681012142230322681619252731333624210121416182426283038402481012141620222628303234362426810121424610122426244262628262681026286236681012[[#This Row],[Saldo no cartão]:[Recarga Pendente]])</f>
        <v>0</v>
      </c>
      <c r="N113" s="19">
        <f>Tabela174681012142230322681619252731333624210121416182426283038402481012141620222628303234362426810121424610122426244262628262681026286236681012[[#This Row],[Uso diário]]*2</f>
        <v>26.8</v>
      </c>
      <c r="O113" s="19">
        <f>Tabela174681012142230322681619252731333624210121416182426283038402481012141620222628303234362426810121424610122426244262628262681026286236681012[[#This Row],[Total Acumulado]]-P113</f>
        <v>-67</v>
      </c>
      <c r="P113" s="48">
        <f>Tabela174681012142230322681619252731333624210121416182426283038402481012141620222628303234362426810121424610122426244262628262681026286236681012[[#This Row],[Uso diário]]*5</f>
        <v>67</v>
      </c>
      <c r="Q11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11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3" s="25">
        <v>4</v>
      </c>
    </row>
    <row r="114" spans="1:20" s="26" customFormat="1" x14ac:dyDescent="0.25">
      <c r="A114" s="16">
        <v>230627</v>
      </c>
      <c r="B114" s="30" t="s">
        <v>252</v>
      </c>
      <c r="C114" s="20" t="s">
        <v>654</v>
      </c>
      <c r="D114" s="20" t="s">
        <v>715</v>
      </c>
      <c r="E114" s="20" t="s">
        <v>2494</v>
      </c>
      <c r="F114" s="20" t="s">
        <v>2495</v>
      </c>
      <c r="G114" s="21">
        <v>18.8</v>
      </c>
      <c r="H114" s="16">
        <v>26</v>
      </c>
      <c r="I114" s="16"/>
      <c r="J11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14" s="22"/>
      <c r="L114" s="23"/>
      <c r="M114" s="23">
        <f>SUM(Tabela174681012142230322681619252731333624210121416182426283038402481012141620222628303234362426810121424610122426244262628262681026286236681012[[#This Row],[Saldo no cartão]:[Recarga Pendente]])</f>
        <v>0</v>
      </c>
      <c r="N114" s="19">
        <f>Tabela174681012142230322681619252731333624210121416182426283038402481012141620222628303234362426810121424610122426244262628262681026286236681012[[#This Row],[Uso diário]]*2</f>
        <v>37.6</v>
      </c>
      <c r="O114" s="19">
        <f>Tabela174681012142230322681619252731333624210121416182426283038402481012141620222628303234362426810121424610122426244262628262681026286236681012[[#This Row],[Total Acumulado]]-P114</f>
        <v>-94</v>
      </c>
      <c r="P114" s="48">
        <f>Tabela174681012142230322681619252731333624210121416182426283038402481012141620222628303234362426810121424610122426244262628262681026286236681012[[#This Row],[Uso diário]]*5</f>
        <v>94</v>
      </c>
      <c r="Q11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1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4" s="25">
        <v>4</v>
      </c>
    </row>
    <row r="115" spans="1:20" s="26" customFormat="1" x14ac:dyDescent="0.25">
      <c r="A115" s="16">
        <v>230952</v>
      </c>
      <c r="B115" s="30" t="s">
        <v>1178</v>
      </c>
      <c r="C115" s="20" t="s">
        <v>654</v>
      </c>
      <c r="D115" s="20" t="s">
        <v>715</v>
      </c>
      <c r="E115" s="20" t="s">
        <v>2496</v>
      </c>
      <c r="F115" s="20" t="s">
        <v>2497</v>
      </c>
      <c r="G115" s="21">
        <v>18.8</v>
      </c>
      <c r="H115" s="16">
        <v>26</v>
      </c>
      <c r="I115" s="16">
        <v>5</v>
      </c>
      <c r="J11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394.8</v>
      </c>
      <c r="K115" s="22"/>
      <c r="L115" s="23"/>
      <c r="M115" s="23">
        <f>SUM(Tabela174681012142230322681619252731333624210121416182426283038402481012141620222628303234362426810121424610122426244262628262681026286236681012[[#This Row],[Saldo no cartão]:[Recarga Pendente]])</f>
        <v>0</v>
      </c>
      <c r="N115" s="19">
        <f>Tabela174681012142230322681619252731333624210121416182426283038402481012141620222628303234362426810121424610122426244262628262681026286236681012[[#This Row],[Uso diário]]*2</f>
        <v>37.6</v>
      </c>
      <c r="O115" s="19">
        <f>Tabela174681012142230322681619252731333624210121416182426283038402481012141620222628303234362426810121424610122426244262628262681026286236681012[[#This Row],[Total Acumulado]]-P115</f>
        <v>-94</v>
      </c>
      <c r="P115" s="48">
        <f>Tabela174681012142230322681619252731333624210121416182426283038402481012141620222628303234362426810121424610122426244262628262681026286236681012[[#This Row],[Uso diário]]*5</f>
        <v>94</v>
      </c>
      <c r="Q11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394.8</v>
      </c>
      <c r="S11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5" s="25">
        <v>4</v>
      </c>
    </row>
    <row r="116" spans="1:20" s="26" customFormat="1" x14ac:dyDescent="0.25">
      <c r="A116" s="16">
        <v>231022</v>
      </c>
      <c r="B116" s="30" t="s">
        <v>209</v>
      </c>
      <c r="C116" s="20" t="s">
        <v>654</v>
      </c>
      <c r="D116" s="20" t="s">
        <v>715</v>
      </c>
      <c r="E116" s="20" t="s">
        <v>2498</v>
      </c>
      <c r="F116" s="20" t="s">
        <v>2499</v>
      </c>
      <c r="G116" s="21">
        <v>18.8</v>
      </c>
      <c r="H116" s="16">
        <v>26</v>
      </c>
      <c r="I116" s="16"/>
      <c r="J11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16" s="22"/>
      <c r="L116" s="23"/>
      <c r="M116" s="23">
        <f>SUM(Tabela174681012142230322681619252731333624210121416182426283038402481012141620222628303234362426810121424610122426244262628262681026286236681012[[#This Row],[Saldo no cartão]:[Recarga Pendente]])</f>
        <v>0</v>
      </c>
      <c r="N116" s="19">
        <f>Tabela174681012142230322681619252731333624210121416182426283038402481012141620222628303234362426810121424610122426244262628262681026286236681012[[#This Row],[Uso diário]]*2</f>
        <v>37.6</v>
      </c>
      <c r="O116" s="19">
        <f>Tabela174681012142230322681619252731333624210121416182426283038402481012141620222628303234362426810121424610122426244262628262681026286236681012[[#This Row],[Total Acumulado]]-P116</f>
        <v>-94</v>
      </c>
      <c r="P116" s="48">
        <f>Tabela174681012142230322681619252731333624210121416182426283038402481012141620222628303234362426810121424610122426244262628262681026286236681012[[#This Row],[Uso diário]]*5</f>
        <v>94</v>
      </c>
      <c r="Q11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1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6" s="25">
        <v>4</v>
      </c>
    </row>
    <row r="117" spans="1:20" s="26" customFormat="1" x14ac:dyDescent="0.25">
      <c r="A117" s="16">
        <v>231324</v>
      </c>
      <c r="B117" s="30" t="s">
        <v>788</v>
      </c>
      <c r="C117" s="20" t="s">
        <v>654</v>
      </c>
      <c r="D117" s="20" t="s">
        <v>715</v>
      </c>
      <c r="E117" s="20" t="s">
        <v>2500</v>
      </c>
      <c r="F117" s="20" t="s">
        <v>2501</v>
      </c>
      <c r="G117" s="21">
        <v>18.8</v>
      </c>
      <c r="H117" s="16">
        <v>26</v>
      </c>
      <c r="I117" s="16"/>
      <c r="J11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17" s="22"/>
      <c r="L117" s="23"/>
      <c r="M117" s="23">
        <f>SUM(Tabela174681012142230322681619252731333624210121416182426283038402481012141620222628303234362426810121424610122426244262628262681026286236681012[[#This Row],[Saldo no cartão]:[Recarga Pendente]])</f>
        <v>0</v>
      </c>
      <c r="N117" s="19">
        <f>Tabela174681012142230322681619252731333624210121416182426283038402481012141620222628303234362426810121424610122426244262628262681026286236681012[[#This Row],[Uso diário]]*2</f>
        <v>37.6</v>
      </c>
      <c r="O117" s="19">
        <f>Tabela174681012142230322681619252731333624210121416182426283038402481012141620222628303234362426810121424610122426244262628262681026286236681012[[#This Row],[Total Acumulado]]-P117</f>
        <v>-94</v>
      </c>
      <c r="P117" s="48">
        <f>Tabela174681012142230322681619252731333624210121416182426283038402481012141620222628303234362426810121424610122426244262628262681026286236681012[[#This Row],[Uso diário]]*5</f>
        <v>94</v>
      </c>
      <c r="Q11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1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7" s="25">
        <v>4</v>
      </c>
    </row>
    <row r="118" spans="1:20" s="26" customFormat="1" x14ac:dyDescent="0.25">
      <c r="A118" s="16">
        <v>234544</v>
      </c>
      <c r="B118" s="30" t="s">
        <v>1309</v>
      </c>
      <c r="C118" s="20" t="s">
        <v>654</v>
      </c>
      <c r="D118" s="20" t="s">
        <v>715</v>
      </c>
      <c r="E118" s="20" t="s">
        <v>2502</v>
      </c>
      <c r="F118" s="20" t="s">
        <v>2503</v>
      </c>
      <c r="G118" s="21">
        <v>18.8</v>
      </c>
      <c r="H118" s="16">
        <v>26</v>
      </c>
      <c r="I118" s="16"/>
      <c r="J11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18" s="22"/>
      <c r="L118" s="23"/>
      <c r="M118" s="23">
        <f>SUM(Tabela174681012142230322681619252731333624210121416182426283038402481012141620222628303234362426810121424610122426244262628262681026286236681012[[#This Row],[Saldo no cartão]:[Recarga Pendente]])</f>
        <v>0</v>
      </c>
      <c r="N118" s="19">
        <f>Tabela174681012142230322681619252731333624210121416182426283038402481012141620222628303234362426810121424610122426244262628262681026286236681012[[#This Row],[Uso diário]]*2</f>
        <v>37.6</v>
      </c>
      <c r="O118" s="19">
        <f>Tabela174681012142230322681619252731333624210121416182426283038402481012141620222628303234362426810121424610122426244262628262681026286236681012[[#This Row],[Total Acumulado]]-P118</f>
        <v>-94</v>
      </c>
      <c r="P118" s="48">
        <f>Tabela174681012142230322681619252731333624210121416182426283038402481012141620222628303234362426810121424610122426244262628262681026286236681012[[#This Row],[Uso diário]]*5</f>
        <v>94</v>
      </c>
      <c r="Q11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1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8" s="25">
        <v>4</v>
      </c>
    </row>
    <row r="119" spans="1:20" s="26" customFormat="1" x14ac:dyDescent="0.25">
      <c r="A119" s="16">
        <v>210565</v>
      </c>
      <c r="B119" s="30" t="s">
        <v>253</v>
      </c>
      <c r="C119" s="20" t="s">
        <v>640</v>
      </c>
      <c r="D119" s="20" t="s">
        <v>701</v>
      </c>
      <c r="E119" s="20" t="s">
        <v>2504</v>
      </c>
      <c r="F119" s="20" t="s">
        <v>2505</v>
      </c>
      <c r="G119" s="21">
        <v>18.8</v>
      </c>
      <c r="H119" s="16">
        <v>26</v>
      </c>
      <c r="I119" s="16"/>
      <c r="J11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19" s="22"/>
      <c r="L119" s="23"/>
      <c r="M119" s="23">
        <f>SUM(Tabela174681012142230322681619252731333624210121416182426283038402481012141620222628303234362426810121424610122426244262628262681026286236681012[[#This Row],[Saldo no cartão]:[Recarga Pendente]])</f>
        <v>0</v>
      </c>
      <c r="N119" s="19">
        <f>Tabela174681012142230322681619252731333624210121416182426283038402481012141620222628303234362426810121424610122426244262628262681026286236681012[[#This Row],[Uso diário]]*2</f>
        <v>37.6</v>
      </c>
      <c r="O119" s="19">
        <f>Tabela174681012142230322681619252731333624210121416182426283038402481012141620222628303234362426810121424610122426244262628262681026286236681012[[#This Row],[Total Acumulado]]-P119</f>
        <v>-94</v>
      </c>
      <c r="P119" s="48">
        <f>Tabela174681012142230322681619252731333624210121416182426283038402481012141620222628303234362426810121424610122426244262628262681026286236681012[[#This Row],[Uso diário]]*5</f>
        <v>94</v>
      </c>
      <c r="Q11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1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1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19" s="25">
        <v>4</v>
      </c>
    </row>
    <row r="120" spans="1:20" s="26" customFormat="1" x14ac:dyDescent="0.25">
      <c r="A120" s="16">
        <v>229152</v>
      </c>
      <c r="B120" s="30" t="s">
        <v>387</v>
      </c>
      <c r="C120" s="20" t="s">
        <v>640</v>
      </c>
      <c r="D120" s="20" t="s">
        <v>702</v>
      </c>
      <c r="E120" s="20" t="s">
        <v>2506</v>
      </c>
      <c r="F120" s="20" t="s">
        <v>2507</v>
      </c>
      <c r="G120" s="21">
        <v>18.8</v>
      </c>
      <c r="H120" s="16">
        <v>26</v>
      </c>
      <c r="I120" s="16">
        <v>1</v>
      </c>
      <c r="J12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470</v>
      </c>
      <c r="K120" s="22"/>
      <c r="L120" s="23"/>
      <c r="M120" s="23">
        <f>SUM(Tabela174681012142230322681619252731333624210121416182426283038402481012141620222628303234362426810121424610122426244262628262681026286236681012[[#This Row],[Saldo no cartão]:[Recarga Pendente]])</f>
        <v>0</v>
      </c>
      <c r="N120" s="19">
        <f>Tabela174681012142230322681619252731333624210121416182426283038402481012141620222628303234362426810121424610122426244262628262681026286236681012[[#This Row],[Uso diário]]*2</f>
        <v>37.6</v>
      </c>
      <c r="O120" s="19">
        <f>Tabela174681012142230322681619252731333624210121416182426283038402481012141620222628303234362426810121424610122426244262628262681026286236681012[[#This Row],[Total Acumulado]]-P120</f>
        <v>-94</v>
      </c>
      <c r="P120" s="48">
        <f>Tabela174681012142230322681619252731333624210121416182426283038402481012141620222628303234362426810121424610122426244262628262681026286236681012[[#This Row],[Uso diário]]*5</f>
        <v>94</v>
      </c>
      <c r="Q12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470</v>
      </c>
      <c r="S12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0" s="25">
        <v>4</v>
      </c>
    </row>
    <row r="121" spans="1:20" s="26" customFormat="1" x14ac:dyDescent="0.25">
      <c r="A121" s="16">
        <v>231790</v>
      </c>
      <c r="B121" s="30" t="s">
        <v>822</v>
      </c>
      <c r="C121" s="20" t="s">
        <v>640</v>
      </c>
      <c r="D121" s="20" t="s">
        <v>702</v>
      </c>
      <c r="E121" s="20" t="s">
        <v>2508</v>
      </c>
      <c r="F121" s="20" t="s">
        <v>2509</v>
      </c>
      <c r="G121" s="21">
        <v>13.4</v>
      </c>
      <c r="H121" s="16">
        <v>26</v>
      </c>
      <c r="I121" s="16"/>
      <c r="J12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21" s="22"/>
      <c r="L121" s="23"/>
      <c r="M121" s="23">
        <f>SUM(Tabela174681012142230322681619252731333624210121416182426283038402481012141620222628303234362426810121424610122426244262628262681026286236681012[[#This Row],[Saldo no cartão]:[Recarga Pendente]])</f>
        <v>0</v>
      </c>
      <c r="N121" s="19">
        <f>Tabela174681012142230322681619252731333624210121416182426283038402481012141620222628303234362426810121424610122426244262628262681026286236681012[[#This Row],[Uso diário]]*2</f>
        <v>26.8</v>
      </c>
      <c r="O121" s="19">
        <f>Tabela174681012142230322681619252731333624210121416182426283038402481012141620222628303234362426810121424610122426244262628262681026286236681012[[#This Row],[Total Acumulado]]-P121</f>
        <v>-67</v>
      </c>
      <c r="P121" s="48">
        <f>Tabela174681012142230322681619252731333624210121416182426283038402481012141620222628303234362426810121424610122426244262628262681026286236681012[[#This Row],[Uso diário]]*5</f>
        <v>67</v>
      </c>
      <c r="Q12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2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1" s="25">
        <v>4</v>
      </c>
    </row>
    <row r="122" spans="1:20" s="26" customFormat="1" ht="22.5" x14ac:dyDescent="0.25">
      <c r="A122" s="16">
        <v>232107</v>
      </c>
      <c r="B122" s="30" t="s">
        <v>823</v>
      </c>
      <c r="C122" s="20" t="s">
        <v>640</v>
      </c>
      <c r="D122" s="20" t="s">
        <v>701</v>
      </c>
      <c r="E122" s="20">
        <v>0</v>
      </c>
      <c r="F122" s="20" t="s">
        <v>4183</v>
      </c>
      <c r="G122" s="21">
        <v>13.4</v>
      </c>
      <c r="H122" s="16">
        <v>0</v>
      </c>
      <c r="I122" s="16"/>
      <c r="J12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0</v>
      </c>
      <c r="K122" s="22"/>
      <c r="L122" s="23"/>
      <c r="M122" s="23">
        <f>SUM(Tabela174681012142230322681619252731333624210121416182426283038402481012141620222628303234362426810121424610122426244262628262681026286236681012[[#This Row],[Saldo no cartão]:[Recarga Pendente]])</f>
        <v>0</v>
      </c>
      <c r="N122" s="19">
        <f>Tabela174681012142230322681619252731333624210121416182426283038402481012141620222628303234362426810121424610122426244262628262681026286236681012[[#This Row],[Uso diário]]*2</f>
        <v>26.8</v>
      </c>
      <c r="O122" s="19">
        <f>Tabela174681012142230322681619252731333624210121416182426283038402481012141620222628303234362426810121424610122426244262628262681026286236681012[[#This Row],[Total Acumulado]]-P122</f>
        <v>-67</v>
      </c>
      <c r="P122" s="48">
        <f>Tabela174681012142230322681619252731333624210121416182426283038402481012141620222628303234362426810121424610122426244262628262681026286236681012[[#This Row],[Uso diário]]*5</f>
        <v>67</v>
      </c>
      <c r="Q12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0</v>
      </c>
      <c r="S122" s="18" t="str">
        <f>IF(Tabela174681012142230322681619252731333624210121416182426283038402481012141620222628303234362426810121424610122426244262628262681026286236681012[[#This Row],[Pedido Final]]=0,"NÃO EFETUAR RECARGA","RECARGA NORMAL")</f>
        <v>NÃO EFETUAR RECARGA</v>
      </c>
      <c r="T122" s="25">
        <v>4</v>
      </c>
    </row>
    <row r="123" spans="1:20" s="26" customFormat="1" x14ac:dyDescent="0.25">
      <c r="A123" s="16">
        <v>234451</v>
      </c>
      <c r="B123" s="30" t="s">
        <v>1284</v>
      </c>
      <c r="C123" s="20" t="s">
        <v>640</v>
      </c>
      <c r="D123" s="20" t="s">
        <v>701</v>
      </c>
      <c r="E123" s="20" t="s">
        <v>2510</v>
      </c>
      <c r="F123" s="20" t="s">
        <v>2511</v>
      </c>
      <c r="G123" s="21">
        <v>13.4</v>
      </c>
      <c r="H123" s="16">
        <v>26</v>
      </c>
      <c r="I123" s="16">
        <v>1</v>
      </c>
      <c r="J12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123" s="22"/>
      <c r="L123" s="23"/>
      <c r="M123" s="23">
        <f>SUM(Tabela174681012142230322681619252731333624210121416182426283038402481012141620222628303234362426810121424610122426244262628262681026286236681012[[#This Row],[Saldo no cartão]:[Recarga Pendente]])</f>
        <v>0</v>
      </c>
      <c r="N123" s="19">
        <f>Tabela174681012142230322681619252731333624210121416182426283038402481012141620222628303234362426810121424610122426244262628262681026286236681012[[#This Row],[Uso diário]]*2</f>
        <v>26.8</v>
      </c>
      <c r="O123" s="19">
        <f>Tabela174681012142230322681619252731333624210121416182426283038402481012141620222628303234362426810121424610122426244262628262681026286236681012[[#This Row],[Total Acumulado]]-P123</f>
        <v>-67</v>
      </c>
      <c r="P123" s="48">
        <f>Tabela174681012142230322681619252731333624210121416182426283038402481012141620222628303234362426810121424610122426244262628262681026286236681012[[#This Row],[Uso diário]]*5</f>
        <v>67</v>
      </c>
      <c r="Q12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12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3" s="25">
        <v>4</v>
      </c>
    </row>
    <row r="124" spans="1:20" s="26" customFormat="1" x14ac:dyDescent="0.25">
      <c r="A124" s="16">
        <v>234761</v>
      </c>
      <c r="B124" s="30" t="s">
        <v>1353</v>
      </c>
      <c r="C124" s="20" t="s">
        <v>640</v>
      </c>
      <c r="D124" s="20" t="s">
        <v>701</v>
      </c>
      <c r="E124" s="20" t="s">
        <v>2512</v>
      </c>
      <c r="F124" s="20" t="s">
        <v>2513</v>
      </c>
      <c r="G124" s="21">
        <v>13.4</v>
      </c>
      <c r="H124" s="16">
        <v>26</v>
      </c>
      <c r="I124" s="16"/>
      <c r="J12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24" s="22"/>
      <c r="L124" s="23"/>
      <c r="M124" s="23">
        <f>SUM(Tabela174681012142230322681619252731333624210121416182426283038402481012141620222628303234362426810121424610122426244262628262681026286236681012[[#This Row],[Saldo no cartão]:[Recarga Pendente]])</f>
        <v>0</v>
      </c>
      <c r="N124" s="19">
        <f>Tabela174681012142230322681619252731333624210121416182426283038402481012141620222628303234362426810121424610122426244262628262681026286236681012[[#This Row],[Uso diário]]*2</f>
        <v>26.8</v>
      </c>
      <c r="O124" s="19">
        <f>Tabela174681012142230322681619252731333624210121416182426283038402481012141620222628303234362426810121424610122426244262628262681026286236681012[[#This Row],[Total Acumulado]]-P124</f>
        <v>-67</v>
      </c>
      <c r="P124" s="48">
        <f>Tabela174681012142230322681619252731333624210121416182426283038402481012141620222628303234362426810121424610122426244262628262681026286236681012[[#This Row],[Uso diário]]*5</f>
        <v>67</v>
      </c>
      <c r="Q12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2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4" s="25">
        <v>4</v>
      </c>
    </row>
    <row r="125" spans="1:20" s="26" customFormat="1" x14ac:dyDescent="0.25">
      <c r="A125" s="16">
        <v>215936</v>
      </c>
      <c r="B125" s="30" t="s">
        <v>255</v>
      </c>
      <c r="C125" s="20" t="s">
        <v>655</v>
      </c>
      <c r="D125" s="20" t="s">
        <v>741</v>
      </c>
      <c r="E125" s="20" t="s">
        <v>2514</v>
      </c>
      <c r="F125" s="20" t="s">
        <v>2515</v>
      </c>
      <c r="G125" s="21">
        <v>18.8</v>
      </c>
      <c r="H125" s="16">
        <v>26</v>
      </c>
      <c r="I125" s="16"/>
      <c r="J12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25" s="22"/>
      <c r="L125" s="23"/>
      <c r="M125" s="23">
        <f>SUM(Tabela174681012142230322681619252731333624210121416182426283038402481012141620222628303234362426810121424610122426244262628262681026286236681012[[#This Row],[Saldo no cartão]:[Recarga Pendente]])</f>
        <v>0</v>
      </c>
      <c r="N125" s="19">
        <f>Tabela174681012142230322681619252731333624210121416182426283038402481012141620222628303234362426810121424610122426244262628262681026286236681012[[#This Row],[Uso diário]]*2</f>
        <v>37.6</v>
      </c>
      <c r="O125" s="19">
        <f>Tabela174681012142230322681619252731333624210121416182426283038402481012141620222628303234362426810121424610122426244262628262681026286236681012[[#This Row],[Total Acumulado]]-P125</f>
        <v>-94</v>
      </c>
      <c r="P125" s="48">
        <f>Tabela174681012142230322681619252731333624210121416182426283038402481012141620222628303234362426810121424610122426244262628262681026286236681012[[#This Row],[Uso diário]]*5</f>
        <v>94</v>
      </c>
      <c r="Q12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2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5" s="25">
        <v>4</v>
      </c>
    </row>
    <row r="126" spans="1:20" s="26" customFormat="1" x14ac:dyDescent="0.25">
      <c r="A126" s="16">
        <v>219213</v>
      </c>
      <c r="B126" s="30" t="s">
        <v>256</v>
      </c>
      <c r="C126" s="20" t="s">
        <v>655</v>
      </c>
      <c r="D126" s="20" t="s">
        <v>733</v>
      </c>
      <c r="E126" s="20" t="s">
        <v>2516</v>
      </c>
      <c r="F126" s="20" t="s">
        <v>2517</v>
      </c>
      <c r="G126" s="21">
        <v>18.8</v>
      </c>
      <c r="H126" s="16">
        <v>26</v>
      </c>
      <c r="I126" s="16"/>
      <c r="J12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26" s="22"/>
      <c r="L126" s="23"/>
      <c r="M126" s="23">
        <f>SUM(Tabela174681012142230322681619252731333624210121416182426283038402481012141620222628303234362426810121424610122426244262628262681026286236681012[[#This Row],[Saldo no cartão]:[Recarga Pendente]])</f>
        <v>0</v>
      </c>
      <c r="N126" s="19">
        <f>Tabela174681012142230322681619252731333624210121416182426283038402481012141620222628303234362426810121424610122426244262628262681026286236681012[[#This Row],[Uso diário]]*2</f>
        <v>37.6</v>
      </c>
      <c r="O126" s="19">
        <f>Tabela174681012142230322681619252731333624210121416182426283038402481012141620222628303234362426810121424610122426244262628262681026286236681012[[#This Row],[Total Acumulado]]-P126</f>
        <v>-94</v>
      </c>
      <c r="P126" s="48">
        <f>Tabela174681012142230322681619252731333624210121416182426283038402481012141620222628303234362426810121424610122426244262628262681026286236681012[[#This Row],[Uso diário]]*5</f>
        <v>94</v>
      </c>
      <c r="Q12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2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6" s="25">
        <v>4</v>
      </c>
    </row>
    <row r="127" spans="1:20" s="26" customFormat="1" x14ac:dyDescent="0.25">
      <c r="A127" s="16">
        <v>224225</v>
      </c>
      <c r="B127" s="30" t="s">
        <v>493</v>
      </c>
      <c r="C127" s="20" t="s">
        <v>655</v>
      </c>
      <c r="D127" s="20" t="s">
        <v>732</v>
      </c>
      <c r="E127" s="20" t="s">
        <v>2518</v>
      </c>
      <c r="F127" s="20" t="s">
        <v>2519</v>
      </c>
      <c r="G127" s="21">
        <v>14.2</v>
      </c>
      <c r="H127" s="16">
        <v>26</v>
      </c>
      <c r="I127" s="16"/>
      <c r="J12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369.2</v>
      </c>
      <c r="K127" s="22"/>
      <c r="L127" s="23">
        <v>12.7</v>
      </c>
      <c r="M127" s="23">
        <f>SUM(Tabela174681012142230322681619252731333624210121416182426283038402481012141620222628303234362426810121424610122426244262628262681026286236681012[[#This Row],[Saldo no cartão]:[Recarga Pendente]])</f>
        <v>12.7</v>
      </c>
      <c r="N127" s="19">
        <f>Tabela174681012142230322681619252731333624210121416182426283038402481012141620222628303234362426810121424610122426244262628262681026286236681012[[#This Row],[Uso diário]]*2</f>
        <v>28.4</v>
      </c>
      <c r="O127" s="19">
        <f>Tabela174681012142230322681619252731333624210121416182426283038402481012141620222628303234362426810121424610122426244262628262681026286236681012[[#This Row],[Total Acumulado]]-P127</f>
        <v>-58.3</v>
      </c>
      <c r="P127" s="48">
        <f>Tabela174681012142230322681619252731333624210121416182426283038402481012141620222628303234362426810121424610122426244262628262681026286236681012[[#This Row],[Uso diário]]*5</f>
        <v>71</v>
      </c>
      <c r="Q12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369.2</v>
      </c>
      <c r="S12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7" s="25">
        <v>4</v>
      </c>
    </row>
    <row r="128" spans="1:20" s="26" customFormat="1" x14ac:dyDescent="0.25">
      <c r="A128" s="16">
        <v>224381</v>
      </c>
      <c r="B128" s="30" t="s">
        <v>257</v>
      </c>
      <c r="C128" s="20" t="s">
        <v>655</v>
      </c>
      <c r="D128" s="20" t="s">
        <v>734</v>
      </c>
      <c r="E128" s="20" t="s">
        <v>2520</v>
      </c>
      <c r="F128" s="20" t="s">
        <v>2521</v>
      </c>
      <c r="G128" s="21">
        <v>13.4</v>
      </c>
      <c r="H128" s="16">
        <v>26</v>
      </c>
      <c r="I128" s="16"/>
      <c r="J12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28" s="22"/>
      <c r="L128" s="23"/>
      <c r="M128" s="23">
        <f>SUM(Tabela174681012142230322681619252731333624210121416182426283038402481012141620222628303234362426810121424610122426244262628262681026286236681012[[#This Row],[Saldo no cartão]:[Recarga Pendente]])</f>
        <v>0</v>
      </c>
      <c r="N128" s="19">
        <f>Tabela174681012142230322681619252731333624210121416182426283038402481012141620222628303234362426810121424610122426244262628262681026286236681012[[#This Row],[Uso diário]]*2</f>
        <v>26.8</v>
      </c>
      <c r="O128" s="19">
        <f>Tabela174681012142230322681619252731333624210121416182426283038402481012141620222628303234362426810121424610122426244262628262681026286236681012[[#This Row],[Total Acumulado]]-P128</f>
        <v>-67</v>
      </c>
      <c r="P128" s="48">
        <f>Tabela174681012142230322681619252731333624210121416182426283038402481012141620222628303234362426810121424610122426244262628262681026286236681012[[#This Row],[Uso diário]]*5</f>
        <v>67</v>
      </c>
      <c r="Q12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2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8" s="25">
        <v>4</v>
      </c>
    </row>
    <row r="129" spans="1:20" s="26" customFormat="1" x14ac:dyDescent="0.25">
      <c r="A129" s="16">
        <v>224672</v>
      </c>
      <c r="B129" s="30" t="s">
        <v>258</v>
      </c>
      <c r="C129" s="20" t="s">
        <v>655</v>
      </c>
      <c r="D129" s="20" t="s">
        <v>734</v>
      </c>
      <c r="E129" s="20" t="s">
        <v>2522</v>
      </c>
      <c r="F129" s="20" t="s">
        <v>2523</v>
      </c>
      <c r="G129" s="21">
        <v>13.4</v>
      </c>
      <c r="H129" s="16">
        <v>26</v>
      </c>
      <c r="I129" s="16">
        <v>1</v>
      </c>
      <c r="J12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335</v>
      </c>
      <c r="K129" s="22"/>
      <c r="L129" s="23"/>
      <c r="M129" s="23">
        <f>SUM(Tabela174681012142230322681619252731333624210121416182426283038402481012141620222628303234362426810121424610122426244262628262681026286236681012[[#This Row],[Saldo no cartão]:[Recarga Pendente]])</f>
        <v>0</v>
      </c>
      <c r="N129" s="19">
        <f>Tabela174681012142230322681619252731333624210121416182426283038402481012141620222628303234362426810121424610122426244262628262681026286236681012[[#This Row],[Uso diário]]*2</f>
        <v>26.8</v>
      </c>
      <c r="O129" s="19">
        <f>Tabela174681012142230322681619252731333624210121416182426283038402481012141620222628303234362426810121424610122426244262628262681026286236681012[[#This Row],[Total Acumulado]]-P129</f>
        <v>-67</v>
      </c>
      <c r="P129" s="48">
        <f>Tabela174681012142230322681619252731333624210121416182426283038402481012141620222628303234362426810121424610122426244262628262681026286236681012[[#This Row],[Uso diário]]*5</f>
        <v>67</v>
      </c>
      <c r="Q12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2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335</v>
      </c>
      <c r="S12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29" s="25">
        <v>4</v>
      </c>
    </row>
    <row r="130" spans="1:20" s="26" customFormat="1" x14ac:dyDescent="0.25">
      <c r="A130" s="16">
        <v>226720</v>
      </c>
      <c r="B130" s="30" t="s">
        <v>1063</v>
      </c>
      <c r="C130" s="20" t="s">
        <v>655</v>
      </c>
      <c r="D130" s="20" t="s">
        <v>713</v>
      </c>
      <c r="E130" s="20" t="s">
        <v>2524</v>
      </c>
      <c r="F130" s="20" t="s">
        <v>2525</v>
      </c>
      <c r="G130" s="21">
        <v>13.4</v>
      </c>
      <c r="H130" s="16">
        <v>26</v>
      </c>
      <c r="I130" s="16"/>
      <c r="J13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30" s="22"/>
      <c r="L130" s="23"/>
      <c r="M130" s="23">
        <f>SUM(Tabela174681012142230322681619252731333624210121416182426283038402481012141620222628303234362426810121424610122426244262628262681026286236681012[[#This Row],[Saldo no cartão]:[Recarga Pendente]])</f>
        <v>0</v>
      </c>
      <c r="N130" s="19">
        <f>Tabela174681012142230322681619252731333624210121416182426283038402481012141620222628303234362426810121424610122426244262628262681026286236681012[[#This Row],[Uso diário]]*2</f>
        <v>26.8</v>
      </c>
      <c r="O130" s="19">
        <f>Tabela174681012142230322681619252731333624210121416182426283038402481012141620222628303234362426810121424610122426244262628262681026286236681012[[#This Row],[Total Acumulado]]-P130</f>
        <v>-67</v>
      </c>
      <c r="P130" s="48">
        <f>Tabela174681012142230322681619252731333624210121416182426283038402481012141620222628303234362426810121424610122426244262628262681026286236681012[[#This Row],[Uso diário]]*5</f>
        <v>67</v>
      </c>
      <c r="Q13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3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0" s="25">
        <v>4</v>
      </c>
    </row>
    <row r="131" spans="1:20" s="26" customFormat="1" x14ac:dyDescent="0.25">
      <c r="A131" s="16">
        <v>228922</v>
      </c>
      <c r="B131" s="30" t="s">
        <v>259</v>
      </c>
      <c r="C131" s="20" t="s">
        <v>655</v>
      </c>
      <c r="D131" s="20" t="s">
        <v>713</v>
      </c>
      <c r="E131" s="20" t="s">
        <v>2526</v>
      </c>
      <c r="F131" s="20" t="s">
        <v>2527</v>
      </c>
      <c r="G131" s="21">
        <v>13.4</v>
      </c>
      <c r="H131" s="16">
        <v>26</v>
      </c>
      <c r="I131" s="16"/>
      <c r="J13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31" s="22"/>
      <c r="L131" s="23"/>
      <c r="M131" s="23">
        <f>SUM(Tabela174681012142230322681619252731333624210121416182426283038402481012141620222628303234362426810121424610122426244262628262681026286236681012[[#This Row],[Saldo no cartão]:[Recarga Pendente]])</f>
        <v>0</v>
      </c>
      <c r="N131" s="19">
        <f>Tabela174681012142230322681619252731333624210121416182426283038402481012141620222628303234362426810121424610122426244262628262681026286236681012[[#This Row],[Uso diário]]*2</f>
        <v>26.8</v>
      </c>
      <c r="O131" s="19">
        <f>Tabela174681012142230322681619252731333624210121416182426283038402481012141620222628303234362426810121424610122426244262628262681026286236681012[[#This Row],[Total Acumulado]]-P131</f>
        <v>-67</v>
      </c>
      <c r="P131" s="48">
        <f>Tabela174681012142230322681619252731333624210121416182426283038402481012141620222628303234362426810121424610122426244262628262681026286236681012[[#This Row],[Uso diário]]*5</f>
        <v>67</v>
      </c>
      <c r="Q13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3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1" s="25">
        <v>4</v>
      </c>
    </row>
    <row r="132" spans="1:20" s="26" customFormat="1" x14ac:dyDescent="0.25">
      <c r="A132" s="16">
        <v>234055</v>
      </c>
      <c r="B132" s="30" t="s">
        <v>1179</v>
      </c>
      <c r="C132" s="20" t="s">
        <v>655</v>
      </c>
      <c r="D132" s="20" t="s">
        <v>734</v>
      </c>
      <c r="E132" s="20" t="s">
        <v>2528</v>
      </c>
      <c r="F132" s="20" t="s">
        <v>2529</v>
      </c>
      <c r="G132" s="21">
        <v>13.4</v>
      </c>
      <c r="H132" s="16">
        <v>26</v>
      </c>
      <c r="I132" s="16"/>
      <c r="J13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32" s="22"/>
      <c r="L132" s="23"/>
      <c r="M132" s="23">
        <f>SUM(Tabela174681012142230322681619252731333624210121416182426283038402481012141620222628303234362426810121424610122426244262628262681026286236681012[[#This Row],[Saldo no cartão]:[Recarga Pendente]])</f>
        <v>0</v>
      </c>
      <c r="N132" s="19">
        <f>Tabela174681012142230322681619252731333624210121416182426283038402481012141620222628303234362426810121424610122426244262628262681026286236681012[[#This Row],[Uso diário]]*2</f>
        <v>26.8</v>
      </c>
      <c r="O132" s="19">
        <f>Tabela174681012142230322681619252731333624210121416182426283038402481012141620222628303234362426810121424610122426244262628262681026286236681012[[#This Row],[Total Acumulado]]-P132</f>
        <v>-67</v>
      </c>
      <c r="P132" s="48">
        <f>Tabela174681012142230322681619252731333624210121416182426283038402481012141620222628303234362426810121424610122426244262628262681026286236681012[[#This Row],[Uso diário]]*5</f>
        <v>67</v>
      </c>
      <c r="Q13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3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2" s="25">
        <v>4</v>
      </c>
    </row>
    <row r="133" spans="1:20" s="26" customFormat="1" x14ac:dyDescent="0.25">
      <c r="A133" s="16">
        <v>234101</v>
      </c>
      <c r="B133" s="30" t="s">
        <v>1180</v>
      </c>
      <c r="C133" s="20" t="s">
        <v>655</v>
      </c>
      <c r="D133" s="20" t="s">
        <v>713</v>
      </c>
      <c r="E133" s="20" t="s">
        <v>2530</v>
      </c>
      <c r="F133" s="20" t="s">
        <v>2531</v>
      </c>
      <c r="G133" s="21">
        <v>13.4</v>
      </c>
      <c r="H133" s="16">
        <v>26</v>
      </c>
      <c r="I133" s="16"/>
      <c r="J13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33" s="22"/>
      <c r="L133" s="23"/>
      <c r="M133" s="23">
        <f>SUM(Tabela174681012142230322681619252731333624210121416182426283038402481012141620222628303234362426810121424610122426244262628262681026286236681012[[#This Row],[Saldo no cartão]:[Recarga Pendente]])</f>
        <v>0</v>
      </c>
      <c r="N133" s="19">
        <f>Tabela174681012142230322681619252731333624210121416182426283038402481012141620222628303234362426810121424610122426244262628262681026286236681012[[#This Row],[Uso diário]]*2</f>
        <v>26.8</v>
      </c>
      <c r="O133" s="19">
        <f>Tabela174681012142230322681619252731333624210121416182426283038402481012141620222628303234362426810121424610122426244262628262681026286236681012[[#This Row],[Total Acumulado]]-P133</f>
        <v>-67</v>
      </c>
      <c r="P133" s="48">
        <f>Tabela174681012142230322681619252731333624210121416182426283038402481012141620222628303234362426810121424610122426244262628262681026286236681012[[#This Row],[Uso diário]]*5</f>
        <v>67</v>
      </c>
      <c r="Q13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3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3" s="25">
        <v>4</v>
      </c>
    </row>
    <row r="134" spans="1:20" s="26" customFormat="1" x14ac:dyDescent="0.25">
      <c r="A134" s="16">
        <v>3228</v>
      </c>
      <c r="B134" s="30" t="s">
        <v>260</v>
      </c>
      <c r="C134" s="20" t="s">
        <v>641</v>
      </c>
      <c r="D134" s="20" t="s">
        <v>704</v>
      </c>
      <c r="E134" s="20" t="s">
        <v>2532</v>
      </c>
      <c r="F134" s="20" t="s">
        <v>2533</v>
      </c>
      <c r="G134" s="21">
        <v>18.8</v>
      </c>
      <c r="H134" s="16">
        <v>26</v>
      </c>
      <c r="I134" s="16">
        <v>1</v>
      </c>
      <c r="J134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470</v>
      </c>
      <c r="K134" s="22"/>
      <c r="L134" s="23"/>
      <c r="M134" s="23">
        <f>SUM(Tabela174681012142230322681619252731333624210121416182426283038402481012141620222628303234362426810121424610122426244262628262681026286236681012[[#This Row],[Saldo no cartão]:[Recarga Pendente]])</f>
        <v>0</v>
      </c>
      <c r="N134" s="19">
        <f>Tabela174681012142230322681619252731333624210121416182426283038402481012141620222628303234362426810121424610122426244262628262681026286236681012[[#This Row],[Uso diário]]*2</f>
        <v>37.6</v>
      </c>
      <c r="O134" s="19">
        <f>Tabela174681012142230322681619252731333624210121416182426283038402481012141620222628303234362426810121424610122426244262628262681026286236681012[[#This Row],[Total Acumulado]]-P134</f>
        <v>-94</v>
      </c>
      <c r="P134" s="48">
        <f>Tabela174681012142230322681619252731333624210121416182426283038402481012141620222628303234362426810121424610122426244262628262681026286236681012[[#This Row],[Uso diário]]*5</f>
        <v>94</v>
      </c>
      <c r="Q134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4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470</v>
      </c>
      <c r="S134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4" s="25">
        <v>4</v>
      </c>
    </row>
    <row r="135" spans="1:20" s="26" customFormat="1" x14ac:dyDescent="0.25">
      <c r="A135" s="16">
        <v>216670</v>
      </c>
      <c r="B135" s="30" t="s">
        <v>904</v>
      </c>
      <c r="C135" s="20" t="s">
        <v>641</v>
      </c>
      <c r="D135" s="20" t="s">
        <v>705</v>
      </c>
      <c r="E135" s="20" t="s">
        <v>2534</v>
      </c>
      <c r="F135" s="20" t="s">
        <v>2535</v>
      </c>
      <c r="G135" s="21">
        <v>13.4</v>
      </c>
      <c r="H135" s="16">
        <v>26</v>
      </c>
      <c r="I135" s="16"/>
      <c r="J135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348.40000000000003</v>
      </c>
      <c r="K135" s="22"/>
      <c r="L135" s="23"/>
      <c r="M135" s="23">
        <f>SUM(Tabela174681012142230322681619252731333624210121416182426283038402481012141620222628303234362426810121424610122426244262628262681026286236681012[[#This Row],[Saldo no cartão]:[Recarga Pendente]])</f>
        <v>0</v>
      </c>
      <c r="N135" s="19">
        <f>Tabela174681012142230322681619252731333624210121416182426283038402481012141620222628303234362426810121424610122426244262628262681026286236681012[[#This Row],[Uso diário]]*2</f>
        <v>26.8</v>
      </c>
      <c r="O135" s="19">
        <f>Tabela174681012142230322681619252731333624210121416182426283038402481012141620222628303234362426810121424610122426244262628262681026286236681012[[#This Row],[Total Acumulado]]-P135</f>
        <v>-67</v>
      </c>
      <c r="P135" s="48">
        <f>Tabela174681012142230322681619252731333624210121416182426283038402481012141620222628303234362426810121424610122426244262628262681026286236681012[[#This Row],[Uso diário]]*5</f>
        <v>67</v>
      </c>
      <c r="Q135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5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348.40000000000003</v>
      </c>
      <c r="S135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5" s="25">
        <v>4</v>
      </c>
    </row>
    <row r="136" spans="1:20" s="26" customFormat="1" x14ac:dyDescent="0.25">
      <c r="A136" s="16">
        <v>220468</v>
      </c>
      <c r="B136" s="30" t="s">
        <v>262</v>
      </c>
      <c r="C136" s="20" t="s">
        <v>641</v>
      </c>
      <c r="D136" s="20" t="s">
        <v>704</v>
      </c>
      <c r="E136" s="20" t="s">
        <v>2536</v>
      </c>
      <c r="F136" s="20" t="s">
        <v>2537</v>
      </c>
      <c r="G136" s="21">
        <v>18.8</v>
      </c>
      <c r="H136" s="16">
        <v>26</v>
      </c>
      <c r="I136" s="16"/>
      <c r="J136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36" s="22"/>
      <c r="L136" s="23"/>
      <c r="M136" s="23">
        <f>SUM(Tabela174681012142230322681619252731333624210121416182426283038402481012141620222628303234362426810121424610122426244262628262681026286236681012[[#This Row],[Saldo no cartão]:[Recarga Pendente]])</f>
        <v>0</v>
      </c>
      <c r="N136" s="19">
        <f>Tabela174681012142230322681619252731333624210121416182426283038402481012141620222628303234362426810121424610122426244262628262681026286236681012[[#This Row],[Uso diário]]*2</f>
        <v>37.6</v>
      </c>
      <c r="O136" s="19">
        <f>Tabela174681012142230322681619252731333624210121416182426283038402481012141620222628303234362426810121424610122426244262628262681026286236681012[[#This Row],[Total Acumulado]]-P136</f>
        <v>-94</v>
      </c>
      <c r="P136" s="48">
        <f>Tabela174681012142230322681619252731333624210121416182426283038402481012141620222628303234362426810121424610122426244262628262681026286236681012[[#This Row],[Uso diário]]*5</f>
        <v>94</v>
      </c>
      <c r="Q136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6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36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6" s="25">
        <v>4</v>
      </c>
    </row>
    <row r="137" spans="1:20" s="26" customFormat="1" x14ac:dyDescent="0.25">
      <c r="A137" s="16">
        <v>222238</v>
      </c>
      <c r="B137" s="30" t="s">
        <v>263</v>
      </c>
      <c r="C137" s="20" t="s">
        <v>641</v>
      </c>
      <c r="D137" s="20" t="s">
        <v>704</v>
      </c>
      <c r="E137" s="20" t="s">
        <v>2538</v>
      </c>
      <c r="F137" s="20" t="s">
        <v>2539</v>
      </c>
      <c r="G137" s="21">
        <v>18.8</v>
      </c>
      <c r="H137" s="16">
        <v>26</v>
      </c>
      <c r="I137" s="16">
        <v>1</v>
      </c>
      <c r="J137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470</v>
      </c>
      <c r="K137" s="22"/>
      <c r="L137" s="23">
        <v>18.8</v>
      </c>
      <c r="M137" s="23">
        <f>SUM(Tabela174681012142230322681619252731333624210121416182426283038402481012141620222628303234362426810121424610122426244262628262681026286236681012[[#This Row],[Saldo no cartão]:[Recarga Pendente]])</f>
        <v>18.8</v>
      </c>
      <c r="N137" s="19">
        <f>Tabela174681012142230322681619252731333624210121416182426283038402481012141620222628303234362426810121424610122426244262628262681026286236681012[[#This Row],[Uso diário]]*2</f>
        <v>37.6</v>
      </c>
      <c r="O137" s="19">
        <f>Tabela174681012142230322681619252731333624210121416182426283038402481012141620222628303234362426810121424610122426244262628262681026286236681012[[#This Row],[Total Acumulado]]-P137</f>
        <v>-75.2</v>
      </c>
      <c r="P137" s="48">
        <f>Tabela174681012142230322681619252731333624210121416182426283038402481012141620222628303234362426810121424610122426244262628262681026286236681012[[#This Row],[Uso diário]]*5</f>
        <v>94</v>
      </c>
      <c r="Q137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7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470</v>
      </c>
      <c r="S137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7" s="25">
        <v>4</v>
      </c>
    </row>
    <row r="138" spans="1:20" s="26" customFormat="1" x14ac:dyDescent="0.25">
      <c r="A138" s="16">
        <v>224702</v>
      </c>
      <c r="B138" s="30" t="s">
        <v>499</v>
      </c>
      <c r="C138" s="20" t="s">
        <v>641</v>
      </c>
      <c r="D138" s="20" t="s">
        <v>704</v>
      </c>
      <c r="E138" s="20" t="s">
        <v>2540</v>
      </c>
      <c r="F138" s="20" t="s">
        <v>2541</v>
      </c>
      <c r="G138" s="21">
        <v>18.8</v>
      </c>
      <c r="H138" s="16">
        <v>26</v>
      </c>
      <c r="I138" s="16"/>
      <c r="J138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38" s="22"/>
      <c r="L138" s="23"/>
      <c r="M138" s="23">
        <f>SUM(Tabela174681012142230322681619252731333624210121416182426283038402481012141620222628303234362426810121424610122426244262628262681026286236681012[[#This Row],[Saldo no cartão]:[Recarga Pendente]])</f>
        <v>0</v>
      </c>
      <c r="N138" s="19">
        <f>Tabela174681012142230322681619252731333624210121416182426283038402481012141620222628303234362426810121424610122426244262628262681026286236681012[[#This Row],[Uso diário]]*2</f>
        <v>37.6</v>
      </c>
      <c r="O138" s="19">
        <f>Tabela174681012142230322681619252731333624210121416182426283038402481012141620222628303234362426810121424610122426244262628262681026286236681012[[#This Row],[Total Acumulado]]-P138</f>
        <v>-94</v>
      </c>
      <c r="P138" s="48">
        <f>Tabela174681012142230322681619252731333624210121416182426283038402481012141620222628303234362426810121424610122426244262628262681026286236681012[[#This Row],[Uso diário]]*5</f>
        <v>94</v>
      </c>
      <c r="Q138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8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38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8" s="25">
        <v>4</v>
      </c>
    </row>
    <row r="139" spans="1:20" s="26" customFormat="1" x14ac:dyDescent="0.25">
      <c r="A139" s="16">
        <v>230626</v>
      </c>
      <c r="B139" s="30" t="s">
        <v>1181</v>
      </c>
      <c r="C139" s="20" t="s">
        <v>641</v>
      </c>
      <c r="D139" s="20" t="s">
        <v>704</v>
      </c>
      <c r="E139" s="20" t="s">
        <v>2542</v>
      </c>
      <c r="F139" s="20" t="s">
        <v>2543</v>
      </c>
      <c r="G139" s="21">
        <v>13.4</v>
      </c>
      <c r="H139" s="16">
        <v>26</v>
      </c>
      <c r="I139" s="16">
        <v>3</v>
      </c>
      <c r="J139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308.2</v>
      </c>
      <c r="K139" s="22"/>
      <c r="L139" s="23"/>
      <c r="M139" s="23">
        <f>SUM(Tabela174681012142230322681619252731333624210121416182426283038402481012141620222628303234362426810121424610122426244262628262681026286236681012[[#This Row],[Saldo no cartão]:[Recarga Pendente]])</f>
        <v>0</v>
      </c>
      <c r="N139" s="19">
        <f>Tabela174681012142230322681619252731333624210121416182426283038402481012141620222628303234362426810121424610122426244262628262681026286236681012[[#This Row],[Uso diário]]*2</f>
        <v>26.8</v>
      </c>
      <c r="O139" s="19">
        <f>Tabela174681012142230322681619252731333624210121416182426283038402481012141620222628303234362426810121424610122426244262628262681026286236681012[[#This Row],[Total Acumulado]]-P139</f>
        <v>-67</v>
      </c>
      <c r="P139" s="48">
        <f>Tabela174681012142230322681619252731333624210121416182426283038402481012141620222628303234362426810121424610122426244262628262681026286236681012[[#This Row],[Uso diário]]*5</f>
        <v>67</v>
      </c>
      <c r="Q139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39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308.2</v>
      </c>
      <c r="S139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39" s="25">
        <v>4</v>
      </c>
    </row>
    <row r="140" spans="1:20" s="26" customFormat="1" x14ac:dyDescent="0.25">
      <c r="A140" s="16">
        <v>230858</v>
      </c>
      <c r="B140" s="30" t="s">
        <v>611</v>
      </c>
      <c r="C140" s="20" t="s">
        <v>641</v>
      </c>
      <c r="D140" s="20" t="s">
        <v>705</v>
      </c>
      <c r="E140" s="20" t="s">
        <v>2544</v>
      </c>
      <c r="F140" s="20" t="s">
        <v>2545</v>
      </c>
      <c r="G140" s="21">
        <v>18.8</v>
      </c>
      <c r="H140" s="16">
        <v>17</v>
      </c>
      <c r="I140" s="16"/>
      <c r="J140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319.60000000000002</v>
      </c>
      <c r="K140" s="22"/>
      <c r="L140" s="23"/>
      <c r="M140" s="23">
        <f>SUM(Tabela174681012142230322681619252731333624210121416182426283038402481012141620222628303234362426810121424610122426244262628262681026286236681012[[#This Row],[Saldo no cartão]:[Recarga Pendente]])</f>
        <v>0</v>
      </c>
      <c r="N140" s="19">
        <f>Tabela174681012142230322681619252731333624210121416182426283038402481012141620222628303234362426810121424610122426244262628262681026286236681012[[#This Row],[Uso diário]]*2</f>
        <v>37.6</v>
      </c>
      <c r="O140" s="19">
        <f>Tabela174681012142230322681619252731333624210121416182426283038402481012141620222628303234362426810121424610122426244262628262681026286236681012[[#This Row],[Total Acumulado]]-P140</f>
        <v>-94</v>
      </c>
      <c r="P140" s="48">
        <f>Tabela174681012142230322681619252731333624210121416182426283038402481012141620222628303234362426810121424610122426244262628262681026286236681012[[#This Row],[Uso diário]]*5</f>
        <v>94</v>
      </c>
      <c r="Q140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40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319.60000000000002</v>
      </c>
      <c r="S140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40" s="25">
        <v>4</v>
      </c>
    </row>
    <row r="141" spans="1:20" s="26" customFormat="1" x14ac:dyDescent="0.25">
      <c r="A141" s="16">
        <v>232711</v>
      </c>
      <c r="B141" s="30" t="s">
        <v>984</v>
      </c>
      <c r="C141" s="20" t="s">
        <v>641</v>
      </c>
      <c r="D141" s="20" t="s">
        <v>704</v>
      </c>
      <c r="E141" s="20" t="s">
        <v>2546</v>
      </c>
      <c r="F141" s="20" t="s">
        <v>2547</v>
      </c>
      <c r="G141" s="21">
        <v>18.8</v>
      </c>
      <c r="H141" s="16">
        <v>26</v>
      </c>
      <c r="I141" s="16"/>
      <c r="J141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488.8</v>
      </c>
      <c r="K141" s="22"/>
      <c r="L141" s="23"/>
      <c r="M141" s="23">
        <f>SUM(Tabela174681012142230322681619252731333624210121416182426283038402481012141620222628303234362426810121424610122426244262628262681026286236681012[[#This Row],[Saldo no cartão]:[Recarga Pendente]])</f>
        <v>0</v>
      </c>
      <c r="N141" s="19">
        <f>Tabela174681012142230322681619252731333624210121416182426283038402481012141620222628303234362426810121424610122426244262628262681026286236681012[[#This Row],[Uso diário]]*2</f>
        <v>37.6</v>
      </c>
      <c r="O141" s="19">
        <f>Tabela174681012142230322681619252731333624210121416182426283038402481012141620222628303234362426810121424610122426244262628262681026286236681012[[#This Row],[Total Acumulado]]-P141</f>
        <v>-94</v>
      </c>
      <c r="P141" s="48">
        <f>Tabela174681012142230322681619252731333624210121416182426283038402481012141620222628303234362426810121424610122426244262628262681026286236681012[[#This Row],[Uso diário]]*5</f>
        <v>94</v>
      </c>
      <c r="Q141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41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488.8</v>
      </c>
      <c r="S141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41" s="25">
        <v>4</v>
      </c>
    </row>
    <row r="142" spans="1:20" s="26" customFormat="1" x14ac:dyDescent="0.25">
      <c r="A142" s="16">
        <v>231237</v>
      </c>
      <c r="B142" s="30" t="s">
        <v>789</v>
      </c>
      <c r="C142" s="20" t="s">
        <v>641</v>
      </c>
      <c r="D142" s="20" t="s">
        <v>704</v>
      </c>
      <c r="E142" s="56" t="s">
        <v>2047</v>
      </c>
      <c r="F142" s="56" t="s">
        <v>2048</v>
      </c>
      <c r="G142" s="21">
        <v>13.4</v>
      </c>
      <c r="H142" s="16">
        <v>11</v>
      </c>
      <c r="I142" s="16"/>
      <c r="J142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147.4</v>
      </c>
      <c r="K142" s="22"/>
      <c r="L142" s="23"/>
      <c r="M142" s="23">
        <f>SUM(Tabela174681012142230322681619252731333624210121416182426283038402481012141620222628303234362426810121424610122426244262628262681026286236681012[[#This Row],[Saldo no cartão]:[Recarga Pendente]])</f>
        <v>0</v>
      </c>
      <c r="N142" s="19">
        <f>Tabela174681012142230322681619252731333624210121416182426283038402481012141620222628303234362426810121424610122426244262628262681026286236681012[[#This Row],[Uso diário]]*2</f>
        <v>26.8</v>
      </c>
      <c r="O142" s="19">
        <f>Tabela174681012142230322681619252731333624210121416182426283038402481012141620222628303234362426810121424610122426244262628262681026286236681012[[#This Row],[Total Acumulado]]-P142</f>
        <v>-67</v>
      </c>
      <c r="P142" s="48">
        <f>Tabela174681012142230322681619252731333624210121416182426283038402481012141620222628303234362426810121424610122426244262628262681026286236681012[[#This Row],[Uso diário]]*5</f>
        <v>67</v>
      </c>
      <c r="Q142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42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147.4</v>
      </c>
      <c r="S142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42" s="25">
        <v>4</v>
      </c>
    </row>
    <row r="143" spans="1:20" s="26" customFormat="1" x14ac:dyDescent="0.25">
      <c r="A143" s="16">
        <v>207371</v>
      </c>
      <c r="B143" s="30" t="s">
        <v>1526</v>
      </c>
      <c r="C143" s="20" t="s">
        <v>635</v>
      </c>
      <c r="D143" s="20" t="s">
        <v>698</v>
      </c>
      <c r="E143" s="56" t="s">
        <v>3974</v>
      </c>
      <c r="F143" s="56" t="s">
        <v>3975</v>
      </c>
      <c r="G143" s="21">
        <v>18.8</v>
      </c>
      <c r="H143" s="16">
        <v>26</v>
      </c>
      <c r="I143" s="16">
        <v>1</v>
      </c>
      <c r="J143" s="17">
        <f>(Tabela174681012142230322681619252731333624210121416182426283038402481012141620222628303234362426810121424610122426244262628262681026286236681012[[#This Row],[D]]-Tabela174681012142230322681619252731333624210121416182426283038402481012141620222628303234362426810121424610122426244262628262681026286236681012[[#This Row],[F]])*Tabela174681012142230322681619252731333624210121416182426283038402481012141620222628303234362426810121424610122426244262628262681026286236681012[[#This Row],[Uso diário]]</f>
        <v>470</v>
      </c>
      <c r="K143" s="22"/>
      <c r="L143" s="23"/>
      <c r="M143" s="23">
        <f>SUM(Tabela174681012142230322681619252731333624210121416182426283038402481012141620222628303234362426810121424610122426244262628262681026286236681012[[#This Row],[Saldo no cartão]:[Recarga Pendente]])</f>
        <v>0</v>
      </c>
      <c r="N143" s="19">
        <f>Tabela174681012142230322681619252731333624210121416182426283038402481012141620222628303234362426810121424610122426244262628262681026286236681012[[#This Row],[Uso diário]]*2</f>
        <v>37.6</v>
      </c>
      <c r="O143" s="19">
        <f>Tabela174681012142230322681619252731333624210121416182426283038402481012141620222628303234362426810121424610122426244262628262681026286236681012[[#This Row],[Total Acumulado]]-P143</f>
        <v>-94</v>
      </c>
      <c r="P143" s="48">
        <f>Tabela174681012142230322681619252731333624210121416182426283038402481012141620222628303234362426810121424610122426244262628262681026286236681012[[#This Row],[Uso diário]]*5</f>
        <v>94</v>
      </c>
      <c r="Q143" s="17">
        <f>IF(Tabela174681012142230322681619252731333624210121416182426283038402481012141620222628303234362426810121424610122426244262628262681026286236681012[[#This Row],[acumulo]]&lt;Tabela174681012142230322681619252731333624210121416182426283038402481012141620222628303234362426810121424610122426244262628262681026286236681012[[#This Row],[acumulo minimo]],0,Tabela174681012142230322681619252731333624210121416182426283038402481012141620222628303234362426810121424610122426244262628262681026286236681012[[#This Row],[acumulo]])</f>
        <v>0</v>
      </c>
      <c r="R143" s="24">
        <f>IF(Tabela174681012142230322681619252731333624210121416182426283038402481012141620222628303234362426810121424610122426244262628262681026286236681012[[#This Row],[Valor economizado]]&gt;Tabela174681012142230322681619252731333624210121416182426283038402481012141620222628303234362426810121424610122426244262628262681026286236681012[[#This Row],[Pedido Inicial]],0,Tabela174681012142230322681619252731333624210121416182426283038402481012141620222628303234362426810121424610122426244262628262681026286236681012[[#This Row],[Pedido Inicial]]-Tabela174681012142230322681619252731333624210121416182426283038402481012141620222628303234362426810121424610122426244262628262681026286236681012[[#This Row],[Valor economizado]])</f>
        <v>470</v>
      </c>
      <c r="S143" s="18" t="str">
        <f>IF(Tabela174681012142230322681619252731333624210121416182426283038402481012141620222628303234362426810121424610122426244262628262681026286236681012[[#This Row],[Pedido Final]]=0,"NÃO EFETUAR RECARGA","RECARGA NORMAL")</f>
        <v>RECARGA NORMAL</v>
      </c>
      <c r="T143" s="25">
        <v>4</v>
      </c>
    </row>
    <row r="144" spans="1:20" s="8" customFormat="1" x14ac:dyDescent="0.25">
      <c r="A144" s="13" t="s">
        <v>13</v>
      </c>
      <c r="B144" s="13"/>
      <c r="C144" s="13"/>
      <c r="D144" s="13"/>
      <c r="E144" s="20"/>
      <c r="F144" s="20"/>
      <c r="G144" s="33"/>
      <c r="H144" s="13"/>
      <c r="I144" s="13"/>
      <c r="J144" s="14">
        <f>SUBTOTAL(109,Tabela174681012142230322681619252731333624210121416182426283038402481012141620222628303234362426810121424610122426244262628262681026286236681012[Pedido Inicial])</f>
        <v>46008.200000000033</v>
      </c>
      <c r="K144" s="15"/>
      <c r="L144" s="15"/>
      <c r="M144" s="15"/>
      <c r="N144" s="15"/>
      <c r="O144" s="15"/>
      <c r="P144" s="15"/>
      <c r="Q144" s="15"/>
      <c r="R144" s="14">
        <f>SUBTOTAL(109,Tabela174681012142230322681619252731333624210121416182426283038402481012141620222628303234362426810121424610122426244262628262681026286236681012[Pedido Final])</f>
        <v>45813.400000000031</v>
      </c>
      <c r="S144" s="31">
        <f>SUBTOTAL(103,Tabela174681012142230322681619252731333624210121416182426283038402481012141620222628303234362426810121424610122426244262628262681026286236681012[Status])</f>
        <v>140</v>
      </c>
      <c r="T144" s="13"/>
    </row>
    <row r="145" spans="1:20" s="8" customFormat="1" x14ac:dyDescent="0.25">
      <c r="A145" s="13"/>
      <c r="B145" s="13"/>
      <c r="C145" s="13"/>
      <c r="D145" s="13"/>
      <c r="E145" s="20"/>
      <c r="F145" s="20"/>
      <c r="G145" s="33"/>
      <c r="H145" s="13"/>
      <c r="I145" s="13"/>
      <c r="J145" s="14"/>
      <c r="K145" s="15"/>
      <c r="L145" s="15"/>
      <c r="M145" s="15"/>
      <c r="N145" s="15"/>
      <c r="O145" s="15"/>
      <c r="P145" s="15"/>
      <c r="Q145" s="15"/>
      <c r="R145" s="14"/>
      <c r="S145" s="31"/>
      <c r="T145" s="13"/>
    </row>
    <row r="146" spans="1:20" s="8" customFormat="1" x14ac:dyDescent="0.25">
      <c r="A146" s="13"/>
      <c r="B146" s="13"/>
      <c r="C146" s="13"/>
      <c r="D146" s="13"/>
      <c r="E146" s="20"/>
      <c r="F146" s="20"/>
      <c r="G146" s="33"/>
      <c r="H146" s="13"/>
      <c r="I146" s="13"/>
      <c r="J146" s="14"/>
      <c r="K146" s="15"/>
      <c r="L146" s="15"/>
      <c r="M146" s="15"/>
      <c r="N146" s="15"/>
      <c r="O146" s="15"/>
      <c r="P146" s="15"/>
      <c r="Q146" s="15"/>
      <c r="R146" s="14"/>
      <c r="S146" s="31"/>
      <c r="T146" s="13"/>
    </row>
    <row r="147" spans="1:20" s="8" customFormat="1" x14ac:dyDescent="0.25">
      <c r="A147" s="1"/>
      <c r="B147" s="54" t="s">
        <v>14</v>
      </c>
      <c r="C147" s="55"/>
      <c r="D147" s="13"/>
      <c r="F147" s="37"/>
      <c r="G147" s="37"/>
      <c r="H147" s="37"/>
      <c r="I147" s="37"/>
      <c r="J147" s="28"/>
      <c r="K147" s="3"/>
      <c r="L147" s="1"/>
      <c r="M147" s="1"/>
      <c r="N147" s="1"/>
      <c r="O147" s="1"/>
      <c r="P147" s="1"/>
      <c r="Q147" s="1"/>
      <c r="R147" s="4" t="s">
        <v>26</v>
      </c>
      <c r="S147" s="39" t="s">
        <v>15</v>
      </c>
    </row>
    <row r="148" spans="1:20" s="8" customFormat="1" x14ac:dyDescent="0.25">
      <c r="A148" s="1"/>
      <c r="B148" s="50" t="s">
        <v>24</v>
      </c>
      <c r="C148" s="45">
        <f>Tabela174681012142230322681619252731333624210121416182426283038402481012141620222628303234362426810121424610122426244262628262681026286236681012[[#Totals],[Pedido Inicial]]</f>
        <v>46008.200000000033</v>
      </c>
      <c r="D148" s="13"/>
      <c r="F148" s="41"/>
      <c r="G148" s="41"/>
      <c r="H148" s="34"/>
      <c r="I148" s="34"/>
      <c r="J148" s="34"/>
      <c r="K148" s="5"/>
      <c r="L148" s="1"/>
      <c r="M148" s="1"/>
      <c r="N148" s="1"/>
      <c r="O148" s="1"/>
      <c r="P148" s="1"/>
      <c r="Q148" s="1"/>
      <c r="R148" s="58" t="s">
        <v>28</v>
      </c>
      <c r="S148" s="59">
        <f>COUNTIF(Tabela174681012142230322681619252731333624210121416182426283038402481012141620222628303234362426810121424610122426244262628262681026286236681012[Status],Tabela25791113152331333791720262832343735311131517192527293139413591113151721232729313335373537911131535711133537345373739373791137397337791113[[#This Row],[STATUS]])</f>
        <v>137</v>
      </c>
    </row>
    <row r="149" spans="1:20" s="8" customFormat="1" x14ac:dyDescent="0.25">
      <c r="A149" s="1"/>
      <c r="B149" s="50" t="s">
        <v>25</v>
      </c>
      <c r="C149" s="45">
        <f>Tabela174681012142230322681619252731333624210121416182426283038402481012141620222628303234362426810121424610122426244262628262681026286236681012[[#Totals],[Pedido Final]]</f>
        <v>45813.400000000031</v>
      </c>
      <c r="D149" s="13"/>
      <c r="F149" s="41"/>
      <c r="G149" s="41"/>
      <c r="H149" s="34"/>
      <c r="I149" s="34"/>
      <c r="J149" s="34"/>
      <c r="K149" s="5"/>
      <c r="L149" s="1"/>
      <c r="M149" s="1"/>
      <c r="N149" s="1"/>
      <c r="O149" s="1"/>
      <c r="P149" s="1"/>
      <c r="R149" s="58" t="s">
        <v>11</v>
      </c>
      <c r="S149" s="59">
        <f>COUNTIF(Tabela174681012142230322681619252731333624210121416182426283038402481012141620222628303234362426810121424610122426244262628262681026286236681012[Status],Tabela25791113152331333791720262832343735311131517192527293139413591113151721232729313335373537911131535711133537345373739373791137397337791113[[#This Row],[STATUS]])</f>
        <v>1</v>
      </c>
    </row>
    <row r="150" spans="1:20" s="8" customFormat="1" x14ac:dyDescent="0.25">
      <c r="A150" s="1"/>
      <c r="B150" s="51" t="str">
        <f>_xlfn.CONCAT("ECONOMIA"," ",ROUND(C150/C148,2)*100,"%")</f>
        <v>ECONOMIA 0%</v>
      </c>
      <c r="C150" s="46">
        <f>SUM(C148-C149)</f>
        <v>194.80000000000291</v>
      </c>
      <c r="D150" s="13"/>
      <c r="F150" s="41"/>
      <c r="G150" s="41"/>
      <c r="H150" s="36"/>
      <c r="I150" s="36"/>
      <c r="J150" s="38"/>
      <c r="K150" s="36"/>
      <c r="L150" s="1"/>
      <c r="M150" s="1"/>
      <c r="N150" s="1"/>
      <c r="O150" s="1"/>
      <c r="P150" s="1"/>
      <c r="Q150" s="35"/>
      <c r="R150" s="58" t="s">
        <v>12</v>
      </c>
      <c r="S150" s="59">
        <f>COUNTIF(Tabela174681012142230322681619252731333624210121416182426283038402481012141620222628303234362426810121424610122426244262628262681026286236681012[Status],Tabela25791113152331333791720262832343735311131517192527293139413591113151721232729313335373537911131535711133537345373739373791137397337791113[[#This Row],[STATUS]])</f>
        <v>2</v>
      </c>
    </row>
    <row r="151" spans="1:20" s="8" customFormat="1" x14ac:dyDescent="0.25">
      <c r="A151" s="1"/>
      <c r="B151" s="51" t="str">
        <f>_xlfn.CONCAT("HPOD"," ",ROUND(C151/C150,2)*100,"%")</f>
        <v>HPOD 12%</v>
      </c>
      <c r="C151" s="46">
        <f>C150*12%</f>
        <v>23.376000000000349</v>
      </c>
      <c r="D151" s="13"/>
      <c r="F151" s="41"/>
      <c r="G151" s="41"/>
      <c r="H151" s="36"/>
      <c r="I151" s="36"/>
      <c r="J151" s="38"/>
      <c r="K151" s="36"/>
      <c r="L151" s="1"/>
      <c r="M151" s="1"/>
      <c r="N151" s="1"/>
      <c r="O151" s="1"/>
      <c r="P151" s="1"/>
      <c r="Q151" s="1"/>
      <c r="R151" s="6" t="s">
        <v>27</v>
      </c>
      <c r="S151" s="40">
        <f>SUBTOTAL(109,Tabela25791113152331333791720262832343735311131517192527293139413591113151721232729313335373537911131535711133537345373739373791137397337791113[Coluna1])</f>
        <v>140</v>
      </c>
    </row>
    <row r="152" spans="1:20" s="8" customFormat="1" x14ac:dyDescent="0.25">
      <c r="A152" s="1"/>
      <c r="B152" s="3"/>
      <c r="C152" s="47"/>
      <c r="D152" s="1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6"/>
    </row>
    <row r="153" spans="1:20" s="8" customFormat="1" x14ac:dyDescent="0.25">
      <c r="A153" s="1"/>
      <c r="B153" s="3"/>
      <c r="C153" s="3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5"/>
      <c r="P153" s="1"/>
      <c r="Q153" s="1"/>
      <c r="R153" s="1"/>
      <c r="S153" s="1"/>
      <c r="T153" s="1"/>
    </row>
    <row r="154" spans="1:20" s="8" customFormat="1" x14ac:dyDescent="0.25">
      <c r="A154" s="26"/>
      <c r="B154" s="12"/>
      <c r="C154" s="12"/>
      <c r="D154" s="12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1"/>
    </row>
    <row r="155" spans="1:20" s="8" customFormat="1" x14ac:dyDescent="0.25">
      <c r="A155" s="26"/>
      <c r="B155" s="12"/>
      <c r="C155" s="12"/>
      <c r="D155" s="12"/>
      <c r="E155" s="27"/>
      <c r="F155" s="27"/>
      <c r="G155" s="27"/>
      <c r="H155" s="27"/>
      <c r="I155" s="27"/>
      <c r="J155" s="27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 spans="1:20" s="8" customFormat="1" x14ac:dyDescent="0.25">
      <c r="A156" s="26"/>
      <c r="B156" s="12"/>
      <c r="C156" s="12"/>
      <c r="D156" s="12"/>
      <c r="E156" s="28"/>
      <c r="F156" s="28"/>
      <c r="G156" s="28"/>
      <c r="H156" s="28"/>
      <c r="I156" s="28"/>
      <c r="J156" s="28"/>
      <c r="K156" s="27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1:20" s="8" customFormat="1" x14ac:dyDescent="0.25">
      <c r="A157" s="26"/>
      <c r="B157" s="12"/>
      <c r="C157" s="12"/>
      <c r="D157" s="12"/>
      <c r="E157" s="28"/>
      <c r="F157" s="28"/>
      <c r="G157" s="28"/>
      <c r="H157" s="28"/>
      <c r="I157" s="28"/>
      <c r="J157" s="28"/>
      <c r="K157" s="27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1:20" s="8" customFormat="1" x14ac:dyDescent="0.25">
      <c r="A158" s="26"/>
      <c r="B158" s="12"/>
      <c r="C158" s="12"/>
      <c r="D158" s="12"/>
      <c r="E158" s="28"/>
      <c r="F158" s="28"/>
      <c r="G158" s="28"/>
      <c r="H158" s="28"/>
      <c r="I158" s="28"/>
      <c r="J158" s="28"/>
      <c r="K158" s="27"/>
      <c r="L158" s="26"/>
      <c r="M158" s="26"/>
      <c r="N158" s="26"/>
      <c r="O158" s="26"/>
      <c r="P158" s="29"/>
      <c r="Q158" s="26"/>
      <c r="R158" s="26"/>
      <c r="S158" s="26"/>
      <c r="T158" s="26"/>
    </row>
    <row r="159" spans="1:20" s="8" customFormat="1" x14ac:dyDescent="0.25">
      <c r="A159" s="26"/>
      <c r="B159" s="12"/>
      <c r="C159" s="12"/>
      <c r="D159" s="12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6"/>
      <c r="Q159" s="26"/>
      <c r="R159" s="26"/>
      <c r="S159" s="26"/>
      <c r="T159" s="26"/>
    </row>
    <row r="160" spans="1:20" s="8" customFormat="1" x14ac:dyDescent="0.25">
      <c r="A160" s="26"/>
      <c r="B160" s="12"/>
      <c r="C160" s="12"/>
      <c r="D160" s="12"/>
      <c r="E160" s="28"/>
      <c r="F160" s="28"/>
      <c r="G160" s="28"/>
      <c r="H160" s="28"/>
      <c r="I160" s="28"/>
      <c r="J160" s="28"/>
      <c r="K160" s="29"/>
      <c r="L160" s="26"/>
      <c r="M160" s="26"/>
      <c r="N160" s="26"/>
      <c r="O160" s="26"/>
      <c r="P160" s="26"/>
      <c r="Q160" s="26"/>
      <c r="R160" s="26"/>
      <c r="S160" s="26"/>
      <c r="T160" s="26"/>
    </row>
    <row r="161" spans="1:20" s="8" customFormat="1" x14ac:dyDescent="0.25">
      <c r="A161" s="26"/>
      <c r="B161" s="12"/>
      <c r="C161" s="12"/>
      <c r="D161" s="12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 spans="1:20" s="8" customFormat="1" x14ac:dyDescent="0.25">
      <c r="A162" s="26"/>
      <c r="B162" s="12"/>
      <c r="C162" s="12"/>
      <c r="D162" s="12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9"/>
    </row>
    <row r="163" spans="1:20" s="8" customFormat="1" x14ac:dyDescent="0.25">
      <c r="A163" s="26"/>
      <c r="B163" s="12"/>
      <c r="C163" s="12"/>
      <c r="D163" s="12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 spans="1:20" s="8" customFormat="1" x14ac:dyDescent="0.25">
      <c r="A164" s="26"/>
      <c r="B164" s="12"/>
      <c r="C164" s="12"/>
      <c r="D164" s="12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 spans="1:20" s="8" customFormat="1" x14ac:dyDescent="0.25">
      <c r="A165" s="26"/>
      <c r="B165" s="12"/>
      <c r="C165" s="12"/>
      <c r="D165" s="12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 spans="1:20" s="8" customFormat="1" x14ac:dyDescent="0.25">
      <c r="A166" s="26"/>
      <c r="B166" s="12"/>
      <c r="C166" s="12"/>
      <c r="D166" s="12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 spans="1:20" s="8" customFormat="1" x14ac:dyDescent="0.25">
      <c r="A167" s="26"/>
      <c r="B167" s="12"/>
      <c r="C167" s="12"/>
      <c r="D167" s="12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 spans="1:20" s="8" customFormat="1" x14ac:dyDescent="0.25">
      <c r="A168" s="1"/>
      <c r="B168" s="3"/>
      <c r="C168" s="3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6"/>
    </row>
    <row r="169" spans="1:20" s="8" customFormat="1" x14ac:dyDescent="0.25">
      <c r="A169" s="1"/>
      <c r="B169" s="3"/>
      <c r="C169" s="3"/>
      <c r="D169" s="3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s="8" customFormat="1" x14ac:dyDescent="0.25">
      <c r="A170" s="1"/>
      <c r="B170" s="3"/>
      <c r="C170" s="3"/>
      <c r="D170" s="3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</row>
  </sheetData>
  <mergeCells count="1">
    <mergeCell ref="A2:T2"/>
  </mergeCells>
  <conditionalFormatting sqref="A144:A1048576 A1:A141">
    <cfRule type="duplicateValues" dxfId="62" priority="4"/>
    <cfRule type="duplicateValues" dxfId="61" priority="5"/>
  </conditionalFormatting>
  <conditionalFormatting sqref="B144:B1048576 B1:B141">
    <cfRule type="duplicateValues" dxfId="60" priority="6"/>
  </conditionalFormatting>
  <conditionalFormatting sqref="B148:C15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{00106E53-9100-49F0-AFE1-02EC8AE385C8}</x14:id>
        </ext>
      </extLst>
    </cfRule>
  </conditionalFormatting>
  <conditionalFormatting sqref="H148:J149 F148:G1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{8EBA624D-3833-4A20-ABB2-18C6CCB57F58}</x14:id>
        </ext>
      </extLst>
    </cfRule>
  </conditionalFormatting>
  <conditionalFormatting sqref="R148:S15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{D1CCF45F-A025-497E-833C-F74C57AB2B78}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106E53-9100-49F0-AFE1-02EC8AE38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B148:C151</xm:sqref>
        </x14:conditionalFormatting>
        <x14:conditionalFormatting xmlns:xm="http://schemas.microsoft.com/office/excel/2006/main">
          <x14:cfRule type="dataBar" id="{8EBA624D-3833-4A20-ABB2-18C6CCB57F58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H148:J149 F148:G151</xm:sqref>
        </x14:conditionalFormatting>
        <x14:conditionalFormatting xmlns:xm="http://schemas.microsoft.com/office/excel/2006/main">
          <x14:cfRule type="dataBar" id="{D1CCF45F-A025-497E-833C-F74C57AB2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R148:S150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A892-C5D3-483F-BA09-453E4E8D3FCE}">
  <sheetPr>
    <pageSetUpPr fitToPage="1"/>
  </sheetPr>
  <dimension ref="A1:BG160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30.42578125" style="3" bestFit="1" customWidth="1"/>
    <col min="3" max="3" width="16.140625" style="3" bestFit="1" customWidth="1"/>
    <col min="4" max="4" width="24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4197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217073</v>
      </c>
      <c r="B4" s="30" t="s">
        <v>264</v>
      </c>
      <c r="C4" s="20" t="s">
        <v>647</v>
      </c>
      <c r="D4" s="20" t="s">
        <v>720</v>
      </c>
      <c r="E4" s="20" t="s">
        <v>2550</v>
      </c>
      <c r="F4" s="20" t="s">
        <v>2551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SUM(Tabela17468101214223032268161925273133362421012141618242628303840248101214162022262830323436242681012142461012242624426262826268102628623668101214[[#This Row],[Saldo no cartão]:[Recarga Pendente]])</f>
        <v>0</v>
      </c>
      <c r="N4" s="19">
        <f>Tabela17468101214223032268161925273133362421012141618242628303840248101214162022262830323436242681012142461012242624426262826268102628623668101214[[#This Row],[Uso diário]]*2</f>
        <v>37.6</v>
      </c>
      <c r="O4" s="19">
        <f>Tabela17468101214223032268161925273133362421012141618242628303840248101214162022262830323436242681012142461012242624426262826268102628623668101214[[#This Row],[Total Acumulado]]-P4</f>
        <v>-94</v>
      </c>
      <c r="P4" s="48">
        <f>Tabela17468101214223032268161925273133362421012141618242628303840248101214162022262830323436242681012142461012242624426262826268102628623668101214[[#This Row],[Uso diário]]*5</f>
        <v>94</v>
      </c>
      <c r="Q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" s="25">
        <v>5</v>
      </c>
    </row>
    <row r="5" spans="1:59" s="26" customFormat="1" x14ac:dyDescent="0.25">
      <c r="A5" s="16">
        <v>219565</v>
      </c>
      <c r="B5" s="30" t="s">
        <v>1448</v>
      </c>
      <c r="C5" s="20" t="s">
        <v>647</v>
      </c>
      <c r="D5" s="20" t="s">
        <v>724</v>
      </c>
      <c r="E5" s="20" t="s">
        <v>2552</v>
      </c>
      <c r="F5" s="20" t="s">
        <v>2553</v>
      </c>
      <c r="G5" s="21">
        <v>13.4</v>
      </c>
      <c r="H5" s="16">
        <v>26</v>
      </c>
      <c r="I5" s="16"/>
      <c r="J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5" s="22"/>
      <c r="L5" s="23"/>
      <c r="M5" s="23">
        <f>SUM(Tabela17468101214223032268161925273133362421012141618242628303840248101214162022262830323436242681012142461012242624426262826268102628623668101214[[#This Row],[Saldo no cartão]:[Recarga Pendente]])</f>
        <v>0</v>
      </c>
      <c r="N5" s="19">
        <f>Tabela17468101214223032268161925273133362421012141618242628303840248101214162022262830323436242681012142461012242624426262826268102628623668101214[[#This Row],[Uso diário]]*2</f>
        <v>26.8</v>
      </c>
      <c r="O5" s="19">
        <f>Tabela17468101214223032268161925273133362421012141618242628303840248101214162022262830323436242681012142461012242624426262826268102628623668101214[[#This Row],[Total Acumulado]]-P5</f>
        <v>-67</v>
      </c>
      <c r="P5" s="48">
        <f>Tabela17468101214223032268161925273133362421012141618242628303840248101214162022262830323436242681012142461012242624426262826268102628623668101214[[#This Row],[Uso diário]]*5</f>
        <v>67</v>
      </c>
      <c r="Q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" s="25">
        <v>5</v>
      </c>
    </row>
    <row r="6" spans="1:59" s="26" customFormat="1" x14ac:dyDescent="0.25">
      <c r="A6" s="16">
        <v>224400</v>
      </c>
      <c r="B6" s="30" t="s">
        <v>265</v>
      </c>
      <c r="C6" s="20" t="s">
        <v>647</v>
      </c>
      <c r="D6" s="20" t="s">
        <v>720</v>
      </c>
      <c r="E6" s="20" t="s">
        <v>2554</v>
      </c>
      <c r="F6" s="20" t="s">
        <v>2555</v>
      </c>
      <c r="G6" s="21">
        <v>18.8</v>
      </c>
      <c r="H6" s="16">
        <v>26</v>
      </c>
      <c r="I6" s="16"/>
      <c r="J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6" s="22"/>
      <c r="L6" s="23">
        <v>271.10000000000002</v>
      </c>
      <c r="M6" s="23">
        <f>SUM(Tabela17468101214223032268161925273133362421012141618242628303840248101214162022262830323436242681012142461012242624426262826268102628623668101214[[#This Row],[Saldo no cartão]:[Recarga Pendente]])</f>
        <v>271.10000000000002</v>
      </c>
      <c r="N6" s="19">
        <f>Tabela17468101214223032268161925273133362421012141618242628303840248101214162022262830323436242681012142461012242624426262826268102628623668101214[[#This Row],[Uso diário]]*2</f>
        <v>37.6</v>
      </c>
      <c r="O6" s="19">
        <f>Tabela17468101214223032268161925273133362421012141618242628303840248101214162022262830323436242681012142461012242624426262826268102628623668101214[[#This Row],[Total Acumulado]]-P6</f>
        <v>177.10000000000002</v>
      </c>
      <c r="P6" s="48">
        <f>Tabela17468101214223032268161925273133362421012141618242628303840248101214162022262830323436242681012142461012242624426262826268102628623668101214[[#This Row],[Uso diário]]*5</f>
        <v>94</v>
      </c>
      <c r="Q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177.10000000000002</v>
      </c>
      <c r="R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311.7</v>
      </c>
      <c r="S6" s="18" t="s">
        <v>11</v>
      </c>
      <c r="T6" s="25">
        <v>5</v>
      </c>
    </row>
    <row r="7" spans="1:59" s="26" customFormat="1" x14ac:dyDescent="0.25">
      <c r="A7" s="16">
        <v>228620</v>
      </c>
      <c r="B7" s="30" t="s">
        <v>1064</v>
      </c>
      <c r="C7" s="20" t="s">
        <v>647</v>
      </c>
      <c r="D7" s="20" t="s">
        <v>721</v>
      </c>
      <c r="E7" s="20" t="s">
        <v>2556</v>
      </c>
      <c r="F7" s="20" t="s">
        <v>2557</v>
      </c>
      <c r="G7" s="21">
        <v>18.8</v>
      </c>
      <c r="H7" s="16">
        <v>26</v>
      </c>
      <c r="I7" s="16"/>
      <c r="J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7" s="22"/>
      <c r="L7" s="23"/>
      <c r="M7" s="23">
        <f>SUM(Tabela17468101214223032268161925273133362421012141618242628303840248101214162022262830323436242681012142461012242624426262826268102628623668101214[[#This Row],[Saldo no cartão]:[Recarga Pendente]])</f>
        <v>0</v>
      </c>
      <c r="N7" s="19">
        <f>Tabela17468101214223032268161925273133362421012141618242628303840248101214162022262830323436242681012142461012242624426262826268102628623668101214[[#This Row],[Uso diário]]*2</f>
        <v>37.6</v>
      </c>
      <c r="O7" s="19">
        <f>Tabela17468101214223032268161925273133362421012141618242628303840248101214162022262830323436242681012142461012242624426262826268102628623668101214[[#This Row],[Total Acumulado]]-P7</f>
        <v>-94</v>
      </c>
      <c r="P7" s="48">
        <f>Tabela17468101214223032268161925273133362421012141618242628303840248101214162022262830323436242681012142461012242624426262826268102628623668101214[[#This Row],[Uso diário]]*5</f>
        <v>94</v>
      </c>
      <c r="Q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" s="25">
        <v>5</v>
      </c>
    </row>
    <row r="8" spans="1:59" s="26" customFormat="1" x14ac:dyDescent="0.25">
      <c r="A8" s="16">
        <v>231377</v>
      </c>
      <c r="B8" s="30" t="s">
        <v>790</v>
      </c>
      <c r="C8" s="20" t="s">
        <v>647</v>
      </c>
      <c r="D8" s="20" t="s">
        <v>724</v>
      </c>
      <c r="E8" s="20" t="s">
        <v>2558</v>
      </c>
      <c r="F8" s="20" t="s">
        <v>2559</v>
      </c>
      <c r="G8" s="21">
        <v>18.8</v>
      </c>
      <c r="H8" s="16">
        <v>26</v>
      </c>
      <c r="I8" s="16"/>
      <c r="J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8" s="22"/>
      <c r="L8" s="23"/>
      <c r="M8" s="23">
        <f>SUM(Tabela17468101214223032268161925273133362421012141618242628303840248101214162022262830323436242681012142461012242624426262826268102628623668101214[[#This Row],[Saldo no cartão]:[Recarga Pendente]])</f>
        <v>0</v>
      </c>
      <c r="N8" s="19">
        <f>Tabela17468101214223032268161925273133362421012141618242628303840248101214162022262830323436242681012142461012242624426262826268102628623668101214[[#This Row],[Uso diário]]*2</f>
        <v>37.6</v>
      </c>
      <c r="O8" s="19">
        <f>Tabela17468101214223032268161925273133362421012141618242628303840248101214162022262830323436242681012142461012242624426262826268102628623668101214[[#This Row],[Total Acumulado]]-P8</f>
        <v>-94</v>
      </c>
      <c r="P8" s="48">
        <f>Tabela17468101214223032268161925273133362421012141618242628303840248101214162022262830323436242681012142461012242624426262826268102628623668101214[[#This Row],[Uso diário]]*5</f>
        <v>94</v>
      </c>
      <c r="Q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" s="25">
        <v>5</v>
      </c>
    </row>
    <row r="9" spans="1:59" s="26" customFormat="1" x14ac:dyDescent="0.25">
      <c r="A9" s="16">
        <v>235008</v>
      </c>
      <c r="B9" s="30" t="s">
        <v>1466</v>
      </c>
      <c r="C9" s="20" t="s">
        <v>651</v>
      </c>
      <c r="D9" s="20" t="s">
        <v>716</v>
      </c>
      <c r="E9" s="56" t="s">
        <v>2932</v>
      </c>
      <c r="F9" s="56" t="s">
        <v>2933</v>
      </c>
      <c r="G9" s="21">
        <v>18.8</v>
      </c>
      <c r="H9" s="16">
        <v>16</v>
      </c>
      <c r="I9" s="16"/>
      <c r="J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9" s="22"/>
      <c r="L9" s="23"/>
      <c r="M9" s="23">
        <f>SUM(Tabela17468101214223032268161925273133362421012141618242628303840248101214162022262830323436242681012142461012242624426262826268102628623668101214[[#This Row],[Saldo no cartão]:[Recarga Pendente]])</f>
        <v>0</v>
      </c>
      <c r="N9" s="19">
        <f>Tabela17468101214223032268161925273133362421012141618242628303840248101214162022262830323436242681012142461012242624426262826268102628623668101214[[#This Row],[Uso diário]]*2</f>
        <v>37.6</v>
      </c>
      <c r="O9" s="19">
        <f>Tabela17468101214223032268161925273133362421012141618242628303840248101214162022262830323436242681012142461012242624426262826268102628623668101214[[#This Row],[Total Acumulado]]-P9</f>
        <v>-94</v>
      </c>
      <c r="P9" s="48">
        <f>Tabela17468101214223032268161925273133362421012141618242628303840248101214162022262830323436242681012142461012242624426262826268102628623668101214[[#This Row],[Uso diário]]*5</f>
        <v>94</v>
      </c>
      <c r="Q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" s="25">
        <v>5</v>
      </c>
    </row>
    <row r="10" spans="1:59" s="26" customFormat="1" x14ac:dyDescent="0.25">
      <c r="A10" s="16">
        <v>233182</v>
      </c>
      <c r="B10" s="30" t="s">
        <v>985</v>
      </c>
      <c r="C10" s="20" t="s">
        <v>647</v>
      </c>
      <c r="D10" s="20" t="s">
        <v>721</v>
      </c>
      <c r="E10" s="20" t="s">
        <v>2560</v>
      </c>
      <c r="F10" s="20" t="s">
        <v>2561</v>
      </c>
      <c r="G10" s="21">
        <v>18.8</v>
      </c>
      <c r="H10" s="16">
        <v>26</v>
      </c>
      <c r="I10" s="16">
        <v>1</v>
      </c>
      <c r="J1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470</v>
      </c>
      <c r="K10" s="22"/>
      <c r="L10" s="23"/>
      <c r="M10" s="23">
        <f>SUM(Tabela17468101214223032268161925273133362421012141618242628303840248101214162022262830323436242681012142461012242624426262826268102628623668101214[[#This Row],[Saldo no cartão]:[Recarga Pendente]])</f>
        <v>0</v>
      </c>
      <c r="N10" s="19">
        <f>Tabela17468101214223032268161925273133362421012141618242628303840248101214162022262830323436242681012142461012242624426262826268102628623668101214[[#This Row],[Uso diário]]*2</f>
        <v>37.6</v>
      </c>
      <c r="O10" s="19">
        <f>Tabela17468101214223032268161925273133362421012141618242628303840248101214162022262830323436242681012142461012242624426262826268102628623668101214[[#This Row],[Total Acumulado]]-P10</f>
        <v>-94</v>
      </c>
      <c r="P10" s="48">
        <f>Tabela17468101214223032268161925273133362421012141618242628303840248101214162022262830323436242681012142461012242624426262826268102628623668101214[[#This Row],[Uso diário]]*5</f>
        <v>94</v>
      </c>
      <c r="Q1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470</v>
      </c>
      <c r="S1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" s="25">
        <v>5</v>
      </c>
    </row>
    <row r="11" spans="1:59" s="26" customFormat="1" x14ac:dyDescent="0.25">
      <c r="A11" s="16">
        <v>234104</v>
      </c>
      <c r="B11" s="30" t="s">
        <v>1354</v>
      </c>
      <c r="C11" s="20" t="s">
        <v>647</v>
      </c>
      <c r="D11" s="20" t="s">
        <v>724</v>
      </c>
      <c r="E11" s="20" t="s">
        <v>2562</v>
      </c>
      <c r="F11" s="20" t="s">
        <v>2563</v>
      </c>
      <c r="G11" s="21">
        <v>13.4</v>
      </c>
      <c r="H11" s="16">
        <v>26</v>
      </c>
      <c r="I11" s="16"/>
      <c r="J1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1" s="22"/>
      <c r="L11" s="23"/>
      <c r="M11" s="23">
        <f>SUM(Tabela17468101214223032268161925273133362421012141618242628303840248101214162022262830323436242681012142461012242624426262826268102628623668101214[[#This Row],[Saldo no cartão]:[Recarga Pendente]])</f>
        <v>0</v>
      </c>
      <c r="N11" s="19">
        <f>Tabela17468101214223032268161925273133362421012141618242628303840248101214162022262830323436242681012142461012242624426262826268102628623668101214[[#This Row],[Uso diário]]*2</f>
        <v>26.8</v>
      </c>
      <c r="O11" s="19">
        <f>Tabela17468101214223032268161925273133362421012141618242628303840248101214162022262830323436242681012142461012242624426262826268102628623668101214[[#This Row],[Total Acumulado]]-P11</f>
        <v>-67</v>
      </c>
      <c r="P11" s="48">
        <f>Tabela17468101214223032268161925273133362421012141618242628303840248101214162022262830323436242681012142461012242624426262826268102628623668101214[[#This Row],[Uso diário]]*5</f>
        <v>67</v>
      </c>
      <c r="Q1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" s="25">
        <v>5</v>
      </c>
    </row>
    <row r="12" spans="1:59" s="26" customFormat="1" x14ac:dyDescent="0.25">
      <c r="A12" s="16">
        <v>234208</v>
      </c>
      <c r="B12" s="30" t="s">
        <v>1182</v>
      </c>
      <c r="C12" s="20" t="s">
        <v>647</v>
      </c>
      <c r="D12" s="20" t="s">
        <v>721</v>
      </c>
      <c r="E12" s="20" t="s">
        <v>2564</v>
      </c>
      <c r="F12" s="20" t="s">
        <v>2565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SUM(Tabela17468101214223032268161925273133362421012141618242628303840248101214162022262830323436242681012142461012242624426262826268102628623668101214[[#This Row],[Saldo no cartão]:[Recarga Pendente]])</f>
        <v>0</v>
      </c>
      <c r="N12" s="19">
        <f>Tabela17468101214223032268161925273133362421012141618242628303840248101214162022262830323436242681012142461012242624426262826268102628623668101214[[#This Row],[Uso diário]]*2</f>
        <v>26.8</v>
      </c>
      <c r="O12" s="19">
        <f>Tabela17468101214223032268161925273133362421012141618242628303840248101214162022262830323436242681012142461012242624426262826268102628623668101214[[#This Row],[Total Acumulado]]-P12</f>
        <v>-67</v>
      </c>
      <c r="P12" s="48">
        <f>Tabela17468101214223032268161925273133362421012141618242628303840248101214162022262830323436242681012142461012242624426262826268102628623668101214[[#This Row],[Uso diário]]*5</f>
        <v>67</v>
      </c>
      <c r="Q1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" s="25">
        <v>5</v>
      </c>
    </row>
    <row r="13" spans="1:59" s="26" customFormat="1" ht="22.5" x14ac:dyDescent="0.25">
      <c r="A13" s="16">
        <v>234645</v>
      </c>
      <c r="B13" s="30" t="s">
        <v>1310</v>
      </c>
      <c r="C13" s="20" t="s">
        <v>647</v>
      </c>
      <c r="D13" s="20" t="s">
        <v>724</v>
      </c>
      <c r="E13" s="20" t="s">
        <v>2566</v>
      </c>
      <c r="F13" s="20" t="s">
        <v>4180</v>
      </c>
      <c r="G13" s="21">
        <v>13.4</v>
      </c>
      <c r="H13" s="16">
        <v>0</v>
      </c>
      <c r="I13" s="16">
        <v>0</v>
      </c>
      <c r="J1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0</v>
      </c>
      <c r="K13" s="22"/>
      <c r="L13" s="23"/>
      <c r="M13" s="23">
        <f>SUM(Tabela17468101214223032268161925273133362421012141618242628303840248101214162022262830323436242681012142461012242624426262826268102628623668101214[[#This Row],[Saldo no cartão]:[Recarga Pendente]])</f>
        <v>0</v>
      </c>
      <c r="N13" s="19">
        <f>Tabela17468101214223032268161925273133362421012141618242628303840248101214162022262830323436242681012142461012242624426262826268102628623668101214[[#This Row],[Uso diário]]*2</f>
        <v>26.8</v>
      </c>
      <c r="O13" s="19">
        <f>Tabela17468101214223032268161925273133362421012141618242628303840248101214162022262830323436242681012142461012242624426262826268102628623668101214[[#This Row],[Total Acumulado]]-P13</f>
        <v>-67</v>
      </c>
      <c r="P13" s="48">
        <f>Tabela17468101214223032268161925273133362421012141618242628303840248101214162022262830323436242681012142461012242624426262826268102628623668101214[[#This Row],[Uso diário]]*5</f>
        <v>67</v>
      </c>
      <c r="Q1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0</v>
      </c>
      <c r="S13" s="18" t="str">
        <f>IF(Tabela17468101214223032268161925273133362421012141618242628303840248101214162022262830323436242681012142461012242624426262826268102628623668101214[[#This Row],[Pedido Final]]=0,"NÃO EFETUAR RECARGA","RECARGA NORMAL")</f>
        <v>NÃO EFETUAR RECARGA</v>
      </c>
      <c r="T13" s="25">
        <v>5</v>
      </c>
    </row>
    <row r="14" spans="1:59" s="26" customFormat="1" x14ac:dyDescent="0.25">
      <c r="A14" s="16">
        <v>202859</v>
      </c>
      <c r="B14" s="30" t="s">
        <v>266</v>
      </c>
      <c r="C14" s="20" t="s">
        <v>629</v>
      </c>
      <c r="D14" s="20" t="s">
        <v>682</v>
      </c>
      <c r="E14" s="20" t="s">
        <v>2568</v>
      </c>
      <c r="F14" s="20" t="s">
        <v>2569</v>
      </c>
      <c r="G14" s="21">
        <v>18.8</v>
      </c>
      <c r="H14" s="16">
        <v>26</v>
      </c>
      <c r="I14" s="16"/>
      <c r="J1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4" s="22"/>
      <c r="L14" s="23"/>
      <c r="M14" s="23">
        <f>SUM(Tabela17468101214223032268161925273133362421012141618242628303840248101214162022262830323436242681012142461012242624426262826268102628623668101214[[#This Row],[Saldo no cartão]:[Recarga Pendente]])</f>
        <v>0</v>
      </c>
      <c r="N14" s="19">
        <f>Tabela17468101214223032268161925273133362421012141618242628303840248101214162022262830323436242681012142461012242624426262826268102628623668101214[[#This Row],[Uso diário]]*2</f>
        <v>37.6</v>
      </c>
      <c r="O14" s="19">
        <f>Tabela17468101214223032268161925273133362421012141618242628303840248101214162022262830323436242681012142461012242624426262826268102628623668101214[[#This Row],[Total Acumulado]]-P14</f>
        <v>-94</v>
      </c>
      <c r="P14" s="48">
        <f>Tabela17468101214223032268161925273133362421012141618242628303840248101214162022262830323436242681012142461012242624426262826268102628623668101214[[#This Row],[Uso diário]]*5</f>
        <v>94</v>
      </c>
      <c r="Q1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4" s="25">
        <v>5</v>
      </c>
    </row>
    <row r="15" spans="1:59" s="26" customFormat="1" x14ac:dyDescent="0.25">
      <c r="A15" s="16">
        <v>232079</v>
      </c>
      <c r="B15" s="30" t="s">
        <v>824</v>
      </c>
      <c r="C15" s="20" t="s">
        <v>630</v>
      </c>
      <c r="D15" s="20" t="s">
        <v>736</v>
      </c>
      <c r="E15" s="20" t="s">
        <v>2570</v>
      </c>
      <c r="F15" s="20" t="s">
        <v>2571</v>
      </c>
      <c r="G15" s="21">
        <v>18.8</v>
      </c>
      <c r="H15" s="16">
        <v>22</v>
      </c>
      <c r="I15" s="16"/>
      <c r="J1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413.6</v>
      </c>
      <c r="K15" s="22"/>
      <c r="L15" s="23"/>
      <c r="M15" s="23">
        <f>SUM(Tabela17468101214223032268161925273133362421012141618242628303840248101214162022262830323436242681012142461012242624426262826268102628623668101214[[#This Row],[Saldo no cartão]:[Recarga Pendente]])</f>
        <v>0</v>
      </c>
      <c r="N15" s="19">
        <f>Tabela17468101214223032268161925273133362421012141618242628303840248101214162022262830323436242681012142461012242624426262826268102628623668101214[[#This Row],[Uso diário]]*2</f>
        <v>37.6</v>
      </c>
      <c r="O15" s="19">
        <f>Tabela17468101214223032268161925273133362421012141618242628303840248101214162022262830323436242681012142461012242624426262826268102628623668101214[[#This Row],[Total Acumulado]]-P15</f>
        <v>-94</v>
      </c>
      <c r="P15" s="48">
        <f>Tabela17468101214223032268161925273133362421012141618242628303840248101214162022262830323436242681012142461012242624426262826268102628623668101214[[#This Row],[Uso diário]]*5</f>
        <v>94</v>
      </c>
      <c r="Q1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413.6</v>
      </c>
      <c r="S1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5" s="25">
        <v>5</v>
      </c>
    </row>
    <row r="16" spans="1:59" s="26" customFormat="1" x14ac:dyDescent="0.25">
      <c r="A16" s="16">
        <v>209808</v>
      </c>
      <c r="B16" s="30" t="s">
        <v>267</v>
      </c>
      <c r="C16" s="20" t="s">
        <v>648</v>
      </c>
      <c r="D16" s="20" t="s">
        <v>737</v>
      </c>
      <c r="E16" s="20" t="s">
        <v>2572</v>
      </c>
      <c r="F16" s="20" t="s">
        <v>2573</v>
      </c>
      <c r="G16" s="21">
        <v>18.8</v>
      </c>
      <c r="H16" s="16">
        <v>26</v>
      </c>
      <c r="I16" s="16"/>
      <c r="J1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6" s="22"/>
      <c r="L16" s="23"/>
      <c r="M16" s="23">
        <f>SUM(Tabela17468101214223032268161925273133362421012141618242628303840248101214162022262830323436242681012142461012242624426262826268102628623668101214[[#This Row],[Saldo no cartão]:[Recarga Pendente]])</f>
        <v>0</v>
      </c>
      <c r="N16" s="19">
        <f>Tabela17468101214223032268161925273133362421012141618242628303840248101214162022262830323436242681012142461012242624426262826268102628623668101214[[#This Row],[Uso diário]]*2</f>
        <v>37.6</v>
      </c>
      <c r="O16" s="19">
        <f>Tabela17468101214223032268161925273133362421012141618242628303840248101214162022262830323436242681012142461012242624426262826268102628623668101214[[#This Row],[Total Acumulado]]-P16</f>
        <v>-94</v>
      </c>
      <c r="P16" s="48">
        <f>Tabela17468101214223032268161925273133362421012141618242628303840248101214162022262830323436242681012142461012242624426262826268102628623668101214[[#This Row],[Uso diário]]*5</f>
        <v>94</v>
      </c>
      <c r="Q1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6" s="25">
        <v>5</v>
      </c>
    </row>
    <row r="17" spans="1:20" s="26" customFormat="1" x14ac:dyDescent="0.25">
      <c r="A17" s="16">
        <v>215263</v>
      </c>
      <c r="B17" s="30" t="s">
        <v>1065</v>
      </c>
      <c r="C17" s="20" t="s">
        <v>648</v>
      </c>
      <c r="D17" s="20" t="s">
        <v>718</v>
      </c>
      <c r="E17" s="20" t="s">
        <v>2574</v>
      </c>
      <c r="F17" s="20" t="s">
        <v>2575</v>
      </c>
      <c r="G17" s="21">
        <v>16.5</v>
      </c>
      <c r="H17" s="16">
        <v>26</v>
      </c>
      <c r="I17" s="16"/>
      <c r="J1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429</v>
      </c>
      <c r="K17" s="22"/>
      <c r="L17" s="23"/>
      <c r="M17" s="23">
        <f>SUM(Tabela17468101214223032268161925273133362421012141618242628303840248101214162022262830323436242681012142461012242624426262826268102628623668101214[[#This Row],[Saldo no cartão]:[Recarga Pendente]])</f>
        <v>0</v>
      </c>
      <c r="N17" s="19">
        <f>Tabela17468101214223032268161925273133362421012141618242628303840248101214162022262830323436242681012142461012242624426262826268102628623668101214[[#This Row],[Uso diário]]*2</f>
        <v>33</v>
      </c>
      <c r="O17" s="19">
        <f>Tabela17468101214223032268161925273133362421012141618242628303840248101214162022262830323436242681012142461012242624426262826268102628623668101214[[#This Row],[Total Acumulado]]-P17</f>
        <v>-82.5</v>
      </c>
      <c r="P17" s="48">
        <f>Tabela17468101214223032268161925273133362421012141618242628303840248101214162022262830323436242681012142461012242624426262826268102628623668101214[[#This Row],[Uso diário]]*5</f>
        <v>82.5</v>
      </c>
      <c r="Q1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429</v>
      </c>
      <c r="S1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7" s="25">
        <v>5</v>
      </c>
    </row>
    <row r="18" spans="1:20" s="26" customFormat="1" x14ac:dyDescent="0.25">
      <c r="A18" s="16">
        <v>231061</v>
      </c>
      <c r="B18" s="30" t="s">
        <v>769</v>
      </c>
      <c r="C18" s="20" t="s">
        <v>648</v>
      </c>
      <c r="D18" s="20" t="s">
        <v>718</v>
      </c>
      <c r="E18" s="20" t="s">
        <v>2576</v>
      </c>
      <c r="F18" s="20" t="s">
        <v>2577</v>
      </c>
      <c r="G18" s="21">
        <v>13.4</v>
      </c>
      <c r="H18" s="16">
        <v>26</v>
      </c>
      <c r="I18" s="16"/>
      <c r="J1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8" s="22"/>
      <c r="L18" s="23"/>
      <c r="M18" s="23">
        <f>SUM(Tabela17468101214223032268161925273133362421012141618242628303840248101214162022262830323436242681012142461012242624426262826268102628623668101214[[#This Row],[Saldo no cartão]:[Recarga Pendente]])</f>
        <v>0</v>
      </c>
      <c r="N18" s="19">
        <f>Tabela17468101214223032268161925273133362421012141618242628303840248101214162022262830323436242681012142461012242624426262826268102628623668101214[[#This Row],[Uso diário]]*2</f>
        <v>26.8</v>
      </c>
      <c r="O18" s="19">
        <f>Tabela17468101214223032268161925273133362421012141618242628303840248101214162022262830323436242681012142461012242624426262826268102628623668101214[[#This Row],[Total Acumulado]]-P18</f>
        <v>-67</v>
      </c>
      <c r="P18" s="48">
        <f>Tabela17468101214223032268161925273133362421012141618242628303840248101214162022262830323436242681012142461012242624426262826268102628623668101214[[#This Row],[Uso diário]]*5</f>
        <v>67</v>
      </c>
      <c r="Q1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8" s="25">
        <v>5</v>
      </c>
    </row>
    <row r="19" spans="1:20" s="26" customFormat="1" x14ac:dyDescent="0.25">
      <c r="A19" s="16">
        <v>234670</v>
      </c>
      <c r="B19" s="30" t="s">
        <v>1355</v>
      </c>
      <c r="C19" s="20" t="s">
        <v>648</v>
      </c>
      <c r="D19" s="20" t="s">
        <v>718</v>
      </c>
      <c r="E19" s="20" t="s">
        <v>2578</v>
      </c>
      <c r="F19" s="20" t="s">
        <v>2579</v>
      </c>
      <c r="G19" s="21">
        <v>18.8</v>
      </c>
      <c r="H19" s="16">
        <v>26</v>
      </c>
      <c r="I19" s="16"/>
      <c r="J1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9" s="22"/>
      <c r="L19" s="23"/>
      <c r="M19" s="23">
        <f>SUM(Tabela17468101214223032268161925273133362421012141618242628303840248101214162022262830323436242681012142461012242624426262826268102628623668101214[[#This Row],[Saldo no cartão]:[Recarga Pendente]])</f>
        <v>0</v>
      </c>
      <c r="N19" s="19">
        <f>Tabela17468101214223032268161925273133362421012141618242628303840248101214162022262830323436242681012142461012242624426262826268102628623668101214[[#This Row],[Uso diário]]*2</f>
        <v>37.6</v>
      </c>
      <c r="O19" s="19">
        <f>Tabela17468101214223032268161925273133362421012141618242628303840248101214162022262830323436242681012142461012242624426262826268102628623668101214[[#This Row],[Total Acumulado]]-P19</f>
        <v>-94</v>
      </c>
      <c r="P19" s="48">
        <f>Tabela17468101214223032268161925273133362421012141618242628303840248101214162022262830323436242681012142461012242624426262826268102628623668101214[[#This Row],[Uso diário]]*5</f>
        <v>94</v>
      </c>
      <c r="Q1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9" s="25">
        <v>5</v>
      </c>
    </row>
    <row r="20" spans="1:20" s="26" customFormat="1" x14ac:dyDescent="0.25">
      <c r="A20" s="16">
        <v>224748</v>
      </c>
      <c r="B20" s="30" t="s">
        <v>291</v>
      </c>
      <c r="C20" s="20" t="s">
        <v>649</v>
      </c>
      <c r="D20" s="20" t="s">
        <v>725</v>
      </c>
      <c r="E20" s="20" t="s">
        <v>2580</v>
      </c>
      <c r="F20" s="20" t="s">
        <v>2581</v>
      </c>
      <c r="G20" s="21">
        <v>18.8</v>
      </c>
      <c r="H20" s="16">
        <v>26</v>
      </c>
      <c r="I20" s="16"/>
      <c r="J2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20" s="22"/>
      <c r="L20" s="23"/>
      <c r="M20" s="23">
        <f>SUM(Tabela17468101214223032268161925273133362421012141618242628303840248101214162022262830323436242681012142461012242624426262826268102628623668101214[[#This Row],[Saldo no cartão]:[Recarga Pendente]])</f>
        <v>0</v>
      </c>
      <c r="N20" s="19">
        <f>Tabela17468101214223032268161925273133362421012141618242628303840248101214162022262830323436242681012142461012242624426262826268102628623668101214[[#This Row],[Uso diário]]*2</f>
        <v>37.6</v>
      </c>
      <c r="O20" s="19">
        <f>Tabela17468101214223032268161925273133362421012141618242628303840248101214162022262830323436242681012142461012242624426262826268102628623668101214[[#This Row],[Total Acumulado]]-P20</f>
        <v>-94</v>
      </c>
      <c r="P20" s="48">
        <f>Tabela17468101214223032268161925273133362421012141618242628303840248101214162022262830323436242681012142461012242624426262826268102628623668101214[[#This Row],[Uso diário]]*5</f>
        <v>94</v>
      </c>
      <c r="Q2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2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0" s="25">
        <v>5</v>
      </c>
    </row>
    <row r="21" spans="1:20" s="26" customFormat="1" x14ac:dyDescent="0.25">
      <c r="A21" s="16">
        <v>226369</v>
      </c>
      <c r="B21" s="30" t="s">
        <v>425</v>
      </c>
      <c r="C21" s="20" t="s">
        <v>649</v>
      </c>
      <c r="D21" s="20" t="s">
        <v>750</v>
      </c>
      <c r="E21" s="20" t="s">
        <v>2582</v>
      </c>
      <c r="F21" s="20" t="s">
        <v>2583</v>
      </c>
      <c r="G21" s="21">
        <v>18.8</v>
      </c>
      <c r="H21" s="16">
        <v>26</v>
      </c>
      <c r="I21" s="16"/>
      <c r="J2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21" s="22"/>
      <c r="L21" s="23">
        <v>18.8</v>
      </c>
      <c r="M21" s="23">
        <f>SUM(Tabela17468101214223032268161925273133362421012141618242628303840248101214162022262830323436242681012142461012242624426262826268102628623668101214[[#This Row],[Saldo no cartão]:[Recarga Pendente]])</f>
        <v>18.8</v>
      </c>
      <c r="N21" s="19">
        <f>Tabela17468101214223032268161925273133362421012141618242628303840248101214162022262830323436242681012142461012242624426262826268102628623668101214[[#This Row],[Uso diário]]*2</f>
        <v>37.6</v>
      </c>
      <c r="O21" s="19">
        <f>Tabela17468101214223032268161925273133362421012141618242628303840248101214162022262830323436242681012142461012242624426262826268102628623668101214[[#This Row],[Total Acumulado]]-P21</f>
        <v>-75.2</v>
      </c>
      <c r="P21" s="48">
        <f>Tabela17468101214223032268161925273133362421012141618242628303840248101214162022262830323436242681012142461012242624426262826268102628623668101214[[#This Row],[Uso diário]]*5</f>
        <v>94</v>
      </c>
      <c r="Q2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2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1" s="25">
        <v>5</v>
      </c>
    </row>
    <row r="22" spans="1:20" s="26" customFormat="1" x14ac:dyDescent="0.25">
      <c r="A22" s="16">
        <v>230079</v>
      </c>
      <c r="B22" s="30" t="s">
        <v>302</v>
      </c>
      <c r="C22" s="20" t="s">
        <v>649</v>
      </c>
      <c r="D22" s="20" t="s">
        <v>725</v>
      </c>
      <c r="E22" s="20" t="s">
        <v>2584</v>
      </c>
      <c r="F22" s="20">
        <v>0</v>
      </c>
      <c r="G22" s="21">
        <v>18.8</v>
      </c>
      <c r="H22" s="16">
        <v>26</v>
      </c>
      <c r="I22" s="16"/>
      <c r="J2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22" s="22"/>
      <c r="L22" s="23"/>
      <c r="M22" s="23">
        <f>SUM(Tabela17468101214223032268161925273133362421012141618242628303840248101214162022262830323436242681012142461012242624426262826268102628623668101214[[#This Row],[Saldo no cartão]:[Recarga Pendente]])</f>
        <v>0</v>
      </c>
      <c r="N22" s="19">
        <f>Tabela17468101214223032268161925273133362421012141618242628303840248101214162022262830323436242681012142461012242624426262826268102628623668101214[[#This Row],[Uso diário]]*2</f>
        <v>37.6</v>
      </c>
      <c r="O22" s="19">
        <f>Tabela17468101214223032268161925273133362421012141618242628303840248101214162022262830323436242681012142461012242624426262826268102628623668101214[[#This Row],[Total Acumulado]]-P22</f>
        <v>-94</v>
      </c>
      <c r="P22" s="48">
        <f>Tabela17468101214223032268161925273133362421012141618242628303840248101214162022262830323436242681012142461012242624426262826268102628623668101214[[#This Row],[Uso diário]]*5</f>
        <v>94</v>
      </c>
      <c r="Q2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2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2" s="25">
        <v>5</v>
      </c>
    </row>
    <row r="23" spans="1:20" s="26" customFormat="1" x14ac:dyDescent="0.25">
      <c r="A23" s="16">
        <v>235054</v>
      </c>
      <c r="B23" s="30" t="s">
        <v>1449</v>
      </c>
      <c r="C23" s="20" t="s">
        <v>649</v>
      </c>
      <c r="D23" s="20" t="s">
        <v>725</v>
      </c>
      <c r="E23" s="20" t="s">
        <v>2585</v>
      </c>
      <c r="F23" s="20" t="s">
        <v>2586</v>
      </c>
      <c r="G23" s="21">
        <v>18.8</v>
      </c>
      <c r="H23" s="16">
        <v>26</v>
      </c>
      <c r="I23" s="16"/>
      <c r="J2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23" s="22"/>
      <c r="L23" s="23"/>
      <c r="M23" s="23">
        <f>SUM(Tabela17468101214223032268161925273133362421012141618242628303840248101214162022262830323436242681012142461012242624426262826268102628623668101214[[#This Row],[Saldo no cartão]:[Recarga Pendente]])</f>
        <v>0</v>
      </c>
      <c r="N23" s="19">
        <f>Tabela17468101214223032268161925273133362421012141618242628303840248101214162022262830323436242681012142461012242624426262826268102628623668101214[[#This Row],[Uso diário]]*2</f>
        <v>37.6</v>
      </c>
      <c r="O23" s="19">
        <f>Tabela17468101214223032268161925273133362421012141618242628303840248101214162022262830323436242681012142461012242624426262826268102628623668101214[[#This Row],[Total Acumulado]]-P23</f>
        <v>-94</v>
      </c>
      <c r="P23" s="48">
        <f>Tabela17468101214223032268161925273133362421012141618242628303840248101214162022262830323436242681012142461012242624426262826268102628623668101214[[#This Row],[Uso diário]]*5</f>
        <v>94</v>
      </c>
      <c r="Q2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2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3" s="25">
        <v>5</v>
      </c>
    </row>
    <row r="24" spans="1:20" s="26" customFormat="1" x14ac:dyDescent="0.25">
      <c r="A24" s="16">
        <v>222112</v>
      </c>
      <c r="B24" s="30" t="s">
        <v>510</v>
      </c>
      <c r="C24" s="20" t="s">
        <v>650</v>
      </c>
      <c r="D24" s="20" t="s">
        <v>738</v>
      </c>
      <c r="E24" s="20" t="s">
        <v>2587</v>
      </c>
      <c r="F24" s="20" t="s">
        <v>2588</v>
      </c>
      <c r="G24" s="21">
        <v>18.8</v>
      </c>
      <c r="H24" s="16">
        <v>26</v>
      </c>
      <c r="I24" s="16"/>
      <c r="J2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24" s="22"/>
      <c r="L24" s="23">
        <v>18.8</v>
      </c>
      <c r="M24" s="23">
        <f>SUM(Tabela17468101214223032268161925273133362421012141618242628303840248101214162022262830323436242681012142461012242624426262826268102628623668101214[[#This Row],[Saldo no cartão]:[Recarga Pendente]])</f>
        <v>18.8</v>
      </c>
      <c r="N24" s="19">
        <f>Tabela17468101214223032268161925273133362421012141618242628303840248101214162022262830323436242681012142461012242624426262826268102628623668101214[[#This Row],[Uso diário]]*2</f>
        <v>37.6</v>
      </c>
      <c r="O24" s="19">
        <f>Tabela17468101214223032268161925273133362421012141618242628303840248101214162022262830323436242681012142461012242624426262826268102628623668101214[[#This Row],[Total Acumulado]]-P24</f>
        <v>-75.2</v>
      </c>
      <c r="P24" s="48">
        <f>Tabela17468101214223032268161925273133362421012141618242628303840248101214162022262830323436242681012142461012242624426262826268102628623668101214[[#This Row],[Uso diário]]*5</f>
        <v>94</v>
      </c>
      <c r="Q2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2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4" s="25">
        <v>5</v>
      </c>
    </row>
    <row r="25" spans="1:20" s="26" customFormat="1" x14ac:dyDescent="0.25">
      <c r="A25" s="16">
        <v>224972</v>
      </c>
      <c r="B25" s="30" t="s">
        <v>278</v>
      </c>
      <c r="C25" s="20" t="s">
        <v>650</v>
      </c>
      <c r="D25" s="20" t="s">
        <v>726</v>
      </c>
      <c r="E25" s="20" t="s">
        <v>2589</v>
      </c>
      <c r="F25" s="20" t="s">
        <v>2590</v>
      </c>
      <c r="G25" s="21">
        <v>18.8</v>
      </c>
      <c r="H25" s="16">
        <v>26</v>
      </c>
      <c r="I25" s="16"/>
      <c r="J2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25" s="22"/>
      <c r="L25" s="23"/>
      <c r="M25" s="23">
        <f>SUM(Tabela17468101214223032268161925273133362421012141618242628303840248101214162022262830323436242681012142461012242624426262826268102628623668101214[[#This Row],[Saldo no cartão]:[Recarga Pendente]])</f>
        <v>0</v>
      </c>
      <c r="N25" s="19">
        <f>Tabela17468101214223032268161925273133362421012141618242628303840248101214162022262830323436242681012142461012242624426262826268102628623668101214[[#This Row],[Uso diário]]*2</f>
        <v>37.6</v>
      </c>
      <c r="O25" s="19">
        <f>Tabela17468101214223032268161925273133362421012141618242628303840248101214162022262830323436242681012142461012242624426262826268102628623668101214[[#This Row],[Total Acumulado]]-P25</f>
        <v>-94</v>
      </c>
      <c r="P25" s="48">
        <f>Tabela17468101214223032268161925273133362421012141618242628303840248101214162022262830323436242681012142461012242624426262826268102628623668101214[[#This Row],[Uso diário]]*5</f>
        <v>94</v>
      </c>
      <c r="Q2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2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5" s="25">
        <v>5</v>
      </c>
    </row>
    <row r="26" spans="1:20" s="26" customFormat="1" x14ac:dyDescent="0.25">
      <c r="A26" s="16">
        <v>228645</v>
      </c>
      <c r="B26" s="30" t="s">
        <v>268</v>
      </c>
      <c r="C26" s="20" t="s">
        <v>650</v>
      </c>
      <c r="D26" s="20" t="s">
        <v>726</v>
      </c>
      <c r="E26" s="20" t="s">
        <v>2591</v>
      </c>
      <c r="F26" s="20" t="s">
        <v>2592</v>
      </c>
      <c r="G26" s="21">
        <v>14.2</v>
      </c>
      <c r="H26" s="16">
        <v>26</v>
      </c>
      <c r="I26" s="16"/>
      <c r="J2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26" s="22"/>
      <c r="L26" s="23"/>
      <c r="M26" s="23">
        <f>SUM(Tabela17468101214223032268161925273133362421012141618242628303840248101214162022262830323436242681012142461012242624426262826268102628623668101214[[#This Row],[Saldo no cartão]:[Recarga Pendente]])</f>
        <v>0</v>
      </c>
      <c r="N26" s="19">
        <f>Tabela17468101214223032268161925273133362421012141618242628303840248101214162022262830323436242681012142461012242624426262826268102628623668101214[[#This Row],[Uso diário]]*2</f>
        <v>28.4</v>
      </c>
      <c r="O26" s="19">
        <f>Tabela17468101214223032268161925273133362421012141618242628303840248101214162022262830323436242681012142461012242624426262826268102628623668101214[[#This Row],[Total Acumulado]]-P26</f>
        <v>-71</v>
      </c>
      <c r="P26" s="48">
        <f>Tabela17468101214223032268161925273133362421012141618242628303840248101214162022262830323436242681012142461012242624426262826268102628623668101214[[#This Row],[Uso diário]]*5</f>
        <v>71</v>
      </c>
      <c r="Q2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2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6" s="25">
        <v>5</v>
      </c>
    </row>
    <row r="27" spans="1:20" s="26" customFormat="1" x14ac:dyDescent="0.25">
      <c r="A27" s="16">
        <v>232796</v>
      </c>
      <c r="B27" s="30" t="s">
        <v>938</v>
      </c>
      <c r="C27" s="20" t="s">
        <v>650</v>
      </c>
      <c r="D27" s="20" t="s">
        <v>726</v>
      </c>
      <c r="E27" s="20" t="s">
        <v>2593</v>
      </c>
      <c r="F27" s="20" t="s">
        <v>2594</v>
      </c>
      <c r="G27" s="21">
        <v>13.4</v>
      </c>
      <c r="H27" s="16">
        <v>26</v>
      </c>
      <c r="I27" s="16"/>
      <c r="J2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27" s="22"/>
      <c r="L27" s="23"/>
      <c r="M27" s="23">
        <f>SUM(Tabela17468101214223032268161925273133362421012141618242628303840248101214162022262830323436242681012142461012242624426262826268102628623668101214[[#This Row],[Saldo no cartão]:[Recarga Pendente]])</f>
        <v>0</v>
      </c>
      <c r="N27" s="19">
        <f>Tabela17468101214223032268161925273133362421012141618242628303840248101214162022262830323436242681012142461012242624426262826268102628623668101214[[#This Row],[Uso diário]]*2</f>
        <v>26.8</v>
      </c>
      <c r="O27" s="19">
        <f>Tabela17468101214223032268161925273133362421012141618242628303840248101214162022262830323436242681012142461012242624426262826268102628623668101214[[#This Row],[Total Acumulado]]-P27</f>
        <v>-67</v>
      </c>
      <c r="P27" s="48">
        <f>Tabela17468101214223032268161925273133362421012141618242628303840248101214162022262830323436242681012142461012242624426262826268102628623668101214[[#This Row],[Uso diário]]*5</f>
        <v>67</v>
      </c>
      <c r="Q2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2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7" s="25">
        <v>5</v>
      </c>
    </row>
    <row r="28" spans="1:20" s="26" customFormat="1" x14ac:dyDescent="0.25">
      <c r="A28" s="16">
        <v>234596</v>
      </c>
      <c r="B28" s="30" t="s">
        <v>1311</v>
      </c>
      <c r="C28" s="20" t="s">
        <v>650</v>
      </c>
      <c r="D28" s="20" t="s">
        <v>726</v>
      </c>
      <c r="E28" s="20" t="s">
        <v>2595</v>
      </c>
      <c r="F28" s="20" t="s">
        <v>2596</v>
      </c>
      <c r="G28" s="21">
        <v>13.4</v>
      </c>
      <c r="H28" s="16">
        <v>26</v>
      </c>
      <c r="I28" s="16"/>
      <c r="J2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28" s="22"/>
      <c r="L28" s="23"/>
      <c r="M28" s="23">
        <f>SUM(Tabela17468101214223032268161925273133362421012141618242628303840248101214162022262830323436242681012142461012242624426262826268102628623668101214[[#This Row],[Saldo no cartão]:[Recarga Pendente]])</f>
        <v>0</v>
      </c>
      <c r="N28" s="19">
        <f>Tabela17468101214223032268161925273133362421012141618242628303840248101214162022262830323436242681012142461012242624426262826268102628623668101214[[#This Row],[Uso diário]]*2</f>
        <v>26.8</v>
      </c>
      <c r="O28" s="19">
        <f>Tabela17468101214223032268161925273133362421012141618242628303840248101214162022262830323436242681012142461012242624426262826268102628623668101214[[#This Row],[Total Acumulado]]-P28</f>
        <v>-67</v>
      </c>
      <c r="P28" s="48">
        <f>Tabela17468101214223032268161925273133362421012141618242628303840248101214162022262830323436242681012142461012242624426262826268102628623668101214[[#This Row],[Uso diário]]*5</f>
        <v>67</v>
      </c>
      <c r="Q2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2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8" s="25">
        <v>5</v>
      </c>
    </row>
    <row r="29" spans="1:20" s="26" customFormat="1" x14ac:dyDescent="0.25">
      <c r="A29" s="16">
        <v>205560</v>
      </c>
      <c r="B29" s="30" t="s">
        <v>269</v>
      </c>
      <c r="C29" s="20" t="s">
        <v>651</v>
      </c>
      <c r="D29" s="20" t="s">
        <v>719</v>
      </c>
      <c r="E29" s="20" t="s">
        <v>2597</v>
      </c>
      <c r="F29" s="20" t="s">
        <v>2598</v>
      </c>
      <c r="G29" s="21">
        <v>16.2</v>
      </c>
      <c r="H29" s="16">
        <v>1</v>
      </c>
      <c r="I29" s="16"/>
      <c r="J2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16.2</v>
      </c>
      <c r="K29" s="22"/>
      <c r="L29" s="23"/>
      <c r="M29" s="23">
        <f>SUM(Tabela17468101214223032268161925273133362421012141618242628303840248101214162022262830323436242681012142461012242624426262826268102628623668101214[[#This Row],[Saldo no cartão]:[Recarga Pendente]])</f>
        <v>0</v>
      </c>
      <c r="N29" s="19">
        <f>Tabela17468101214223032268161925273133362421012141618242628303840248101214162022262830323436242681012142461012242624426262826268102628623668101214[[#This Row],[Uso diário]]*2</f>
        <v>32.4</v>
      </c>
      <c r="O29" s="19">
        <f>Tabela17468101214223032268161925273133362421012141618242628303840248101214162022262830323436242681012142461012242624426262826268102628623668101214[[#This Row],[Total Acumulado]]-P29</f>
        <v>-81</v>
      </c>
      <c r="P29" s="48">
        <f>Tabela17468101214223032268161925273133362421012141618242628303840248101214162022262830323436242681012142461012242624426262826268102628623668101214[[#This Row],[Uso diário]]*5</f>
        <v>81</v>
      </c>
      <c r="Q2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2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16.2</v>
      </c>
      <c r="S2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29" s="25">
        <v>5</v>
      </c>
    </row>
    <row r="30" spans="1:20" s="26" customFormat="1" ht="22.5" x14ac:dyDescent="0.25">
      <c r="A30" s="16">
        <v>207609</v>
      </c>
      <c r="B30" s="30" t="s">
        <v>270</v>
      </c>
      <c r="C30" s="20" t="s">
        <v>651</v>
      </c>
      <c r="D30" s="20" t="s">
        <v>717</v>
      </c>
      <c r="E30" s="20" t="s">
        <v>2599</v>
      </c>
      <c r="F30" s="20" t="s">
        <v>2600</v>
      </c>
      <c r="G30" s="21">
        <v>14.2</v>
      </c>
      <c r="H30" s="16">
        <v>1</v>
      </c>
      <c r="I30" s="16">
        <v>6</v>
      </c>
      <c r="J30" s="17">
        <v>0</v>
      </c>
      <c r="K30" s="22"/>
      <c r="L30" s="23"/>
      <c r="M30" s="23">
        <f>SUM(Tabela17468101214223032268161925273133362421012141618242628303840248101214162022262830323436242681012142461012242624426262826268102628623668101214[[#This Row],[Saldo no cartão]:[Recarga Pendente]])</f>
        <v>0</v>
      </c>
      <c r="N30" s="19">
        <f>Tabela17468101214223032268161925273133362421012141618242628303840248101214162022262830323436242681012142461012242624426262826268102628623668101214[[#This Row],[Uso diário]]*2</f>
        <v>28.4</v>
      </c>
      <c r="O30" s="19">
        <f>Tabela17468101214223032268161925273133362421012141618242628303840248101214162022262830323436242681012142461012242624426262826268102628623668101214[[#This Row],[Total Acumulado]]-P30</f>
        <v>-71</v>
      </c>
      <c r="P30" s="48">
        <f>Tabela17468101214223032268161925273133362421012141618242628303840248101214162022262830323436242681012142461012242624426262826268102628623668101214[[#This Row],[Uso diário]]*5</f>
        <v>71</v>
      </c>
      <c r="Q3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0</v>
      </c>
      <c r="S30" s="18" t="str">
        <f>IF(Tabela17468101214223032268161925273133362421012141618242628303840248101214162022262830323436242681012142461012242624426262826268102628623668101214[[#This Row],[Pedido Final]]=0,"NÃO EFETUAR RECARGA","RECARGA NORMAL")</f>
        <v>NÃO EFETUAR RECARGA</v>
      </c>
      <c r="T30" s="25">
        <v>5</v>
      </c>
    </row>
    <row r="31" spans="1:20" s="26" customFormat="1" x14ac:dyDescent="0.25">
      <c r="A31" s="16">
        <v>213116</v>
      </c>
      <c r="B31" s="30" t="s">
        <v>271</v>
      </c>
      <c r="C31" s="20" t="s">
        <v>651</v>
      </c>
      <c r="D31" s="20" t="s">
        <v>719</v>
      </c>
      <c r="E31" s="20" t="s">
        <v>2601</v>
      </c>
      <c r="F31" s="20" t="s">
        <v>2602</v>
      </c>
      <c r="G31" s="21">
        <v>14.2</v>
      </c>
      <c r="H31" s="16">
        <v>16</v>
      </c>
      <c r="I31" s="16"/>
      <c r="J3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227.2</v>
      </c>
      <c r="K31" s="22"/>
      <c r="L31" s="23"/>
      <c r="M31" s="23">
        <f>SUM(Tabela17468101214223032268161925273133362421012141618242628303840248101214162022262830323436242681012142461012242624426262826268102628623668101214[[#This Row],[Saldo no cartão]:[Recarga Pendente]])</f>
        <v>0</v>
      </c>
      <c r="N31" s="19">
        <f>Tabela17468101214223032268161925273133362421012141618242628303840248101214162022262830323436242681012142461012242624426262826268102628623668101214[[#This Row],[Uso diário]]*2</f>
        <v>28.4</v>
      </c>
      <c r="O31" s="19">
        <f>Tabela17468101214223032268161925273133362421012141618242628303840248101214162022262830323436242681012142461012242624426262826268102628623668101214[[#This Row],[Total Acumulado]]-P31</f>
        <v>-71</v>
      </c>
      <c r="P31" s="48">
        <f>Tabela17468101214223032268161925273133362421012141618242628303840248101214162022262830323436242681012142461012242624426262826268102628623668101214[[#This Row],[Uso diário]]*5</f>
        <v>71</v>
      </c>
      <c r="Q3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227.2</v>
      </c>
      <c r="S3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1" s="25">
        <v>5</v>
      </c>
    </row>
    <row r="32" spans="1:20" s="26" customFormat="1" x14ac:dyDescent="0.25">
      <c r="A32" s="16">
        <v>213176</v>
      </c>
      <c r="B32" s="30" t="s">
        <v>1183</v>
      </c>
      <c r="C32" s="20" t="s">
        <v>651</v>
      </c>
      <c r="D32" s="20" t="s">
        <v>727</v>
      </c>
      <c r="E32" s="20" t="s">
        <v>2603</v>
      </c>
      <c r="F32" s="20" t="s">
        <v>2604</v>
      </c>
      <c r="G32" s="21">
        <v>18.8</v>
      </c>
      <c r="H32" s="16">
        <v>26</v>
      </c>
      <c r="I32" s="16">
        <v>1</v>
      </c>
      <c r="J3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470</v>
      </c>
      <c r="K32" s="22"/>
      <c r="L32" s="23">
        <v>345.5</v>
      </c>
      <c r="M32" s="23">
        <f>SUM(Tabela17468101214223032268161925273133362421012141618242628303840248101214162022262830323436242681012142461012242624426262826268102628623668101214[[#This Row],[Saldo no cartão]:[Recarga Pendente]])</f>
        <v>345.5</v>
      </c>
      <c r="N32" s="19">
        <f>Tabela17468101214223032268161925273133362421012141618242628303840248101214162022262830323436242681012142461012242624426262826268102628623668101214[[#This Row],[Uso diário]]*2</f>
        <v>37.6</v>
      </c>
      <c r="O32" s="19">
        <f>Tabela17468101214223032268161925273133362421012141618242628303840248101214162022262830323436242681012142461012242624426262826268102628623668101214[[#This Row],[Total Acumulado]]-P32</f>
        <v>251.5</v>
      </c>
      <c r="P32" s="48">
        <f>Tabela17468101214223032268161925273133362421012141618242628303840248101214162022262830323436242681012142461012242624426262826268102628623668101214[[#This Row],[Uso diário]]*5</f>
        <v>94</v>
      </c>
      <c r="Q3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251.5</v>
      </c>
      <c r="R3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218.5</v>
      </c>
      <c r="S32" s="18" t="s">
        <v>11</v>
      </c>
      <c r="T32" s="25">
        <v>5</v>
      </c>
    </row>
    <row r="33" spans="1:20" s="26" customFormat="1" x14ac:dyDescent="0.25">
      <c r="A33" s="16">
        <v>213178</v>
      </c>
      <c r="B33" s="30" t="s">
        <v>272</v>
      </c>
      <c r="C33" s="20" t="s">
        <v>651</v>
      </c>
      <c r="D33" s="20" t="s">
        <v>719</v>
      </c>
      <c r="E33" s="20" t="s">
        <v>2605</v>
      </c>
      <c r="F33" s="20" t="s">
        <v>2606</v>
      </c>
      <c r="G33" s="21">
        <v>21.299999999999997</v>
      </c>
      <c r="H33" s="16">
        <v>16</v>
      </c>
      <c r="I33" s="16"/>
      <c r="J3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340.79999999999995</v>
      </c>
      <c r="K33" s="22"/>
      <c r="L33" s="23"/>
      <c r="M33" s="23">
        <f>SUM(Tabela17468101214223032268161925273133362421012141618242628303840248101214162022262830323436242681012142461012242624426262826268102628623668101214[[#This Row],[Saldo no cartão]:[Recarga Pendente]])</f>
        <v>0</v>
      </c>
      <c r="N33" s="19">
        <f>Tabela17468101214223032268161925273133362421012141618242628303840248101214162022262830323436242681012142461012242624426262826268102628623668101214[[#This Row],[Uso diário]]*2</f>
        <v>42.599999999999994</v>
      </c>
      <c r="O33" s="19">
        <f>Tabela17468101214223032268161925273133362421012141618242628303840248101214162022262830323436242681012142461012242624426262826268102628623668101214[[#This Row],[Total Acumulado]]-P33</f>
        <v>-106.49999999999999</v>
      </c>
      <c r="P33" s="48">
        <f>Tabela17468101214223032268161925273133362421012141618242628303840248101214162022262830323436242681012142461012242624426262826268102628623668101214[[#This Row],[Uso diário]]*5</f>
        <v>106.49999999999999</v>
      </c>
      <c r="Q3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340.79999999999995</v>
      </c>
      <c r="S3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3" s="25">
        <v>5</v>
      </c>
    </row>
    <row r="34" spans="1:20" s="26" customFormat="1" x14ac:dyDescent="0.25">
      <c r="A34" s="16">
        <v>218672</v>
      </c>
      <c r="B34" s="30" t="s">
        <v>273</v>
      </c>
      <c r="C34" s="20" t="s">
        <v>651</v>
      </c>
      <c r="D34" s="20" t="s">
        <v>719</v>
      </c>
      <c r="E34" s="20" t="s">
        <v>2607</v>
      </c>
      <c r="F34" s="20" t="s">
        <v>2608</v>
      </c>
      <c r="G34" s="21">
        <v>18.8</v>
      </c>
      <c r="H34" s="16">
        <v>1</v>
      </c>
      <c r="I34" s="16"/>
      <c r="J3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18.8</v>
      </c>
      <c r="K34" s="22"/>
      <c r="L34" s="23"/>
      <c r="M34" s="23">
        <f>SUM(Tabela17468101214223032268161925273133362421012141618242628303840248101214162022262830323436242681012142461012242624426262826268102628623668101214[[#This Row],[Saldo no cartão]:[Recarga Pendente]])</f>
        <v>0</v>
      </c>
      <c r="N34" s="19">
        <f>Tabela17468101214223032268161925273133362421012141618242628303840248101214162022262830323436242681012142461012242624426262826268102628623668101214[[#This Row],[Uso diário]]*2</f>
        <v>37.6</v>
      </c>
      <c r="O34" s="19">
        <f>Tabela17468101214223032268161925273133362421012141618242628303840248101214162022262830323436242681012142461012242624426262826268102628623668101214[[#This Row],[Total Acumulado]]-P34</f>
        <v>-94</v>
      </c>
      <c r="P34" s="48">
        <f>Tabela17468101214223032268161925273133362421012141618242628303840248101214162022262830323436242681012142461012242624426262826268102628623668101214[[#This Row],[Uso diário]]*5</f>
        <v>94</v>
      </c>
      <c r="Q3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18.8</v>
      </c>
      <c r="S3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4" s="25">
        <v>5</v>
      </c>
    </row>
    <row r="35" spans="1:20" s="26" customFormat="1" x14ac:dyDescent="0.25">
      <c r="A35" s="16">
        <v>219304</v>
      </c>
      <c r="B35" s="30" t="s">
        <v>1356</v>
      </c>
      <c r="C35" s="20" t="s">
        <v>651</v>
      </c>
      <c r="D35" s="20" t="s">
        <v>719</v>
      </c>
      <c r="E35" s="20" t="s">
        <v>2609</v>
      </c>
      <c r="F35" s="20" t="s">
        <v>2610</v>
      </c>
      <c r="G35" s="21">
        <v>14.2</v>
      </c>
      <c r="H35" s="16">
        <v>16</v>
      </c>
      <c r="I35" s="16"/>
      <c r="J3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227.2</v>
      </c>
      <c r="K35" s="22"/>
      <c r="L35" s="23"/>
      <c r="M35" s="23">
        <f>SUM(Tabela17468101214223032268161925273133362421012141618242628303840248101214162022262830323436242681012142461012242624426262826268102628623668101214[[#This Row],[Saldo no cartão]:[Recarga Pendente]])</f>
        <v>0</v>
      </c>
      <c r="N35" s="19">
        <f>Tabela17468101214223032268161925273133362421012141618242628303840248101214162022262830323436242681012142461012242624426262826268102628623668101214[[#This Row],[Uso diário]]*2</f>
        <v>28.4</v>
      </c>
      <c r="O35" s="19">
        <f>Tabela17468101214223032268161925273133362421012141618242628303840248101214162022262830323436242681012142461012242624426262826268102628623668101214[[#This Row],[Total Acumulado]]-P35</f>
        <v>-71</v>
      </c>
      <c r="P35" s="48">
        <f>Tabela17468101214223032268161925273133362421012141618242628303840248101214162022262830323436242681012142461012242624426262826268102628623668101214[[#This Row],[Uso diário]]*5</f>
        <v>71</v>
      </c>
      <c r="Q3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227.2</v>
      </c>
      <c r="S3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5" s="25">
        <v>5</v>
      </c>
    </row>
    <row r="36" spans="1:20" s="26" customFormat="1" x14ac:dyDescent="0.25">
      <c r="A36" s="16">
        <v>222320</v>
      </c>
      <c r="B36" s="30" t="s">
        <v>274</v>
      </c>
      <c r="C36" s="20" t="s">
        <v>651</v>
      </c>
      <c r="D36" s="20" t="s">
        <v>719</v>
      </c>
      <c r="E36" s="20" t="s">
        <v>2611</v>
      </c>
      <c r="F36" s="20" t="s">
        <v>2612</v>
      </c>
      <c r="G36" s="21">
        <v>18.8</v>
      </c>
      <c r="H36" s="16">
        <v>16</v>
      </c>
      <c r="I36" s="16"/>
      <c r="J3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36" s="22"/>
      <c r="L36" s="23"/>
      <c r="M36" s="23">
        <f>SUM(Tabela17468101214223032268161925273133362421012141618242628303840248101214162022262830323436242681012142461012242624426262826268102628623668101214[[#This Row],[Saldo no cartão]:[Recarga Pendente]])</f>
        <v>0</v>
      </c>
      <c r="N36" s="19">
        <f>Tabela17468101214223032268161925273133362421012141618242628303840248101214162022262830323436242681012142461012242624426262826268102628623668101214[[#This Row],[Uso diário]]*2</f>
        <v>37.6</v>
      </c>
      <c r="O36" s="19">
        <f>Tabela17468101214223032268161925273133362421012141618242628303840248101214162022262830323436242681012142461012242624426262826268102628623668101214[[#This Row],[Total Acumulado]]-P36</f>
        <v>-94</v>
      </c>
      <c r="P36" s="48">
        <f>Tabela17468101214223032268161925273133362421012141618242628303840248101214162022262830323436242681012142461012242624426262826268102628623668101214[[#This Row],[Uso diário]]*5</f>
        <v>94</v>
      </c>
      <c r="Q3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3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6" s="25">
        <v>5</v>
      </c>
    </row>
    <row r="37" spans="1:20" s="26" customFormat="1" x14ac:dyDescent="0.25">
      <c r="A37" s="16">
        <v>222615</v>
      </c>
      <c r="B37" s="30" t="s">
        <v>275</v>
      </c>
      <c r="C37" s="20" t="s">
        <v>651</v>
      </c>
      <c r="D37" s="20" t="s">
        <v>716</v>
      </c>
      <c r="E37" s="20" t="s">
        <v>2613</v>
      </c>
      <c r="F37" s="20" t="s">
        <v>2614</v>
      </c>
      <c r="G37" s="21">
        <v>13.4</v>
      </c>
      <c r="H37" s="16">
        <v>16</v>
      </c>
      <c r="I37" s="16"/>
      <c r="J3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37" s="22"/>
      <c r="L37" s="23"/>
      <c r="M37" s="23">
        <f>SUM(Tabela17468101214223032268161925273133362421012141618242628303840248101214162022262830323436242681012142461012242624426262826268102628623668101214[[#This Row],[Saldo no cartão]:[Recarga Pendente]])</f>
        <v>0</v>
      </c>
      <c r="N37" s="19">
        <f>Tabela17468101214223032268161925273133362421012141618242628303840248101214162022262830323436242681012142461012242624426262826268102628623668101214[[#This Row],[Uso diário]]*2</f>
        <v>26.8</v>
      </c>
      <c r="O37" s="19">
        <f>Tabela17468101214223032268161925273133362421012141618242628303840248101214162022262830323436242681012142461012242624426262826268102628623668101214[[#This Row],[Total Acumulado]]-P37</f>
        <v>-67</v>
      </c>
      <c r="P37" s="48">
        <f>Tabela17468101214223032268161925273133362421012141618242628303840248101214162022262830323436242681012142461012242624426262826268102628623668101214[[#This Row],[Uso diário]]*5</f>
        <v>67</v>
      </c>
      <c r="Q3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3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7" s="25">
        <v>5</v>
      </c>
    </row>
    <row r="38" spans="1:20" s="26" customFormat="1" x14ac:dyDescent="0.25">
      <c r="A38" s="16">
        <v>223031</v>
      </c>
      <c r="B38" s="30" t="s">
        <v>1066</v>
      </c>
      <c r="C38" s="20" t="s">
        <v>651</v>
      </c>
      <c r="D38" s="20" t="s">
        <v>719</v>
      </c>
      <c r="E38" s="20" t="s">
        <v>2615</v>
      </c>
      <c r="F38" s="20" t="s">
        <v>2616</v>
      </c>
      <c r="G38" s="21">
        <v>18.8</v>
      </c>
      <c r="H38" s="16">
        <v>16</v>
      </c>
      <c r="I38" s="16"/>
      <c r="J3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38" s="22"/>
      <c r="L38" s="23"/>
      <c r="M38" s="23">
        <f>SUM(Tabela17468101214223032268161925273133362421012141618242628303840248101214162022262830323436242681012142461012242624426262826268102628623668101214[[#This Row],[Saldo no cartão]:[Recarga Pendente]])</f>
        <v>0</v>
      </c>
      <c r="N38" s="19">
        <f>Tabela17468101214223032268161925273133362421012141618242628303840248101214162022262830323436242681012142461012242624426262826268102628623668101214[[#This Row],[Uso diário]]*2</f>
        <v>37.6</v>
      </c>
      <c r="O38" s="19">
        <f>Tabela17468101214223032268161925273133362421012141618242628303840248101214162022262830323436242681012142461012242624426262826268102628623668101214[[#This Row],[Total Acumulado]]-P38</f>
        <v>-94</v>
      </c>
      <c r="P38" s="48">
        <f>Tabela17468101214223032268161925273133362421012141618242628303840248101214162022262830323436242681012142461012242624426262826268102628623668101214[[#This Row],[Uso diário]]*5</f>
        <v>94</v>
      </c>
      <c r="Q3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3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8" s="25">
        <v>5</v>
      </c>
    </row>
    <row r="39" spans="1:20" s="26" customFormat="1" x14ac:dyDescent="0.25">
      <c r="A39" s="16">
        <v>223382</v>
      </c>
      <c r="B39" s="30" t="s">
        <v>276</v>
      </c>
      <c r="C39" s="20" t="s">
        <v>651</v>
      </c>
      <c r="D39" s="20" t="s">
        <v>719</v>
      </c>
      <c r="E39" s="20" t="s">
        <v>2617</v>
      </c>
      <c r="F39" s="20" t="s">
        <v>2618</v>
      </c>
      <c r="G39" s="21">
        <v>18.8</v>
      </c>
      <c r="H39" s="16">
        <v>16</v>
      </c>
      <c r="I39" s="16">
        <v>3</v>
      </c>
      <c r="J3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244.4</v>
      </c>
      <c r="K39" s="22"/>
      <c r="L39" s="23"/>
      <c r="M39" s="23">
        <f>SUM(Tabela17468101214223032268161925273133362421012141618242628303840248101214162022262830323436242681012142461012242624426262826268102628623668101214[[#This Row],[Saldo no cartão]:[Recarga Pendente]])</f>
        <v>0</v>
      </c>
      <c r="N39" s="19">
        <f>Tabela17468101214223032268161925273133362421012141618242628303840248101214162022262830323436242681012142461012242624426262826268102628623668101214[[#This Row],[Uso diário]]*2</f>
        <v>37.6</v>
      </c>
      <c r="O39" s="19">
        <f>Tabela17468101214223032268161925273133362421012141618242628303840248101214162022262830323436242681012142461012242624426262826268102628623668101214[[#This Row],[Total Acumulado]]-P39</f>
        <v>-94</v>
      </c>
      <c r="P39" s="48">
        <f>Tabela17468101214223032268161925273133362421012141618242628303840248101214162022262830323436242681012142461012242624426262826268102628623668101214[[#This Row],[Uso diário]]*5</f>
        <v>94</v>
      </c>
      <c r="Q3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3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244.4</v>
      </c>
      <c r="S3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39" s="25">
        <v>5</v>
      </c>
    </row>
    <row r="40" spans="1:20" s="26" customFormat="1" x14ac:dyDescent="0.25">
      <c r="A40" s="16">
        <v>224867</v>
      </c>
      <c r="B40" s="30" t="s">
        <v>277</v>
      </c>
      <c r="C40" s="20" t="s">
        <v>651</v>
      </c>
      <c r="D40" s="20" t="s">
        <v>717</v>
      </c>
      <c r="E40" s="20" t="s">
        <v>2619</v>
      </c>
      <c r="F40" s="20" t="s">
        <v>2620</v>
      </c>
      <c r="G40" s="21">
        <v>18.8</v>
      </c>
      <c r="H40" s="16">
        <v>16</v>
      </c>
      <c r="I40" s="16"/>
      <c r="J4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40" s="22"/>
      <c r="L40" s="23"/>
      <c r="M40" s="23">
        <f>SUM(Tabela17468101214223032268161925273133362421012141618242628303840248101214162022262830323436242681012142461012242624426262826268102628623668101214[[#This Row],[Saldo no cartão]:[Recarga Pendente]])</f>
        <v>0</v>
      </c>
      <c r="N40" s="19">
        <f>Tabela17468101214223032268161925273133362421012141618242628303840248101214162022262830323436242681012142461012242624426262826268102628623668101214[[#This Row],[Uso diário]]*2</f>
        <v>37.6</v>
      </c>
      <c r="O40" s="19">
        <f>Tabela17468101214223032268161925273133362421012141618242628303840248101214162022262830323436242681012142461012242624426262826268102628623668101214[[#This Row],[Total Acumulado]]-P40</f>
        <v>-94</v>
      </c>
      <c r="P40" s="48">
        <f>Tabela17468101214223032268161925273133362421012141618242628303840248101214162022262830323436242681012142461012242624426262826268102628623668101214[[#This Row],[Uso diário]]*5</f>
        <v>94</v>
      </c>
      <c r="Q4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4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0" s="25">
        <v>5</v>
      </c>
    </row>
    <row r="41" spans="1:20" s="26" customFormat="1" x14ac:dyDescent="0.25">
      <c r="A41" s="16">
        <v>226476</v>
      </c>
      <c r="B41" s="30" t="s">
        <v>279</v>
      </c>
      <c r="C41" s="20" t="s">
        <v>651</v>
      </c>
      <c r="D41" s="20" t="s">
        <v>719</v>
      </c>
      <c r="E41" s="20" t="s">
        <v>2621</v>
      </c>
      <c r="F41" s="20" t="s">
        <v>2622</v>
      </c>
      <c r="G41" s="21">
        <v>18.8</v>
      </c>
      <c r="H41" s="16">
        <v>16</v>
      </c>
      <c r="I41" s="16"/>
      <c r="J4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41" s="22"/>
      <c r="L41" s="23"/>
      <c r="M41" s="23">
        <f>SUM(Tabela17468101214223032268161925273133362421012141618242628303840248101214162022262830323436242681012142461012242624426262826268102628623668101214[[#This Row],[Saldo no cartão]:[Recarga Pendente]])</f>
        <v>0</v>
      </c>
      <c r="N41" s="19">
        <f>Tabela17468101214223032268161925273133362421012141618242628303840248101214162022262830323436242681012142461012242624426262826268102628623668101214[[#This Row],[Uso diário]]*2</f>
        <v>37.6</v>
      </c>
      <c r="O41" s="19">
        <f>Tabela17468101214223032268161925273133362421012141618242628303840248101214162022262830323436242681012142461012242624426262826268102628623668101214[[#This Row],[Total Acumulado]]-P41</f>
        <v>-94</v>
      </c>
      <c r="P41" s="48">
        <f>Tabela17468101214223032268161925273133362421012141618242628303840248101214162022262830323436242681012142461012242624426262826268102628623668101214[[#This Row],[Uso diário]]*5</f>
        <v>94</v>
      </c>
      <c r="Q4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4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1" s="25">
        <v>5</v>
      </c>
    </row>
    <row r="42" spans="1:20" s="26" customFormat="1" x14ac:dyDescent="0.25">
      <c r="A42" s="16">
        <v>228736</v>
      </c>
      <c r="B42" s="30" t="s">
        <v>280</v>
      </c>
      <c r="C42" s="20" t="s">
        <v>651</v>
      </c>
      <c r="D42" s="20" t="s">
        <v>719</v>
      </c>
      <c r="E42" s="20" t="s">
        <v>2623</v>
      </c>
      <c r="F42" s="20" t="s">
        <v>2624</v>
      </c>
      <c r="G42" s="21">
        <v>18.8</v>
      </c>
      <c r="H42" s="16">
        <v>16</v>
      </c>
      <c r="I42" s="16"/>
      <c r="J4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42" s="22"/>
      <c r="L42" s="23"/>
      <c r="M42" s="23">
        <f>SUM(Tabela17468101214223032268161925273133362421012141618242628303840248101214162022262830323436242681012142461012242624426262826268102628623668101214[[#This Row],[Saldo no cartão]:[Recarga Pendente]])</f>
        <v>0</v>
      </c>
      <c r="N42" s="19">
        <f>Tabela17468101214223032268161925273133362421012141618242628303840248101214162022262830323436242681012142461012242624426262826268102628623668101214[[#This Row],[Uso diário]]*2</f>
        <v>37.6</v>
      </c>
      <c r="O42" s="19">
        <f>Tabela17468101214223032268161925273133362421012141618242628303840248101214162022262830323436242681012142461012242624426262826268102628623668101214[[#This Row],[Total Acumulado]]-P42</f>
        <v>-94</v>
      </c>
      <c r="P42" s="48">
        <f>Tabela17468101214223032268161925273133362421012141618242628303840248101214162022262830323436242681012142461012242624426262826268102628623668101214[[#This Row],[Uso diário]]*5</f>
        <v>94</v>
      </c>
      <c r="Q4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4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2" s="25">
        <v>5</v>
      </c>
    </row>
    <row r="43" spans="1:20" s="26" customFormat="1" x14ac:dyDescent="0.25">
      <c r="A43" s="16">
        <v>229009</v>
      </c>
      <c r="B43" s="30" t="s">
        <v>281</v>
      </c>
      <c r="C43" s="20" t="s">
        <v>651</v>
      </c>
      <c r="D43" s="20" t="s">
        <v>719</v>
      </c>
      <c r="E43" s="20" t="s">
        <v>2625</v>
      </c>
      <c r="F43" s="20" t="s">
        <v>2626</v>
      </c>
      <c r="G43" s="21">
        <v>20.100000000000001</v>
      </c>
      <c r="H43" s="16">
        <v>16</v>
      </c>
      <c r="I43" s="16"/>
      <c r="J4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321.60000000000002</v>
      </c>
      <c r="K43" s="22"/>
      <c r="L43" s="23"/>
      <c r="M43" s="23">
        <f>SUM(Tabela17468101214223032268161925273133362421012141618242628303840248101214162022262830323436242681012142461012242624426262826268102628623668101214[[#This Row],[Saldo no cartão]:[Recarga Pendente]])</f>
        <v>0</v>
      </c>
      <c r="N43" s="19">
        <f>Tabela17468101214223032268161925273133362421012141618242628303840248101214162022262830323436242681012142461012242624426262826268102628623668101214[[#This Row],[Uso diário]]*2</f>
        <v>40.200000000000003</v>
      </c>
      <c r="O43" s="19">
        <f>Tabela17468101214223032268161925273133362421012141618242628303840248101214162022262830323436242681012142461012242624426262826268102628623668101214[[#This Row],[Total Acumulado]]-P43</f>
        <v>-100.5</v>
      </c>
      <c r="P43" s="48">
        <f>Tabela17468101214223032268161925273133362421012141618242628303840248101214162022262830323436242681012142461012242624426262826268102628623668101214[[#This Row],[Uso diário]]*5</f>
        <v>100.5</v>
      </c>
      <c r="Q4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321.60000000000002</v>
      </c>
      <c r="S4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3" s="25">
        <v>5</v>
      </c>
    </row>
    <row r="44" spans="1:20" s="26" customFormat="1" x14ac:dyDescent="0.25">
      <c r="A44" s="16">
        <v>229167</v>
      </c>
      <c r="B44" s="30" t="s">
        <v>282</v>
      </c>
      <c r="C44" s="20" t="s">
        <v>651</v>
      </c>
      <c r="D44" s="20" t="s">
        <v>719</v>
      </c>
      <c r="E44" s="20" t="s">
        <v>2627</v>
      </c>
      <c r="F44" s="20" t="s">
        <v>2628</v>
      </c>
      <c r="G44" s="21">
        <v>13.4</v>
      </c>
      <c r="H44" s="16">
        <v>16</v>
      </c>
      <c r="I44" s="16">
        <v>1</v>
      </c>
      <c r="J4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201</v>
      </c>
      <c r="K44" s="22"/>
      <c r="L44" s="23"/>
      <c r="M44" s="23">
        <f>SUM(Tabela17468101214223032268161925273133362421012141618242628303840248101214162022262830323436242681012142461012242624426262826268102628623668101214[[#This Row],[Saldo no cartão]:[Recarga Pendente]])</f>
        <v>0</v>
      </c>
      <c r="N44" s="19">
        <f>Tabela17468101214223032268161925273133362421012141618242628303840248101214162022262830323436242681012142461012242624426262826268102628623668101214[[#This Row],[Uso diário]]*2</f>
        <v>26.8</v>
      </c>
      <c r="O44" s="19">
        <f>Tabela17468101214223032268161925273133362421012141618242628303840248101214162022262830323436242681012142461012242624426262826268102628623668101214[[#This Row],[Total Acumulado]]-P44</f>
        <v>-67</v>
      </c>
      <c r="P44" s="48">
        <f>Tabela17468101214223032268161925273133362421012141618242628303840248101214162022262830323436242681012142461012242624426262826268102628623668101214[[#This Row],[Uso diário]]*5</f>
        <v>67</v>
      </c>
      <c r="Q4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201</v>
      </c>
      <c r="S4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4" s="25">
        <v>5</v>
      </c>
    </row>
    <row r="45" spans="1:20" s="26" customFormat="1" x14ac:dyDescent="0.25">
      <c r="A45" s="16">
        <v>230000</v>
      </c>
      <c r="B45" s="30" t="s">
        <v>1450</v>
      </c>
      <c r="C45" s="20" t="s">
        <v>651</v>
      </c>
      <c r="D45" s="20" t="s">
        <v>719</v>
      </c>
      <c r="E45" s="20" t="s">
        <v>2629</v>
      </c>
      <c r="F45" s="20" t="s">
        <v>2630</v>
      </c>
      <c r="G45" s="21">
        <v>18.8</v>
      </c>
      <c r="H45" s="16">
        <v>16</v>
      </c>
      <c r="I45" s="16"/>
      <c r="J4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45" s="22"/>
      <c r="L45" s="23"/>
      <c r="M45" s="23">
        <f>SUM(Tabela17468101214223032268161925273133362421012141618242628303840248101214162022262830323436242681012142461012242624426262826268102628623668101214[[#This Row],[Saldo no cartão]:[Recarga Pendente]])</f>
        <v>0</v>
      </c>
      <c r="N45" s="19">
        <f>Tabela17468101214223032268161925273133362421012141618242628303840248101214162022262830323436242681012142461012242624426262826268102628623668101214[[#This Row],[Uso diário]]*2</f>
        <v>37.6</v>
      </c>
      <c r="O45" s="19">
        <f>Tabela17468101214223032268161925273133362421012141618242628303840248101214162022262830323436242681012142461012242624426262826268102628623668101214[[#This Row],[Total Acumulado]]-P45</f>
        <v>-94</v>
      </c>
      <c r="P45" s="48">
        <f>Tabela17468101214223032268161925273133362421012141618242628303840248101214162022262830323436242681012142461012242624426262826268102628623668101214[[#This Row],[Uso diário]]*5</f>
        <v>94</v>
      </c>
      <c r="Q4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4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5" s="25">
        <v>5</v>
      </c>
    </row>
    <row r="46" spans="1:20" s="26" customFormat="1" x14ac:dyDescent="0.25">
      <c r="A46" s="16">
        <v>230793</v>
      </c>
      <c r="B46" s="30" t="s">
        <v>236</v>
      </c>
      <c r="C46" s="20" t="s">
        <v>651</v>
      </c>
      <c r="D46" s="20" t="s">
        <v>719</v>
      </c>
      <c r="E46" s="20" t="s">
        <v>2631</v>
      </c>
      <c r="F46" s="20" t="s">
        <v>2632</v>
      </c>
      <c r="G46" s="21">
        <v>18.8</v>
      </c>
      <c r="H46" s="16">
        <v>16</v>
      </c>
      <c r="I46" s="16"/>
      <c r="J4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46" s="22"/>
      <c r="L46" s="23"/>
      <c r="M46" s="23">
        <f>SUM(Tabela17468101214223032268161925273133362421012141618242628303840248101214162022262830323436242681012142461012242624426262826268102628623668101214[[#This Row],[Saldo no cartão]:[Recarga Pendente]])</f>
        <v>0</v>
      </c>
      <c r="N46" s="19">
        <f>Tabela17468101214223032268161925273133362421012141618242628303840248101214162022262830323436242681012142461012242624426262826268102628623668101214[[#This Row],[Uso diário]]*2</f>
        <v>37.6</v>
      </c>
      <c r="O46" s="19">
        <f>Tabela17468101214223032268161925273133362421012141618242628303840248101214162022262830323436242681012142461012242624426262826268102628623668101214[[#This Row],[Total Acumulado]]-P46</f>
        <v>-94</v>
      </c>
      <c r="P46" s="48">
        <f>Tabela17468101214223032268161925273133362421012141618242628303840248101214162022262830323436242681012142461012242624426262826268102628623668101214[[#This Row],[Uso diário]]*5</f>
        <v>94</v>
      </c>
      <c r="Q4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4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6" s="25">
        <v>5</v>
      </c>
    </row>
    <row r="47" spans="1:20" s="26" customFormat="1" x14ac:dyDescent="0.25">
      <c r="A47" s="16">
        <v>231071</v>
      </c>
      <c r="B47" s="30" t="s">
        <v>1067</v>
      </c>
      <c r="C47" s="20" t="s">
        <v>651</v>
      </c>
      <c r="D47" s="20" t="s">
        <v>717</v>
      </c>
      <c r="E47" s="20" t="s">
        <v>2633</v>
      </c>
      <c r="F47" s="20" t="s">
        <v>2634</v>
      </c>
      <c r="G47" s="21">
        <v>18.8</v>
      </c>
      <c r="H47" s="16">
        <v>16</v>
      </c>
      <c r="I47" s="16">
        <v>1</v>
      </c>
      <c r="J4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282</v>
      </c>
      <c r="K47" s="22"/>
      <c r="L47" s="23"/>
      <c r="M47" s="23">
        <f>SUM(Tabela17468101214223032268161925273133362421012141618242628303840248101214162022262830323436242681012142461012242624426262826268102628623668101214[[#This Row],[Saldo no cartão]:[Recarga Pendente]])</f>
        <v>0</v>
      </c>
      <c r="N47" s="19">
        <f>Tabela17468101214223032268161925273133362421012141618242628303840248101214162022262830323436242681012142461012242624426262826268102628623668101214[[#This Row],[Uso diário]]*2</f>
        <v>37.6</v>
      </c>
      <c r="O47" s="19">
        <f>Tabela17468101214223032268161925273133362421012141618242628303840248101214162022262830323436242681012142461012242624426262826268102628623668101214[[#This Row],[Total Acumulado]]-P47</f>
        <v>-94</v>
      </c>
      <c r="P47" s="48">
        <f>Tabela17468101214223032268161925273133362421012141618242628303840248101214162022262830323436242681012142461012242624426262826268102628623668101214[[#This Row],[Uso diário]]*5</f>
        <v>94</v>
      </c>
      <c r="Q4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282</v>
      </c>
      <c r="S4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7" s="25">
        <v>5</v>
      </c>
    </row>
    <row r="48" spans="1:20" s="26" customFormat="1" x14ac:dyDescent="0.25">
      <c r="A48" s="16">
        <v>231074</v>
      </c>
      <c r="B48" s="30" t="s">
        <v>1451</v>
      </c>
      <c r="C48" s="20" t="s">
        <v>651</v>
      </c>
      <c r="D48" s="20" t="s">
        <v>716</v>
      </c>
      <c r="E48" s="20" t="s">
        <v>2635</v>
      </c>
      <c r="F48" s="20" t="s">
        <v>2636</v>
      </c>
      <c r="G48" s="21">
        <v>18.8</v>
      </c>
      <c r="H48" s="16">
        <v>16</v>
      </c>
      <c r="I48" s="16"/>
      <c r="J4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48" s="22"/>
      <c r="L48" s="23"/>
      <c r="M48" s="23">
        <f>SUM(Tabela17468101214223032268161925273133362421012141618242628303840248101214162022262830323436242681012142461012242624426262826268102628623668101214[[#This Row],[Saldo no cartão]:[Recarga Pendente]])</f>
        <v>0</v>
      </c>
      <c r="N48" s="19">
        <f>Tabela17468101214223032268161925273133362421012141618242628303840248101214162022262830323436242681012142461012242624426262826268102628623668101214[[#This Row],[Uso diário]]*2</f>
        <v>37.6</v>
      </c>
      <c r="O48" s="19">
        <f>Tabela17468101214223032268161925273133362421012141618242628303840248101214162022262830323436242681012142461012242624426262826268102628623668101214[[#This Row],[Total Acumulado]]-P48</f>
        <v>-94</v>
      </c>
      <c r="P48" s="48">
        <f>Tabela17468101214223032268161925273133362421012141618242628303840248101214162022262830323436242681012142461012242624426262826268102628623668101214[[#This Row],[Uso diário]]*5</f>
        <v>94</v>
      </c>
      <c r="Q4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4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8" s="25">
        <v>5</v>
      </c>
    </row>
    <row r="49" spans="1:20" s="26" customFormat="1" x14ac:dyDescent="0.25">
      <c r="A49" s="16">
        <v>231274</v>
      </c>
      <c r="B49" s="30" t="s">
        <v>791</v>
      </c>
      <c r="C49" s="20" t="s">
        <v>651</v>
      </c>
      <c r="D49" s="20" t="s">
        <v>716</v>
      </c>
      <c r="E49" s="20" t="s">
        <v>2637</v>
      </c>
      <c r="F49" s="20" t="s">
        <v>2638</v>
      </c>
      <c r="G49" s="21">
        <v>18.8</v>
      </c>
      <c r="H49" s="16">
        <v>16</v>
      </c>
      <c r="I49" s="16">
        <v>1</v>
      </c>
      <c r="J4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282</v>
      </c>
      <c r="K49" s="22"/>
      <c r="L49" s="23"/>
      <c r="M49" s="23">
        <f>SUM(Tabela17468101214223032268161925273133362421012141618242628303840248101214162022262830323436242681012142461012242624426262826268102628623668101214[[#This Row],[Saldo no cartão]:[Recarga Pendente]])</f>
        <v>0</v>
      </c>
      <c r="N49" s="19">
        <f>Tabela17468101214223032268161925273133362421012141618242628303840248101214162022262830323436242681012142461012242624426262826268102628623668101214[[#This Row],[Uso diário]]*2</f>
        <v>37.6</v>
      </c>
      <c r="O49" s="19">
        <f>Tabela17468101214223032268161925273133362421012141618242628303840248101214162022262830323436242681012142461012242624426262826268102628623668101214[[#This Row],[Total Acumulado]]-P49</f>
        <v>-94</v>
      </c>
      <c r="P49" s="48">
        <f>Tabela17468101214223032268161925273133362421012141618242628303840248101214162022262830323436242681012142461012242624426262826268102628623668101214[[#This Row],[Uso diário]]*5</f>
        <v>94</v>
      </c>
      <c r="Q4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4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282</v>
      </c>
      <c r="S4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49" s="25">
        <v>5</v>
      </c>
    </row>
    <row r="50" spans="1:20" s="26" customFormat="1" x14ac:dyDescent="0.25">
      <c r="A50" s="16">
        <v>231947</v>
      </c>
      <c r="B50" s="30" t="s">
        <v>825</v>
      </c>
      <c r="C50" s="20" t="s">
        <v>651</v>
      </c>
      <c r="D50" s="20" t="s">
        <v>719</v>
      </c>
      <c r="E50" s="20" t="s">
        <v>2639</v>
      </c>
      <c r="F50" s="20" t="s">
        <v>2640</v>
      </c>
      <c r="G50" s="21">
        <v>18.8</v>
      </c>
      <c r="H50" s="16">
        <v>16</v>
      </c>
      <c r="I50" s="16"/>
      <c r="J5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50" s="22"/>
      <c r="L50" s="23"/>
      <c r="M50" s="23">
        <f>SUM(Tabela17468101214223032268161925273133362421012141618242628303840248101214162022262830323436242681012142461012242624426262826268102628623668101214[[#This Row],[Saldo no cartão]:[Recarga Pendente]])</f>
        <v>0</v>
      </c>
      <c r="N50" s="19">
        <f>Tabela17468101214223032268161925273133362421012141618242628303840248101214162022262830323436242681012142461012242624426262826268102628623668101214[[#This Row],[Uso diário]]*2</f>
        <v>37.6</v>
      </c>
      <c r="O50" s="19">
        <f>Tabela17468101214223032268161925273133362421012141618242628303840248101214162022262830323436242681012142461012242624426262826268102628623668101214[[#This Row],[Total Acumulado]]-P50</f>
        <v>-94</v>
      </c>
      <c r="P50" s="48">
        <f>Tabela17468101214223032268161925273133362421012141618242628303840248101214162022262830323436242681012142461012242624426262826268102628623668101214[[#This Row],[Uso diário]]*5</f>
        <v>94</v>
      </c>
      <c r="Q5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5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0" s="25">
        <v>5</v>
      </c>
    </row>
    <row r="51" spans="1:20" s="26" customFormat="1" x14ac:dyDescent="0.25">
      <c r="A51" s="16">
        <v>232238</v>
      </c>
      <c r="B51" s="30" t="s">
        <v>1452</v>
      </c>
      <c r="C51" s="20" t="s">
        <v>651</v>
      </c>
      <c r="D51" s="20" t="s">
        <v>716</v>
      </c>
      <c r="E51" s="20" t="s">
        <v>2641</v>
      </c>
      <c r="F51" s="20" t="s">
        <v>2642</v>
      </c>
      <c r="G51" s="21">
        <v>13.4</v>
      </c>
      <c r="H51" s="16">
        <v>16</v>
      </c>
      <c r="I51" s="16"/>
      <c r="J5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51" s="22"/>
      <c r="L51" s="23">
        <v>47.85</v>
      </c>
      <c r="M51" s="23">
        <f>SUM(Tabela17468101214223032268161925273133362421012141618242628303840248101214162022262830323436242681012142461012242624426262826268102628623668101214[[#This Row],[Saldo no cartão]:[Recarga Pendente]])</f>
        <v>47.85</v>
      </c>
      <c r="N51" s="19">
        <f>Tabela17468101214223032268161925273133362421012141618242628303840248101214162022262830323436242681012142461012242624426262826268102628623668101214[[#This Row],[Uso diário]]*2</f>
        <v>26.8</v>
      </c>
      <c r="O51" s="19">
        <f>Tabela17468101214223032268161925273133362421012141618242628303840248101214162022262830323436242681012142461012242624426262826268102628623668101214[[#This Row],[Total Acumulado]]-P51</f>
        <v>-19.149999999999999</v>
      </c>
      <c r="P51" s="48">
        <f>Tabela17468101214223032268161925273133362421012141618242628303840248101214162022262830323436242681012142461012242624426262826268102628623668101214[[#This Row],[Uso diário]]*5</f>
        <v>67</v>
      </c>
      <c r="Q5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5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1" s="25">
        <v>5</v>
      </c>
    </row>
    <row r="52" spans="1:20" s="26" customFormat="1" x14ac:dyDescent="0.25">
      <c r="A52" s="16">
        <v>232590</v>
      </c>
      <c r="B52" s="30" t="s">
        <v>939</v>
      </c>
      <c r="C52" s="20" t="s">
        <v>651</v>
      </c>
      <c r="D52" s="20" t="s">
        <v>719</v>
      </c>
      <c r="E52" s="20" t="s">
        <v>2643</v>
      </c>
      <c r="F52" s="20" t="s">
        <v>2644</v>
      </c>
      <c r="G52" s="21">
        <v>13.4</v>
      </c>
      <c r="H52" s="16">
        <v>16</v>
      </c>
      <c r="I52" s="16"/>
      <c r="J5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52" s="22"/>
      <c r="L52" s="23"/>
      <c r="M52" s="23">
        <f>SUM(Tabela17468101214223032268161925273133362421012141618242628303840248101214162022262830323436242681012142461012242624426262826268102628623668101214[[#This Row],[Saldo no cartão]:[Recarga Pendente]])</f>
        <v>0</v>
      </c>
      <c r="N52" s="19">
        <f>Tabela17468101214223032268161925273133362421012141618242628303840248101214162022262830323436242681012142461012242624426262826268102628623668101214[[#This Row],[Uso diário]]*2</f>
        <v>26.8</v>
      </c>
      <c r="O52" s="19">
        <f>Tabela17468101214223032268161925273133362421012141618242628303840248101214162022262830323436242681012142461012242624426262826268102628623668101214[[#This Row],[Total Acumulado]]-P52</f>
        <v>-67</v>
      </c>
      <c r="P52" s="48">
        <f>Tabela17468101214223032268161925273133362421012141618242628303840248101214162022262830323436242681012142461012242624426262826268102628623668101214[[#This Row],[Uso diário]]*5</f>
        <v>67</v>
      </c>
      <c r="Q5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5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2" s="25">
        <v>5</v>
      </c>
    </row>
    <row r="53" spans="1:20" s="26" customFormat="1" x14ac:dyDescent="0.25">
      <c r="A53" s="16">
        <v>232714</v>
      </c>
      <c r="B53" s="30" t="s">
        <v>940</v>
      </c>
      <c r="C53" s="20" t="s">
        <v>651</v>
      </c>
      <c r="D53" s="20" t="s">
        <v>716</v>
      </c>
      <c r="E53" s="20" t="s">
        <v>2645</v>
      </c>
      <c r="F53" s="20" t="s">
        <v>2646</v>
      </c>
      <c r="G53" s="21">
        <v>13.4</v>
      </c>
      <c r="H53" s="16">
        <v>16</v>
      </c>
      <c r="I53" s="16"/>
      <c r="J5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53" s="22"/>
      <c r="L53" s="23"/>
      <c r="M53" s="23">
        <f>SUM(Tabela17468101214223032268161925273133362421012141618242628303840248101214162022262830323436242681012142461012242624426262826268102628623668101214[[#This Row],[Saldo no cartão]:[Recarga Pendente]])</f>
        <v>0</v>
      </c>
      <c r="N53" s="19">
        <f>Tabela17468101214223032268161925273133362421012141618242628303840248101214162022262830323436242681012142461012242624426262826268102628623668101214[[#This Row],[Uso diário]]*2</f>
        <v>26.8</v>
      </c>
      <c r="O53" s="19">
        <f>Tabela17468101214223032268161925273133362421012141618242628303840248101214162022262830323436242681012142461012242624426262826268102628623668101214[[#This Row],[Total Acumulado]]-P53</f>
        <v>-67</v>
      </c>
      <c r="P53" s="48">
        <f>Tabela17468101214223032268161925273133362421012141618242628303840248101214162022262830323436242681012142461012242624426262826268102628623668101214[[#This Row],[Uso diário]]*5</f>
        <v>67</v>
      </c>
      <c r="Q5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5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3" s="25">
        <v>5</v>
      </c>
    </row>
    <row r="54" spans="1:20" s="26" customFormat="1" x14ac:dyDescent="0.25">
      <c r="A54" s="16">
        <v>233096</v>
      </c>
      <c r="B54" s="30" t="s">
        <v>986</v>
      </c>
      <c r="C54" s="20" t="s">
        <v>651</v>
      </c>
      <c r="D54" s="20" t="s">
        <v>716</v>
      </c>
      <c r="E54" s="20" t="s">
        <v>2647</v>
      </c>
      <c r="F54" s="20" t="s">
        <v>2648</v>
      </c>
      <c r="G54" s="21">
        <v>13.4</v>
      </c>
      <c r="H54" s="16">
        <v>16</v>
      </c>
      <c r="I54" s="16">
        <v>4</v>
      </c>
      <c r="J5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160.80000000000001</v>
      </c>
      <c r="K54" s="22"/>
      <c r="L54" s="23"/>
      <c r="M54" s="23">
        <f>SUM(Tabela17468101214223032268161925273133362421012141618242628303840248101214162022262830323436242681012142461012242624426262826268102628623668101214[[#This Row],[Saldo no cartão]:[Recarga Pendente]])</f>
        <v>0</v>
      </c>
      <c r="N54" s="19">
        <f>Tabela17468101214223032268161925273133362421012141618242628303840248101214162022262830323436242681012142461012242624426262826268102628623668101214[[#This Row],[Uso diário]]*2</f>
        <v>26.8</v>
      </c>
      <c r="O54" s="19">
        <f>Tabela17468101214223032268161925273133362421012141618242628303840248101214162022262830323436242681012142461012242624426262826268102628623668101214[[#This Row],[Total Acumulado]]-P54</f>
        <v>-67</v>
      </c>
      <c r="P54" s="48">
        <f>Tabela17468101214223032268161925273133362421012141618242628303840248101214162022262830323436242681012142461012242624426262826268102628623668101214[[#This Row],[Uso diário]]*5</f>
        <v>67</v>
      </c>
      <c r="Q5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160.80000000000001</v>
      </c>
      <c r="S5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4" s="25">
        <v>5</v>
      </c>
    </row>
    <row r="55" spans="1:20" s="26" customFormat="1" x14ac:dyDescent="0.25">
      <c r="A55" s="16">
        <v>233097</v>
      </c>
      <c r="B55" s="30" t="s">
        <v>987</v>
      </c>
      <c r="C55" s="20" t="s">
        <v>651</v>
      </c>
      <c r="D55" s="20" t="s">
        <v>716</v>
      </c>
      <c r="E55" s="20" t="s">
        <v>2649</v>
      </c>
      <c r="F55" s="20" t="s">
        <v>2650</v>
      </c>
      <c r="G55" s="21">
        <v>13.4</v>
      </c>
      <c r="H55" s="16">
        <v>16</v>
      </c>
      <c r="I55" s="16"/>
      <c r="J5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55" s="22"/>
      <c r="L55" s="23"/>
      <c r="M55" s="23">
        <f>SUM(Tabela17468101214223032268161925273133362421012141618242628303840248101214162022262830323436242681012142461012242624426262826268102628623668101214[[#This Row],[Saldo no cartão]:[Recarga Pendente]])</f>
        <v>0</v>
      </c>
      <c r="N55" s="19">
        <f>Tabela17468101214223032268161925273133362421012141618242628303840248101214162022262830323436242681012142461012242624426262826268102628623668101214[[#This Row],[Uso diário]]*2</f>
        <v>26.8</v>
      </c>
      <c r="O55" s="19">
        <f>Tabela17468101214223032268161925273133362421012141618242628303840248101214162022262830323436242681012142461012242624426262826268102628623668101214[[#This Row],[Total Acumulado]]-P55</f>
        <v>-67</v>
      </c>
      <c r="P55" s="48">
        <f>Tabela17468101214223032268161925273133362421012141618242628303840248101214162022262830323436242681012142461012242624426262826268102628623668101214[[#This Row],[Uso diário]]*5</f>
        <v>67</v>
      </c>
      <c r="Q5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5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5" s="25">
        <v>5</v>
      </c>
    </row>
    <row r="56" spans="1:20" s="26" customFormat="1" x14ac:dyDescent="0.25">
      <c r="A56" s="16">
        <v>233142</v>
      </c>
      <c r="B56" s="30" t="s">
        <v>988</v>
      </c>
      <c r="C56" s="20" t="s">
        <v>651</v>
      </c>
      <c r="D56" s="20" t="s">
        <v>716</v>
      </c>
      <c r="E56" s="20" t="s">
        <v>2651</v>
      </c>
      <c r="F56" s="20" t="s">
        <v>2652</v>
      </c>
      <c r="G56" s="21">
        <v>13.4</v>
      </c>
      <c r="H56" s="16">
        <v>26</v>
      </c>
      <c r="I56" s="16"/>
      <c r="J5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56" s="22"/>
      <c r="L56" s="23"/>
      <c r="M56" s="23">
        <f>SUM(Tabela17468101214223032268161925273133362421012141618242628303840248101214162022262830323436242681012142461012242624426262826268102628623668101214[[#This Row],[Saldo no cartão]:[Recarga Pendente]])</f>
        <v>0</v>
      </c>
      <c r="N56" s="19">
        <f>Tabela17468101214223032268161925273133362421012141618242628303840248101214162022262830323436242681012142461012242624426262826268102628623668101214[[#This Row],[Uso diário]]*2</f>
        <v>26.8</v>
      </c>
      <c r="O56" s="19">
        <f>Tabela17468101214223032268161925273133362421012141618242628303840248101214162022262830323436242681012142461012242624426262826268102628623668101214[[#This Row],[Total Acumulado]]-P56</f>
        <v>-67</v>
      </c>
      <c r="P56" s="48">
        <f>Tabela17468101214223032268161925273133362421012141618242628303840248101214162022262830323436242681012142461012242624426262826268102628623668101214[[#This Row],[Uso diário]]*5</f>
        <v>67</v>
      </c>
      <c r="Q5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5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6" s="25">
        <v>5</v>
      </c>
    </row>
    <row r="57" spans="1:20" s="26" customFormat="1" x14ac:dyDescent="0.25">
      <c r="A57" s="16">
        <v>233425</v>
      </c>
      <c r="B57" s="30" t="s">
        <v>1068</v>
      </c>
      <c r="C57" s="20" t="s">
        <v>651</v>
      </c>
      <c r="D57" s="20" t="s">
        <v>716</v>
      </c>
      <c r="E57" s="20" t="s">
        <v>2653</v>
      </c>
      <c r="F57" s="20" t="s">
        <v>2654</v>
      </c>
      <c r="G57" s="21">
        <v>18.8</v>
      </c>
      <c r="H57" s="16">
        <v>16</v>
      </c>
      <c r="I57" s="16"/>
      <c r="J5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57" s="22"/>
      <c r="L57" s="23"/>
      <c r="M57" s="23">
        <f>SUM(Tabela17468101214223032268161925273133362421012141618242628303840248101214162022262830323436242681012142461012242624426262826268102628623668101214[[#This Row],[Saldo no cartão]:[Recarga Pendente]])</f>
        <v>0</v>
      </c>
      <c r="N57" s="19">
        <f>Tabela17468101214223032268161925273133362421012141618242628303840248101214162022262830323436242681012142461012242624426262826268102628623668101214[[#This Row],[Uso diário]]*2</f>
        <v>37.6</v>
      </c>
      <c r="O57" s="19">
        <f>Tabela17468101214223032268161925273133362421012141618242628303840248101214162022262830323436242681012142461012242624426262826268102628623668101214[[#This Row],[Total Acumulado]]-P57</f>
        <v>-94</v>
      </c>
      <c r="P57" s="48">
        <f>Tabela17468101214223032268161925273133362421012141618242628303840248101214162022262830323436242681012142461012242624426262826268102628623668101214[[#This Row],[Uso diário]]*5</f>
        <v>94</v>
      </c>
      <c r="Q5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5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7" s="25">
        <v>5</v>
      </c>
    </row>
    <row r="58" spans="1:20" s="26" customFormat="1" x14ac:dyDescent="0.25">
      <c r="A58" s="16">
        <v>233454</v>
      </c>
      <c r="B58" s="30" t="s">
        <v>1069</v>
      </c>
      <c r="C58" s="20" t="s">
        <v>651</v>
      </c>
      <c r="D58" s="20" t="s">
        <v>716</v>
      </c>
      <c r="E58" s="20" t="s">
        <v>2655</v>
      </c>
      <c r="F58" s="20" t="s">
        <v>2656</v>
      </c>
      <c r="G58" s="21">
        <v>18.8</v>
      </c>
      <c r="H58" s="16">
        <v>16</v>
      </c>
      <c r="I58" s="16"/>
      <c r="J5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58" s="22"/>
      <c r="L58" s="23"/>
      <c r="M58" s="23">
        <f>SUM(Tabela17468101214223032268161925273133362421012141618242628303840248101214162022262830323436242681012142461012242624426262826268102628623668101214[[#This Row],[Saldo no cartão]:[Recarga Pendente]])</f>
        <v>0</v>
      </c>
      <c r="N58" s="19">
        <f>Tabela17468101214223032268161925273133362421012141618242628303840248101214162022262830323436242681012142461012242624426262826268102628623668101214[[#This Row],[Uso diário]]*2</f>
        <v>37.6</v>
      </c>
      <c r="O58" s="19">
        <f>Tabela17468101214223032268161925273133362421012141618242628303840248101214162022262830323436242681012142461012242624426262826268102628623668101214[[#This Row],[Total Acumulado]]-P58</f>
        <v>-94</v>
      </c>
      <c r="P58" s="48">
        <f>Tabela17468101214223032268161925273133362421012141618242628303840248101214162022262830323436242681012142461012242624426262826268102628623668101214[[#This Row],[Uso diário]]*5</f>
        <v>94</v>
      </c>
      <c r="Q5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5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8" s="25">
        <v>5</v>
      </c>
    </row>
    <row r="59" spans="1:20" s="26" customFormat="1" x14ac:dyDescent="0.25">
      <c r="A59" s="16">
        <v>233547</v>
      </c>
      <c r="B59" s="30" t="s">
        <v>1070</v>
      </c>
      <c r="C59" s="20" t="s">
        <v>651</v>
      </c>
      <c r="D59" s="20" t="s">
        <v>716</v>
      </c>
      <c r="E59" s="20" t="s">
        <v>2657</v>
      </c>
      <c r="F59" s="20" t="s">
        <v>2658</v>
      </c>
      <c r="G59" s="21">
        <v>13.4</v>
      </c>
      <c r="H59" s="16">
        <v>16</v>
      </c>
      <c r="I59" s="16">
        <v>3</v>
      </c>
      <c r="J5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174.20000000000002</v>
      </c>
      <c r="K59" s="22"/>
      <c r="L59" s="23"/>
      <c r="M59" s="23">
        <f>SUM(Tabela17468101214223032268161925273133362421012141618242628303840248101214162022262830323436242681012142461012242624426262826268102628623668101214[[#This Row],[Saldo no cartão]:[Recarga Pendente]])</f>
        <v>0</v>
      </c>
      <c r="N59" s="19">
        <f>Tabela17468101214223032268161925273133362421012141618242628303840248101214162022262830323436242681012142461012242624426262826268102628623668101214[[#This Row],[Uso diário]]*2</f>
        <v>26.8</v>
      </c>
      <c r="O59" s="19">
        <f>Tabela17468101214223032268161925273133362421012141618242628303840248101214162022262830323436242681012142461012242624426262826268102628623668101214[[#This Row],[Total Acumulado]]-P59</f>
        <v>-67</v>
      </c>
      <c r="P59" s="48">
        <f>Tabela17468101214223032268161925273133362421012141618242628303840248101214162022262830323436242681012142461012242624426262826268102628623668101214[[#This Row],[Uso diário]]*5</f>
        <v>67</v>
      </c>
      <c r="Q5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5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174.20000000000002</v>
      </c>
      <c r="S5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59" s="25">
        <v>5</v>
      </c>
    </row>
    <row r="60" spans="1:20" s="26" customFormat="1" x14ac:dyDescent="0.25">
      <c r="A60" s="16">
        <v>233566</v>
      </c>
      <c r="B60" s="30" t="s">
        <v>1071</v>
      </c>
      <c r="C60" s="20" t="s">
        <v>651</v>
      </c>
      <c r="D60" s="20" t="s">
        <v>716</v>
      </c>
      <c r="E60" s="20" t="s">
        <v>2659</v>
      </c>
      <c r="F60" s="20" t="s">
        <v>2660</v>
      </c>
      <c r="G60" s="21">
        <v>18.8</v>
      </c>
      <c r="H60" s="16">
        <v>16</v>
      </c>
      <c r="I60" s="16"/>
      <c r="J6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60" s="22"/>
      <c r="L60" s="23"/>
      <c r="M60" s="23">
        <f>SUM(Tabela17468101214223032268161925273133362421012141618242628303840248101214162022262830323436242681012142461012242624426262826268102628623668101214[[#This Row],[Saldo no cartão]:[Recarga Pendente]])</f>
        <v>0</v>
      </c>
      <c r="N60" s="19">
        <f>Tabela17468101214223032268161925273133362421012141618242628303840248101214162022262830323436242681012142461012242624426262826268102628623668101214[[#This Row],[Uso diário]]*2</f>
        <v>37.6</v>
      </c>
      <c r="O60" s="19">
        <f>Tabela17468101214223032268161925273133362421012141618242628303840248101214162022262830323436242681012142461012242624426262826268102628623668101214[[#This Row],[Total Acumulado]]-P60</f>
        <v>-94</v>
      </c>
      <c r="P60" s="48">
        <f>Tabela17468101214223032268161925273133362421012141618242628303840248101214162022262830323436242681012142461012242624426262826268102628623668101214[[#This Row],[Uso diário]]*5</f>
        <v>94</v>
      </c>
      <c r="Q6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6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0" s="25">
        <v>5</v>
      </c>
    </row>
    <row r="61" spans="1:20" s="26" customFormat="1" x14ac:dyDescent="0.25">
      <c r="A61" s="16">
        <v>233963</v>
      </c>
      <c r="B61" s="30" t="s">
        <v>1184</v>
      </c>
      <c r="C61" s="20" t="s">
        <v>651</v>
      </c>
      <c r="D61" s="20" t="s">
        <v>716</v>
      </c>
      <c r="E61" s="20" t="s">
        <v>2661</v>
      </c>
      <c r="F61" s="20" t="s">
        <v>2662</v>
      </c>
      <c r="G61" s="21">
        <v>18.8</v>
      </c>
      <c r="H61" s="16">
        <v>16</v>
      </c>
      <c r="I61" s="16"/>
      <c r="J6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61" s="22"/>
      <c r="L61" s="23"/>
      <c r="M61" s="23">
        <f>SUM(Tabela17468101214223032268161925273133362421012141618242628303840248101214162022262830323436242681012142461012242624426262826268102628623668101214[[#This Row],[Saldo no cartão]:[Recarga Pendente]])</f>
        <v>0</v>
      </c>
      <c r="N61" s="19">
        <f>Tabela17468101214223032268161925273133362421012141618242628303840248101214162022262830323436242681012142461012242624426262826268102628623668101214[[#This Row],[Uso diário]]*2</f>
        <v>37.6</v>
      </c>
      <c r="O61" s="19">
        <f>Tabela17468101214223032268161925273133362421012141618242628303840248101214162022262830323436242681012142461012242624426262826268102628623668101214[[#This Row],[Total Acumulado]]-P61</f>
        <v>-94</v>
      </c>
      <c r="P61" s="48">
        <f>Tabela17468101214223032268161925273133362421012141618242628303840248101214162022262830323436242681012142461012242624426262826268102628623668101214[[#This Row],[Uso diário]]*5</f>
        <v>94</v>
      </c>
      <c r="Q6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6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1" s="25">
        <v>5</v>
      </c>
    </row>
    <row r="62" spans="1:20" s="26" customFormat="1" x14ac:dyDescent="0.25">
      <c r="A62" s="16">
        <v>233990</v>
      </c>
      <c r="B62" s="30" t="s">
        <v>1185</v>
      </c>
      <c r="C62" s="20" t="s">
        <v>651</v>
      </c>
      <c r="D62" s="20" t="s">
        <v>716</v>
      </c>
      <c r="E62" s="20" t="s">
        <v>2663</v>
      </c>
      <c r="F62" s="20" t="s">
        <v>2664</v>
      </c>
      <c r="G62" s="21">
        <v>18.8</v>
      </c>
      <c r="H62" s="16">
        <v>16</v>
      </c>
      <c r="I62" s="16"/>
      <c r="J6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62" s="22"/>
      <c r="L62" s="23"/>
      <c r="M62" s="23">
        <f>SUM(Tabela17468101214223032268161925273133362421012141618242628303840248101214162022262830323436242681012142461012242624426262826268102628623668101214[[#This Row],[Saldo no cartão]:[Recarga Pendente]])</f>
        <v>0</v>
      </c>
      <c r="N62" s="19">
        <f>Tabela17468101214223032268161925273133362421012141618242628303840248101214162022262830323436242681012142461012242624426262826268102628623668101214[[#This Row],[Uso diário]]*2</f>
        <v>37.6</v>
      </c>
      <c r="O62" s="19">
        <f>Tabela17468101214223032268161925273133362421012141618242628303840248101214162022262830323436242681012142461012242624426262826268102628623668101214[[#This Row],[Total Acumulado]]-P62</f>
        <v>-94</v>
      </c>
      <c r="P62" s="48">
        <f>Tabela17468101214223032268161925273133362421012141618242628303840248101214162022262830323436242681012142461012242624426262826268102628623668101214[[#This Row],[Uso diário]]*5</f>
        <v>94</v>
      </c>
      <c r="Q6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6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2" s="25">
        <v>5</v>
      </c>
    </row>
    <row r="63" spans="1:20" s="26" customFormat="1" x14ac:dyDescent="0.25">
      <c r="A63" s="16">
        <v>234030</v>
      </c>
      <c r="B63" s="30" t="s">
        <v>1186</v>
      </c>
      <c r="C63" s="20" t="s">
        <v>651</v>
      </c>
      <c r="D63" s="20" t="s">
        <v>716</v>
      </c>
      <c r="E63" s="20" t="s">
        <v>2665</v>
      </c>
      <c r="F63" s="20" t="s">
        <v>2666</v>
      </c>
      <c r="G63" s="21">
        <v>18.8</v>
      </c>
      <c r="H63" s="16">
        <v>16</v>
      </c>
      <c r="I63" s="16">
        <v>5</v>
      </c>
      <c r="J6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206.8</v>
      </c>
      <c r="K63" s="22"/>
      <c r="L63" s="23"/>
      <c r="M63" s="23">
        <f>SUM(Tabela17468101214223032268161925273133362421012141618242628303840248101214162022262830323436242681012142461012242624426262826268102628623668101214[[#This Row],[Saldo no cartão]:[Recarga Pendente]])</f>
        <v>0</v>
      </c>
      <c r="N63" s="19">
        <f>Tabela17468101214223032268161925273133362421012141618242628303840248101214162022262830323436242681012142461012242624426262826268102628623668101214[[#This Row],[Uso diário]]*2</f>
        <v>37.6</v>
      </c>
      <c r="O63" s="19">
        <f>Tabela17468101214223032268161925273133362421012141618242628303840248101214162022262830323436242681012142461012242624426262826268102628623668101214[[#This Row],[Total Acumulado]]-P63</f>
        <v>-94</v>
      </c>
      <c r="P63" s="48">
        <f>Tabela17468101214223032268161925273133362421012141618242628303840248101214162022262830323436242681012142461012242624426262826268102628623668101214[[#This Row],[Uso diário]]*5</f>
        <v>94</v>
      </c>
      <c r="Q6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206.8</v>
      </c>
      <c r="S6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3" s="25">
        <v>5</v>
      </c>
    </row>
    <row r="64" spans="1:20" s="26" customFormat="1" x14ac:dyDescent="0.25">
      <c r="A64" s="16">
        <v>234126</v>
      </c>
      <c r="B64" s="30" t="s">
        <v>1187</v>
      </c>
      <c r="C64" s="20" t="s">
        <v>651</v>
      </c>
      <c r="D64" s="20" t="s">
        <v>716</v>
      </c>
      <c r="E64" s="20" t="s">
        <v>2667</v>
      </c>
      <c r="F64" s="20" t="s">
        <v>2668</v>
      </c>
      <c r="G64" s="21">
        <v>13.4</v>
      </c>
      <c r="H64" s="16">
        <v>16</v>
      </c>
      <c r="I64" s="16"/>
      <c r="J6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64" s="22"/>
      <c r="L64" s="23"/>
      <c r="M64" s="23">
        <f>SUM(Tabela17468101214223032268161925273133362421012141618242628303840248101214162022262830323436242681012142461012242624426262826268102628623668101214[[#This Row],[Saldo no cartão]:[Recarga Pendente]])</f>
        <v>0</v>
      </c>
      <c r="N64" s="19">
        <f>Tabela17468101214223032268161925273133362421012141618242628303840248101214162022262830323436242681012142461012242624426262826268102628623668101214[[#This Row],[Uso diário]]*2</f>
        <v>26.8</v>
      </c>
      <c r="O64" s="19">
        <f>Tabela17468101214223032268161925273133362421012141618242628303840248101214162022262830323436242681012142461012242624426262826268102628623668101214[[#This Row],[Total Acumulado]]-P64</f>
        <v>-67</v>
      </c>
      <c r="P64" s="48">
        <f>Tabela17468101214223032268161925273133362421012141618242628303840248101214162022262830323436242681012142461012242624426262826268102628623668101214[[#This Row],[Uso diário]]*5</f>
        <v>67</v>
      </c>
      <c r="Q6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6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4" s="25">
        <v>5</v>
      </c>
    </row>
    <row r="65" spans="1:20" s="26" customFormat="1" x14ac:dyDescent="0.25">
      <c r="A65" s="16">
        <v>234308</v>
      </c>
      <c r="B65" s="30" t="s">
        <v>1285</v>
      </c>
      <c r="C65" s="20" t="s">
        <v>651</v>
      </c>
      <c r="D65" s="20" t="s">
        <v>716</v>
      </c>
      <c r="E65" s="20" t="s">
        <v>2669</v>
      </c>
      <c r="F65" s="20" t="s">
        <v>2670</v>
      </c>
      <c r="G65" s="21">
        <v>18.8</v>
      </c>
      <c r="H65" s="16">
        <v>16</v>
      </c>
      <c r="I65" s="16">
        <v>1</v>
      </c>
      <c r="J6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282</v>
      </c>
      <c r="K65" s="22"/>
      <c r="L65" s="23"/>
      <c r="M65" s="23">
        <f>SUM(Tabela17468101214223032268161925273133362421012141618242628303840248101214162022262830323436242681012142461012242624426262826268102628623668101214[[#This Row],[Saldo no cartão]:[Recarga Pendente]])</f>
        <v>0</v>
      </c>
      <c r="N65" s="19">
        <f>Tabela17468101214223032268161925273133362421012141618242628303840248101214162022262830323436242681012142461012242624426262826268102628623668101214[[#This Row],[Uso diário]]*2</f>
        <v>37.6</v>
      </c>
      <c r="O65" s="19">
        <f>Tabela17468101214223032268161925273133362421012141618242628303840248101214162022262830323436242681012142461012242624426262826268102628623668101214[[#This Row],[Total Acumulado]]-P65</f>
        <v>-94</v>
      </c>
      <c r="P65" s="48">
        <f>Tabela17468101214223032268161925273133362421012141618242628303840248101214162022262830323436242681012142461012242624426262826268102628623668101214[[#This Row],[Uso diário]]*5</f>
        <v>94</v>
      </c>
      <c r="Q6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282</v>
      </c>
      <c r="S6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5" s="25">
        <v>5</v>
      </c>
    </row>
    <row r="66" spans="1:20" s="26" customFormat="1" x14ac:dyDescent="0.25">
      <c r="A66" s="16">
        <v>234443</v>
      </c>
      <c r="B66" s="30" t="s">
        <v>1286</v>
      </c>
      <c r="C66" s="20" t="s">
        <v>651</v>
      </c>
      <c r="D66" s="20" t="s">
        <v>716</v>
      </c>
      <c r="E66" s="20" t="s">
        <v>2671</v>
      </c>
      <c r="F66" s="20" t="s">
        <v>2672</v>
      </c>
      <c r="G66" s="21">
        <v>18.8</v>
      </c>
      <c r="H66" s="16">
        <v>16</v>
      </c>
      <c r="I66" s="16"/>
      <c r="J6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66" s="22"/>
      <c r="L66" s="23"/>
      <c r="M66" s="23">
        <f>SUM(Tabela17468101214223032268161925273133362421012141618242628303840248101214162022262830323436242681012142461012242624426262826268102628623668101214[[#This Row],[Saldo no cartão]:[Recarga Pendente]])</f>
        <v>0</v>
      </c>
      <c r="N66" s="19">
        <f>Tabela17468101214223032268161925273133362421012141618242628303840248101214162022262830323436242681012142461012242624426262826268102628623668101214[[#This Row],[Uso diário]]*2</f>
        <v>37.6</v>
      </c>
      <c r="O66" s="19">
        <f>Tabela17468101214223032268161925273133362421012141618242628303840248101214162022262830323436242681012142461012242624426262826268102628623668101214[[#This Row],[Total Acumulado]]-P66</f>
        <v>-94</v>
      </c>
      <c r="P66" s="48">
        <f>Tabela17468101214223032268161925273133362421012141618242628303840248101214162022262830323436242681012142461012242624426262826268102628623668101214[[#This Row],[Uso diário]]*5</f>
        <v>94</v>
      </c>
      <c r="Q6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300.8</v>
      </c>
      <c r="S6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6" s="25">
        <v>5</v>
      </c>
    </row>
    <row r="67" spans="1:20" s="26" customFormat="1" x14ac:dyDescent="0.25">
      <c r="A67" s="16">
        <v>234576</v>
      </c>
      <c r="B67" s="30" t="s">
        <v>1312</v>
      </c>
      <c r="C67" s="20" t="s">
        <v>651</v>
      </c>
      <c r="D67" s="20" t="s">
        <v>716</v>
      </c>
      <c r="E67" s="20" t="s">
        <v>2673</v>
      </c>
      <c r="F67" s="20" t="s">
        <v>2674</v>
      </c>
      <c r="G67" s="21">
        <v>18.8</v>
      </c>
      <c r="H67" s="16">
        <v>26</v>
      </c>
      <c r="I67" s="16"/>
      <c r="J6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67" s="22"/>
      <c r="L67" s="23"/>
      <c r="M67" s="23">
        <f>SUM(Tabela17468101214223032268161925273133362421012141618242628303840248101214162022262830323436242681012142461012242624426262826268102628623668101214[[#This Row],[Saldo no cartão]:[Recarga Pendente]])</f>
        <v>0</v>
      </c>
      <c r="N67" s="19">
        <f>Tabela17468101214223032268161925273133362421012141618242628303840248101214162022262830323436242681012142461012242624426262826268102628623668101214[[#This Row],[Uso diário]]*2</f>
        <v>37.6</v>
      </c>
      <c r="O67" s="19">
        <f>Tabela17468101214223032268161925273133362421012141618242628303840248101214162022262830323436242681012142461012242624426262826268102628623668101214[[#This Row],[Total Acumulado]]-P67</f>
        <v>-94</v>
      </c>
      <c r="P67" s="48">
        <f>Tabela17468101214223032268161925273133362421012141618242628303840248101214162022262830323436242681012142461012242624426262826268102628623668101214[[#This Row],[Uso diário]]*5</f>
        <v>94</v>
      </c>
      <c r="Q6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6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7" s="25">
        <v>5</v>
      </c>
    </row>
    <row r="68" spans="1:20" s="26" customFormat="1" x14ac:dyDescent="0.25">
      <c r="A68" s="16">
        <v>234644</v>
      </c>
      <c r="B68" s="30" t="s">
        <v>1313</v>
      </c>
      <c r="C68" s="20" t="s">
        <v>651</v>
      </c>
      <c r="D68" s="20" t="s">
        <v>716</v>
      </c>
      <c r="E68" s="20" t="s">
        <v>2675</v>
      </c>
      <c r="F68" s="20" t="s">
        <v>2676</v>
      </c>
      <c r="G68" s="21">
        <v>18.8</v>
      </c>
      <c r="H68" s="16">
        <v>16</v>
      </c>
      <c r="I68" s="16"/>
      <c r="J6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300.8</v>
      </c>
      <c r="K68" s="22"/>
      <c r="L68" s="23">
        <v>282</v>
      </c>
      <c r="M68" s="23">
        <f>SUM(Tabela17468101214223032268161925273133362421012141618242628303840248101214162022262830323436242681012142461012242624426262826268102628623668101214[[#This Row],[Saldo no cartão]:[Recarga Pendente]])</f>
        <v>282</v>
      </c>
      <c r="N68" s="19">
        <f>Tabela17468101214223032268161925273133362421012141618242628303840248101214162022262830323436242681012142461012242624426262826268102628623668101214[[#This Row],[Uso diário]]*2</f>
        <v>37.6</v>
      </c>
      <c r="O68" s="19">
        <f>Tabela17468101214223032268161925273133362421012141618242628303840248101214162022262830323436242681012142461012242624426262826268102628623668101214[[#This Row],[Total Acumulado]]-P68</f>
        <v>188</v>
      </c>
      <c r="P68" s="48">
        <f>Tabela17468101214223032268161925273133362421012141618242628303840248101214162022262830323436242681012142461012242624426262826268102628623668101214[[#This Row],[Uso diário]]*5</f>
        <v>94</v>
      </c>
      <c r="Q6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188</v>
      </c>
      <c r="R6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112.80000000000001</v>
      </c>
      <c r="S68" s="18" t="s">
        <v>11</v>
      </c>
      <c r="T68" s="25">
        <v>5</v>
      </c>
    </row>
    <row r="69" spans="1:20" s="26" customFormat="1" x14ac:dyDescent="0.25">
      <c r="A69" s="16">
        <v>234717</v>
      </c>
      <c r="B69" s="30" t="s">
        <v>1357</v>
      </c>
      <c r="C69" s="20" t="s">
        <v>651</v>
      </c>
      <c r="D69" s="20" t="s">
        <v>716</v>
      </c>
      <c r="E69" s="20" t="s">
        <v>2677</v>
      </c>
      <c r="F69" s="20" t="s">
        <v>2678</v>
      </c>
      <c r="G69" s="21">
        <v>13.4</v>
      </c>
      <c r="H69" s="16">
        <v>16</v>
      </c>
      <c r="I69" s="16"/>
      <c r="J6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214.4</v>
      </c>
      <c r="K69" s="22"/>
      <c r="L69" s="23"/>
      <c r="M69" s="23">
        <f>SUM(Tabela17468101214223032268161925273133362421012141618242628303840248101214162022262830323436242681012142461012242624426262826268102628623668101214[[#This Row],[Saldo no cartão]:[Recarga Pendente]])</f>
        <v>0</v>
      </c>
      <c r="N69" s="19">
        <f>Tabela17468101214223032268161925273133362421012141618242628303840248101214162022262830323436242681012142461012242624426262826268102628623668101214[[#This Row],[Uso diário]]*2</f>
        <v>26.8</v>
      </c>
      <c r="O69" s="19">
        <f>Tabela17468101214223032268161925273133362421012141618242628303840248101214162022262830323436242681012142461012242624426262826268102628623668101214[[#This Row],[Total Acumulado]]-P69</f>
        <v>-67</v>
      </c>
      <c r="P69" s="48">
        <f>Tabela17468101214223032268161925273133362421012141618242628303840248101214162022262830323436242681012142461012242624426262826268102628623668101214[[#This Row],[Uso diário]]*5</f>
        <v>67</v>
      </c>
      <c r="Q6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6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214.4</v>
      </c>
      <c r="S6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69" s="25">
        <v>5</v>
      </c>
    </row>
    <row r="70" spans="1:20" s="26" customFormat="1" ht="22.5" x14ac:dyDescent="0.25">
      <c r="A70" s="16">
        <v>234984</v>
      </c>
      <c r="B70" s="30" t="s">
        <v>1453</v>
      </c>
      <c r="C70" s="20" t="s">
        <v>651</v>
      </c>
      <c r="D70" s="20" t="s">
        <v>719</v>
      </c>
      <c r="E70" s="20">
        <v>0</v>
      </c>
      <c r="F70" s="20" t="s">
        <v>4181</v>
      </c>
      <c r="G70" s="21">
        <v>18.8</v>
      </c>
      <c r="H70" s="16">
        <v>0</v>
      </c>
      <c r="I70" s="16"/>
      <c r="J7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0</v>
      </c>
      <c r="K70" s="22"/>
      <c r="L70" s="23"/>
      <c r="M70" s="23">
        <f>SUM(Tabela17468101214223032268161925273133362421012141618242628303840248101214162022262830323436242681012142461012242624426262826268102628623668101214[[#This Row],[Saldo no cartão]:[Recarga Pendente]])</f>
        <v>0</v>
      </c>
      <c r="N70" s="19">
        <f>Tabela17468101214223032268161925273133362421012141618242628303840248101214162022262830323436242681012142461012242624426262826268102628623668101214[[#This Row],[Uso diário]]*2</f>
        <v>37.6</v>
      </c>
      <c r="O70" s="19">
        <f>Tabela17468101214223032268161925273133362421012141618242628303840248101214162022262830323436242681012142461012242624426262826268102628623668101214[[#This Row],[Total Acumulado]]-P70</f>
        <v>-94</v>
      </c>
      <c r="P70" s="48">
        <f>Tabela17468101214223032268161925273133362421012141618242628303840248101214162022262830323436242681012142461012242624426262826268102628623668101214[[#This Row],[Uso diário]]*5</f>
        <v>94</v>
      </c>
      <c r="Q7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0</v>
      </c>
      <c r="S70" s="18" t="str">
        <f>IF(Tabela17468101214223032268161925273133362421012141618242628303840248101214162022262830323436242681012142461012242624426262826268102628623668101214[[#This Row],[Pedido Final]]=0,"NÃO EFETUAR RECARGA","RECARGA NORMAL")</f>
        <v>NÃO EFETUAR RECARGA</v>
      </c>
      <c r="T70" s="25">
        <v>5</v>
      </c>
    </row>
    <row r="71" spans="1:20" s="26" customFormat="1" x14ac:dyDescent="0.25">
      <c r="A71" s="16">
        <v>100218</v>
      </c>
      <c r="B71" s="30" t="s">
        <v>283</v>
      </c>
      <c r="C71" s="20" t="s">
        <v>657</v>
      </c>
      <c r="D71" s="20" t="s">
        <v>742</v>
      </c>
      <c r="E71" s="20" t="s">
        <v>2679</v>
      </c>
      <c r="F71" s="20" t="s">
        <v>2680</v>
      </c>
      <c r="G71" s="21">
        <v>35</v>
      </c>
      <c r="H71" s="16">
        <v>26</v>
      </c>
      <c r="I71" s="16">
        <v>1</v>
      </c>
      <c r="J7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875</v>
      </c>
      <c r="K71" s="22"/>
      <c r="L71" s="23"/>
      <c r="M71" s="23">
        <f>SUM(Tabela17468101214223032268161925273133362421012141618242628303840248101214162022262830323436242681012142461012242624426262826268102628623668101214[[#This Row],[Saldo no cartão]:[Recarga Pendente]])</f>
        <v>0</v>
      </c>
      <c r="N71" s="19">
        <f>Tabela17468101214223032268161925273133362421012141618242628303840248101214162022262830323436242681012142461012242624426262826268102628623668101214[[#This Row],[Uso diário]]*2</f>
        <v>70</v>
      </c>
      <c r="O71" s="19">
        <f>Tabela17468101214223032268161925273133362421012141618242628303840248101214162022262830323436242681012142461012242624426262826268102628623668101214[[#This Row],[Total Acumulado]]-P71</f>
        <v>-175</v>
      </c>
      <c r="P71" s="48">
        <f>Tabela17468101214223032268161925273133362421012141618242628303840248101214162022262830323436242681012142461012242624426262826268102628623668101214[[#This Row],[Uso diário]]*5</f>
        <v>175</v>
      </c>
      <c r="Q7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875</v>
      </c>
      <c r="S7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1" s="25">
        <v>5</v>
      </c>
    </row>
    <row r="72" spans="1:20" s="26" customFormat="1" x14ac:dyDescent="0.25">
      <c r="A72" s="16">
        <v>4179</v>
      </c>
      <c r="B72" s="30" t="s">
        <v>285</v>
      </c>
      <c r="C72" s="20" t="s">
        <v>635</v>
      </c>
      <c r="D72" s="20" t="s">
        <v>698</v>
      </c>
      <c r="E72" s="20" t="s">
        <v>2681</v>
      </c>
      <c r="F72" s="20" t="s">
        <v>2682</v>
      </c>
      <c r="G72" s="21">
        <v>18.8</v>
      </c>
      <c r="H72" s="16">
        <v>26</v>
      </c>
      <c r="I72" s="16"/>
      <c r="J7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72" s="22"/>
      <c r="L72" s="23"/>
      <c r="M72" s="23">
        <f>SUM(Tabela17468101214223032268161925273133362421012141618242628303840248101214162022262830323436242681012142461012242624426262826268102628623668101214[[#This Row],[Saldo no cartão]:[Recarga Pendente]])</f>
        <v>0</v>
      </c>
      <c r="N72" s="19">
        <f>Tabela17468101214223032268161925273133362421012141618242628303840248101214162022262830323436242681012142461012242624426262826268102628623668101214[[#This Row],[Uso diário]]*2</f>
        <v>37.6</v>
      </c>
      <c r="O72" s="19">
        <f>Tabela17468101214223032268161925273133362421012141618242628303840248101214162022262830323436242681012142461012242624426262826268102628623668101214[[#This Row],[Total Acumulado]]-P72</f>
        <v>-94</v>
      </c>
      <c r="P72" s="48">
        <f>Tabela17468101214223032268161925273133362421012141618242628303840248101214162022262830323436242681012142461012242624426262826268102628623668101214[[#This Row],[Uso diário]]*5</f>
        <v>94</v>
      </c>
      <c r="Q7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7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2" s="25">
        <v>5</v>
      </c>
    </row>
    <row r="73" spans="1:20" s="26" customFormat="1" x14ac:dyDescent="0.25">
      <c r="A73" s="16">
        <v>5126</v>
      </c>
      <c r="B73" s="30" t="s">
        <v>1454</v>
      </c>
      <c r="C73" s="20" t="s">
        <v>635</v>
      </c>
      <c r="D73" s="20" t="s">
        <v>689</v>
      </c>
      <c r="E73" s="20" t="s">
        <v>2683</v>
      </c>
      <c r="F73" s="20" t="s">
        <v>2684</v>
      </c>
      <c r="G73" s="21">
        <v>18.8</v>
      </c>
      <c r="H73" s="16">
        <v>22</v>
      </c>
      <c r="I73" s="16"/>
      <c r="J7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413.6</v>
      </c>
      <c r="K73" s="22"/>
      <c r="L73" s="23"/>
      <c r="M73" s="23">
        <f>SUM(Tabela17468101214223032268161925273133362421012141618242628303840248101214162022262830323436242681012142461012242624426262826268102628623668101214[[#This Row],[Saldo no cartão]:[Recarga Pendente]])</f>
        <v>0</v>
      </c>
      <c r="N73" s="19">
        <f>Tabela17468101214223032268161925273133362421012141618242628303840248101214162022262830323436242681012142461012242624426262826268102628623668101214[[#This Row],[Uso diário]]*2</f>
        <v>37.6</v>
      </c>
      <c r="O73" s="19">
        <f>Tabela17468101214223032268161925273133362421012141618242628303840248101214162022262830323436242681012142461012242624426262826268102628623668101214[[#This Row],[Total Acumulado]]-P73</f>
        <v>-94</v>
      </c>
      <c r="P73" s="48">
        <f>Tabela17468101214223032268161925273133362421012141618242628303840248101214162022262830323436242681012142461012242624426262826268102628623668101214[[#This Row],[Uso diário]]*5</f>
        <v>94</v>
      </c>
      <c r="Q7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413.6</v>
      </c>
      <c r="S7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3" s="25">
        <v>5</v>
      </c>
    </row>
    <row r="74" spans="1:20" s="26" customFormat="1" x14ac:dyDescent="0.25">
      <c r="A74" s="16">
        <v>218201</v>
      </c>
      <c r="B74" s="30" t="s">
        <v>286</v>
      </c>
      <c r="C74" s="20" t="s">
        <v>635</v>
      </c>
      <c r="D74" s="20" t="s">
        <v>689</v>
      </c>
      <c r="E74" s="20" t="s">
        <v>2685</v>
      </c>
      <c r="F74" s="20" t="s">
        <v>2686</v>
      </c>
      <c r="G74" s="21">
        <v>18.8</v>
      </c>
      <c r="H74" s="16">
        <v>22</v>
      </c>
      <c r="I74" s="16"/>
      <c r="J7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413.6</v>
      </c>
      <c r="K74" s="22"/>
      <c r="L74" s="23"/>
      <c r="M74" s="23">
        <f>SUM(Tabela17468101214223032268161925273133362421012141618242628303840248101214162022262830323436242681012142461012242624426262826268102628623668101214[[#This Row],[Saldo no cartão]:[Recarga Pendente]])</f>
        <v>0</v>
      </c>
      <c r="N74" s="19">
        <f>Tabela17468101214223032268161925273133362421012141618242628303840248101214162022262830323436242681012142461012242624426262826268102628623668101214[[#This Row],[Uso diário]]*2</f>
        <v>37.6</v>
      </c>
      <c r="O74" s="19">
        <f>Tabela17468101214223032268161925273133362421012141618242628303840248101214162022262830323436242681012142461012242624426262826268102628623668101214[[#This Row],[Total Acumulado]]-P74</f>
        <v>-94</v>
      </c>
      <c r="P74" s="48">
        <f>Tabela17468101214223032268161925273133362421012141618242628303840248101214162022262830323436242681012142461012242624426262826268102628623668101214[[#This Row],[Uso diário]]*5</f>
        <v>94</v>
      </c>
      <c r="Q7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413.6</v>
      </c>
      <c r="S7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4" s="25">
        <v>5</v>
      </c>
    </row>
    <row r="75" spans="1:20" s="26" customFormat="1" x14ac:dyDescent="0.25">
      <c r="A75" s="16">
        <v>230264</v>
      </c>
      <c r="B75" s="30" t="s">
        <v>287</v>
      </c>
      <c r="C75" s="20" t="s">
        <v>636</v>
      </c>
      <c r="D75" s="20" t="s">
        <v>729</v>
      </c>
      <c r="E75" s="20" t="s">
        <v>2687</v>
      </c>
      <c r="F75" s="20" t="s">
        <v>2688</v>
      </c>
      <c r="G75" s="21">
        <v>25.5</v>
      </c>
      <c r="H75" s="16">
        <v>22</v>
      </c>
      <c r="I75" s="16">
        <v>15</v>
      </c>
      <c r="J7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178.5</v>
      </c>
      <c r="K75" s="22"/>
      <c r="L75" s="23"/>
      <c r="M75" s="23">
        <f>SUM(Tabela17468101214223032268161925273133362421012141618242628303840248101214162022262830323436242681012142461012242624426262826268102628623668101214[[#This Row],[Saldo no cartão]:[Recarga Pendente]])</f>
        <v>0</v>
      </c>
      <c r="N75" s="19">
        <f>Tabela17468101214223032268161925273133362421012141618242628303840248101214162022262830323436242681012142461012242624426262826268102628623668101214[[#This Row],[Uso diário]]*2</f>
        <v>51</v>
      </c>
      <c r="O75" s="19">
        <f>Tabela17468101214223032268161925273133362421012141618242628303840248101214162022262830323436242681012142461012242624426262826268102628623668101214[[#This Row],[Total Acumulado]]-P75</f>
        <v>-127.5</v>
      </c>
      <c r="P75" s="48">
        <f>Tabela17468101214223032268161925273133362421012141618242628303840248101214162022262830323436242681012142461012242624426262826268102628623668101214[[#This Row],[Uso diário]]*5</f>
        <v>127.5</v>
      </c>
      <c r="Q7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178.5</v>
      </c>
      <c r="S7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5" s="25">
        <v>5</v>
      </c>
    </row>
    <row r="76" spans="1:20" s="26" customFormat="1" x14ac:dyDescent="0.25">
      <c r="A76" s="16">
        <v>234081</v>
      </c>
      <c r="B76" s="30" t="s">
        <v>1188</v>
      </c>
      <c r="C76" s="20" t="s">
        <v>636</v>
      </c>
      <c r="D76" s="20" t="s">
        <v>729</v>
      </c>
      <c r="E76" s="20" t="s">
        <v>2689</v>
      </c>
      <c r="F76" s="20" t="s">
        <v>2690</v>
      </c>
      <c r="G76" s="21">
        <v>18.8</v>
      </c>
      <c r="H76" s="16">
        <v>22</v>
      </c>
      <c r="I76" s="16">
        <v>3</v>
      </c>
      <c r="J7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357.2</v>
      </c>
      <c r="K76" s="22"/>
      <c r="L76" s="23"/>
      <c r="M76" s="23">
        <f>SUM(Tabela17468101214223032268161925273133362421012141618242628303840248101214162022262830323436242681012142461012242624426262826268102628623668101214[[#This Row],[Saldo no cartão]:[Recarga Pendente]])</f>
        <v>0</v>
      </c>
      <c r="N76" s="19">
        <f>Tabela17468101214223032268161925273133362421012141618242628303840248101214162022262830323436242681012142461012242624426262826268102628623668101214[[#This Row],[Uso diário]]*2</f>
        <v>37.6</v>
      </c>
      <c r="O76" s="19">
        <f>Tabela17468101214223032268161925273133362421012141618242628303840248101214162022262830323436242681012142461012242624426262826268102628623668101214[[#This Row],[Total Acumulado]]-P76</f>
        <v>-94</v>
      </c>
      <c r="P76" s="48">
        <f>Tabela17468101214223032268161925273133362421012141618242628303840248101214162022262830323436242681012142461012242624426262826268102628623668101214[[#This Row],[Uso diário]]*5</f>
        <v>94</v>
      </c>
      <c r="Q7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357.2</v>
      </c>
      <c r="S7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6" s="25">
        <v>5</v>
      </c>
    </row>
    <row r="77" spans="1:20" s="26" customFormat="1" x14ac:dyDescent="0.25">
      <c r="A77" s="16">
        <v>234082</v>
      </c>
      <c r="B77" s="30" t="s">
        <v>1189</v>
      </c>
      <c r="C77" s="20" t="s">
        <v>636</v>
      </c>
      <c r="D77" s="20" t="s">
        <v>729</v>
      </c>
      <c r="E77" s="20" t="s">
        <v>2691</v>
      </c>
      <c r="F77" s="20" t="s">
        <v>2692</v>
      </c>
      <c r="G77" s="21">
        <v>9.4</v>
      </c>
      <c r="H77" s="16">
        <v>22</v>
      </c>
      <c r="I77" s="16">
        <v>5</v>
      </c>
      <c r="J7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159.80000000000001</v>
      </c>
      <c r="K77" s="22"/>
      <c r="L77" s="23"/>
      <c r="M77" s="23">
        <f>SUM(Tabela17468101214223032268161925273133362421012141618242628303840248101214162022262830323436242681012142461012242624426262826268102628623668101214[[#This Row],[Saldo no cartão]:[Recarga Pendente]])</f>
        <v>0</v>
      </c>
      <c r="N77" s="19">
        <f>Tabela17468101214223032268161925273133362421012141618242628303840248101214162022262830323436242681012142461012242624426262826268102628623668101214[[#This Row],[Uso diário]]*2</f>
        <v>18.8</v>
      </c>
      <c r="O77" s="19">
        <f>Tabela17468101214223032268161925273133362421012141618242628303840248101214162022262830323436242681012142461012242624426262826268102628623668101214[[#This Row],[Total Acumulado]]-P77</f>
        <v>-47</v>
      </c>
      <c r="P77" s="48">
        <f>Tabela17468101214223032268161925273133362421012141618242628303840248101214162022262830323436242681012142461012242624426262826268102628623668101214[[#This Row],[Uso diário]]*5</f>
        <v>47</v>
      </c>
      <c r="Q7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159.80000000000001</v>
      </c>
      <c r="S7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7" s="25">
        <v>5</v>
      </c>
    </row>
    <row r="78" spans="1:20" s="26" customFormat="1" x14ac:dyDescent="0.25">
      <c r="A78" s="16">
        <v>234083</v>
      </c>
      <c r="B78" s="30" t="s">
        <v>1190</v>
      </c>
      <c r="C78" s="20" t="s">
        <v>636</v>
      </c>
      <c r="D78" s="20" t="s">
        <v>729</v>
      </c>
      <c r="E78" s="20" t="s">
        <v>2693</v>
      </c>
      <c r="F78" s="20" t="s">
        <v>2694</v>
      </c>
      <c r="G78" s="21">
        <v>9.4</v>
      </c>
      <c r="H78" s="16">
        <v>22</v>
      </c>
      <c r="I78" s="16">
        <v>4</v>
      </c>
      <c r="J7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169.20000000000002</v>
      </c>
      <c r="K78" s="22"/>
      <c r="L78" s="23"/>
      <c r="M78" s="23">
        <f>SUM(Tabela17468101214223032268161925273133362421012141618242628303840248101214162022262830323436242681012142461012242624426262826268102628623668101214[[#This Row],[Saldo no cartão]:[Recarga Pendente]])</f>
        <v>0</v>
      </c>
      <c r="N78" s="19">
        <f>Tabela17468101214223032268161925273133362421012141618242628303840248101214162022262830323436242681012142461012242624426262826268102628623668101214[[#This Row],[Uso diário]]*2</f>
        <v>18.8</v>
      </c>
      <c r="O78" s="19">
        <f>Tabela17468101214223032268161925273133362421012141618242628303840248101214162022262830323436242681012142461012242624426262826268102628623668101214[[#This Row],[Total Acumulado]]-P78</f>
        <v>-47</v>
      </c>
      <c r="P78" s="48">
        <f>Tabela17468101214223032268161925273133362421012141618242628303840248101214162022262830323436242681012142461012242624426262826268102628623668101214[[#This Row],[Uso diário]]*5</f>
        <v>47</v>
      </c>
      <c r="Q7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169.20000000000002</v>
      </c>
      <c r="S7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8" s="25">
        <v>5</v>
      </c>
    </row>
    <row r="79" spans="1:20" s="26" customFormat="1" x14ac:dyDescent="0.25">
      <c r="A79" s="16">
        <v>234085</v>
      </c>
      <c r="B79" s="30" t="s">
        <v>1191</v>
      </c>
      <c r="C79" s="20" t="s">
        <v>636</v>
      </c>
      <c r="D79" s="20" t="s">
        <v>729</v>
      </c>
      <c r="E79" s="20" t="s">
        <v>2695</v>
      </c>
      <c r="F79" s="20" t="s">
        <v>2696</v>
      </c>
      <c r="G79" s="21">
        <v>18.8</v>
      </c>
      <c r="H79" s="16">
        <v>22</v>
      </c>
      <c r="I79" s="16">
        <v>2</v>
      </c>
      <c r="J7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376</v>
      </c>
      <c r="K79" s="22"/>
      <c r="L79" s="23"/>
      <c r="M79" s="23">
        <f>SUM(Tabela17468101214223032268161925273133362421012141618242628303840248101214162022262830323436242681012142461012242624426262826268102628623668101214[[#This Row],[Saldo no cartão]:[Recarga Pendente]])</f>
        <v>0</v>
      </c>
      <c r="N79" s="19">
        <f>Tabela17468101214223032268161925273133362421012141618242628303840248101214162022262830323436242681012142461012242624426262826268102628623668101214[[#This Row],[Uso diário]]*2</f>
        <v>37.6</v>
      </c>
      <c r="O79" s="19">
        <f>Tabela17468101214223032268161925273133362421012141618242628303840248101214162022262830323436242681012142461012242624426262826268102628623668101214[[#This Row],[Total Acumulado]]-P79</f>
        <v>-94</v>
      </c>
      <c r="P79" s="48">
        <f>Tabela17468101214223032268161925273133362421012141618242628303840248101214162022262830323436242681012142461012242624426262826268102628623668101214[[#This Row],[Uso diário]]*5</f>
        <v>94</v>
      </c>
      <c r="Q7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7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376</v>
      </c>
      <c r="S7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79" s="25">
        <v>5</v>
      </c>
    </row>
    <row r="80" spans="1:20" s="26" customFormat="1" x14ac:dyDescent="0.25">
      <c r="A80" s="16">
        <v>234086</v>
      </c>
      <c r="B80" s="30" t="s">
        <v>1192</v>
      </c>
      <c r="C80" s="20" t="s">
        <v>636</v>
      </c>
      <c r="D80" s="20" t="s">
        <v>729</v>
      </c>
      <c r="E80" s="20" t="s">
        <v>2697</v>
      </c>
      <c r="F80" s="20" t="s">
        <v>2698</v>
      </c>
      <c r="G80" s="21">
        <v>9.4</v>
      </c>
      <c r="H80" s="16">
        <v>22</v>
      </c>
      <c r="I80" s="16">
        <v>2</v>
      </c>
      <c r="J8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188</v>
      </c>
      <c r="K80" s="22"/>
      <c r="L80" s="23"/>
      <c r="M80" s="23">
        <f>SUM(Tabela17468101214223032268161925273133362421012141618242628303840248101214162022262830323436242681012142461012242624426262826268102628623668101214[[#This Row],[Saldo no cartão]:[Recarga Pendente]])</f>
        <v>0</v>
      </c>
      <c r="N80" s="19">
        <f>Tabela17468101214223032268161925273133362421012141618242628303840248101214162022262830323436242681012142461012242624426262826268102628623668101214[[#This Row],[Uso diário]]*2</f>
        <v>18.8</v>
      </c>
      <c r="O80" s="19">
        <f>Tabela17468101214223032268161925273133362421012141618242628303840248101214162022262830323436242681012142461012242624426262826268102628623668101214[[#This Row],[Total Acumulado]]-P80</f>
        <v>-47</v>
      </c>
      <c r="P80" s="48">
        <f>Tabela17468101214223032268161925273133362421012141618242628303840248101214162022262830323436242681012142461012242624426262826268102628623668101214[[#This Row],[Uso diário]]*5</f>
        <v>47</v>
      </c>
      <c r="Q8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188</v>
      </c>
      <c r="S8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0" s="25">
        <v>5</v>
      </c>
    </row>
    <row r="81" spans="1:20" s="26" customFormat="1" x14ac:dyDescent="0.25">
      <c r="A81" s="16">
        <v>234823</v>
      </c>
      <c r="B81" s="30" t="s">
        <v>1358</v>
      </c>
      <c r="C81" s="20" t="s">
        <v>636</v>
      </c>
      <c r="D81" s="20" t="s">
        <v>729</v>
      </c>
      <c r="E81" s="20" t="s">
        <v>2699</v>
      </c>
      <c r="F81" s="20" t="s">
        <v>2700</v>
      </c>
      <c r="G81" s="21">
        <v>9.4</v>
      </c>
      <c r="H81" s="16">
        <v>22</v>
      </c>
      <c r="I81" s="16"/>
      <c r="J8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206.8</v>
      </c>
      <c r="K81" s="22"/>
      <c r="L81" s="23"/>
      <c r="M81" s="23">
        <f>SUM(Tabela17468101214223032268161925273133362421012141618242628303840248101214162022262830323436242681012142461012242624426262826268102628623668101214[[#This Row],[Saldo no cartão]:[Recarga Pendente]])</f>
        <v>0</v>
      </c>
      <c r="N81" s="19">
        <f>Tabela17468101214223032268161925273133362421012141618242628303840248101214162022262830323436242681012142461012242624426262826268102628623668101214[[#This Row],[Uso diário]]*2</f>
        <v>18.8</v>
      </c>
      <c r="O81" s="19">
        <f>Tabela17468101214223032268161925273133362421012141618242628303840248101214162022262830323436242681012142461012242624426262826268102628623668101214[[#This Row],[Total Acumulado]]-P81</f>
        <v>-47</v>
      </c>
      <c r="P81" s="48">
        <f>Tabela17468101214223032268161925273133362421012141618242628303840248101214162022262830323436242681012142461012242624426262826268102628623668101214[[#This Row],[Uso diário]]*5</f>
        <v>47</v>
      </c>
      <c r="Q8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206.8</v>
      </c>
      <c r="S8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1" s="25">
        <v>5</v>
      </c>
    </row>
    <row r="82" spans="1:20" s="26" customFormat="1" x14ac:dyDescent="0.25">
      <c r="A82" s="16">
        <v>234824</v>
      </c>
      <c r="B82" s="30" t="s">
        <v>1359</v>
      </c>
      <c r="C82" s="20" t="s">
        <v>636</v>
      </c>
      <c r="D82" s="20" t="s">
        <v>729</v>
      </c>
      <c r="E82" s="20" t="s">
        <v>2701</v>
      </c>
      <c r="F82" s="20" t="s">
        <v>2702</v>
      </c>
      <c r="G82" s="21">
        <v>16.100000000000001</v>
      </c>
      <c r="H82" s="16">
        <v>22</v>
      </c>
      <c r="I82" s="16"/>
      <c r="J8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354.20000000000005</v>
      </c>
      <c r="K82" s="22"/>
      <c r="L82" s="23"/>
      <c r="M82" s="23">
        <f>SUM(Tabela17468101214223032268161925273133362421012141618242628303840248101214162022262830323436242681012142461012242624426262826268102628623668101214[[#This Row],[Saldo no cartão]:[Recarga Pendente]])</f>
        <v>0</v>
      </c>
      <c r="N82" s="19">
        <f>Tabela17468101214223032268161925273133362421012141618242628303840248101214162022262830323436242681012142461012242624426262826268102628623668101214[[#This Row],[Uso diário]]*2</f>
        <v>32.200000000000003</v>
      </c>
      <c r="O82" s="19">
        <f>Tabela17468101214223032268161925273133362421012141618242628303840248101214162022262830323436242681012142461012242624426262826268102628623668101214[[#This Row],[Total Acumulado]]-P82</f>
        <v>-80.5</v>
      </c>
      <c r="P82" s="48">
        <f>Tabela17468101214223032268161925273133362421012141618242628303840248101214162022262830323436242681012142461012242624426262826268102628623668101214[[#This Row],[Uso diário]]*5</f>
        <v>80.5</v>
      </c>
      <c r="Q8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354.20000000000005</v>
      </c>
      <c r="S8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2" s="25">
        <v>5</v>
      </c>
    </row>
    <row r="83" spans="1:20" s="26" customFormat="1" x14ac:dyDescent="0.25">
      <c r="A83" s="16">
        <v>234825</v>
      </c>
      <c r="B83" s="30" t="s">
        <v>1360</v>
      </c>
      <c r="C83" s="20" t="s">
        <v>636</v>
      </c>
      <c r="D83" s="20" t="s">
        <v>729</v>
      </c>
      <c r="E83" s="20" t="s">
        <v>2703</v>
      </c>
      <c r="F83" s="20" t="s">
        <v>2704</v>
      </c>
      <c r="G83" s="21">
        <v>9.4</v>
      </c>
      <c r="H83" s="16">
        <v>22</v>
      </c>
      <c r="I83" s="16">
        <v>1</v>
      </c>
      <c r="J8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197.4</v>
      </c>
      <c r="K83" s="22"/>
      <c r="L83" s="23"/>
      <c r="M83" s="23">
        <f>SUM(Tabela17468101214223032268161925273133362421012141618242628303840248101214162022262830323436242681012142461012242624426262826268102628623668101214[[#This Row],[Saldo no cartão]:[Recarga Pendente]])</f>
        <v>0</v>
      </c>
      <c r="N83" s="19">
        <f>Tabela17468101214223032268161925273133362421012141618242628303840248101214162022262830323436242681012142461012242624426262826268102628623668101214[[#This Row],[Uso diário]]*2</f>
        <v>18.8</v>
      </c>
      <c r="O83" s="19">
        <f>Tabela17468101214223032268161925273133362421012141618242628303840248101214162022262830323436242681012142461012242624426262826268102628623668101214[[#This Row],[Total Acumulado]]-P83</f>
        <v>-47</v>
      </c>
      <c r="P83" s="48">
        <f>Tabela17468101214223032268161925273133362421012141618242628303840248101214162022262830323436242681012142461012242624426262826268102628623668101214[[#This Row],[Uso diário]]*5</f>
        <v>47</v>
      </c>
      <c r="Q8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197.4</v>
      </c>
      <c r="S8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3" s="25">
        <v>5</v>
      </c>
    </row>
    <row r="84" spans="1:20" s="26" customFormat="1" x14ac:dyDescent="0.25">
      <c r="A84" s="16">
        <v>234826</v>
      </c>
      <c r="B84" s="30" t="s">
        <v>1361</v>
      </c>
      <c r="C84" s="20" t="s">
        <v>636</v>
      </c>
      <c r="D84" s="20" t="s">
        <v>729</v>
      </c>
      <c r="E84" s="20" t="s">
        <v>2705</v>
      </c>
      <c r="F84" s="20" t="s">
        <v>2706</v>
      </c>
      <c r="G84" s="21">
        <v>18.8</v>
      </c>
      <c r="H84" s="16">
        <v>22</v>
      </c>
      <c r="I84" s="16"/>
      <c r="J8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413.6</v>
      </c>
      <c r="K84" s="22"/>
      <c r="L84" s="23"/>
      <c r="M84" s="23">
        <f>SUM(Tabela17468101214223032268161925273133362421012141618242628303840248101214162022262830323436242681012142461012242624426262826268102628623668101214[[#This Row],[Saldo no cartão]:[Recarga Pendente]])</f>
        <v>0</v>
      </c>
      <c r="N84" s="19">
        <f>Tabela17468101214223032268161925273133362421012141618242628303840248101214162022262830323436242681012142461012242624426262826268102628623668101214[[#This Row],[Uso diário]]*2</f>
        <v>37.6</v>
      </c>
      <c r="O84" s="19">
        <f>Tabela17468101214223032268161925273133362421012141618242628303840248101214162022262830323436242681012142461012242624426262826268102628623668101214[[#This Row],[Total Acumulado]]-P84</f>
        <v>-94</v>
      </c>
      <c r="P84" s="48">
        <f>Tabela17468101214223032268161925273133362421012141618242628303840248101214162022262830323436242681012142461012242624426262826268102628623668101214[[#This Row],[Uso diário]]*5</f>
        <v>94</v>
      </c>
      <c r="Q8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413.6</v>
      </c>
      <c r="S8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4" s="25">
        <v>5</v>
      </c>
    </row>
    <row r="85" spans="1:20" s="26" customFormat="1" x14ac:dyDescent="0.25">
      <c r="A85" s="16">
        <v>234827</v>
      </c>
      <c r="B85" s="30" t="s">
        <v>1362</v>
      </c>
      <c r="C85" s="20" t="s">
        <v>636</v>
      </c>
      <c r="D85" s="20" t="s">
        <v>729</v>
      </c>
      <c r="E85" s="20" t="s">
        <v>2707</v>
      </c>
      <c r="F85" s="20" t="s">
        <v>2708</v>
      </c>
      <c r="G85" s="21">
        <v>18.8</v>
      </c>
      <c r="H85" s="16">
        <v>22</v>
      </c>
      <c r="I85" s="16"/>
      <c r="J8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413.6</v>
      </c>
      <c r="K85" s="22"/>
      <c r="L85" s="23">
        <v>357.2</v>
      </c>
      <c r="M85" s="23">
        <f>SUM(Tabela17468101214223032268161925273133362421012141618242628303840248101214162022262830323436242681012142461012242624426262826268102628623668101214[[#This Row],[Saldo no cartão]:[Recarga Pendente]])</f>
        <v>357.2</v>
      </c>
      <c r="N85" s="19">
        <f>Tabela17468101214223032268161925273133362421012141618242628303840248101214162022262830323436242681012142461012242624426262826268102628623668101214[[#This Row],[Uso diário]]*2</f>
        <v>37.6</v>
      </c>
      <c r="O85" s="19">
        <f>Tabela17468101214223032268161925273133362421012141618242628303840248101214162022262830323436242681012142461012242624426262826268102628623668101214[[#This Row],[Total Acumulado]]-P85</f>
        <v>263.2</v>
      </c>
      <c r="P85" s="48">
        <f>Tabela17468101214223032268161925273133362421012141618242628303840248101214162022262830323436242681012142461012242624426262826268102628623668101214[[#This Row],[Uso diário]]*5</f>
        <v>94</v>
      </c>
      <c r="Q8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263.2</v>
      </c>
      <c r="R8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150.40000000000003</v>
      </c>
      <c r="S85" s="18" t="s">
        <v>11</v>
      </c>
      <c r="T85" s="25">
        <v>5</v>
      </c>
    </row>
    <row r="86" spans="1:20" s="26" customFormat="1" x14ac:dyDescent="0.25">
      <c r="A86" s="16">
        <v>215831</v>
      </c>
      <c r="B86" s="30" t="s">
        <v>289</v>
      </c>
      <c r="C86" s="20" t="s">
        <v>653</v>
      </c>
      <c r="D86" s="20" t="s">
        <v>714</v>
      </c>
      <c r="E86" s="20" t="s">
        <v>2709</v>
      </c>
      <c r="F86" s="20" t="s">
        <v>2710</v>
      </c>
      <c r="G86" s="21">
        <v>18.8</v>
      </c>
      <c r="H86" s="16">
        <v>26</v>
      </c>
      <c r="I86" s="16"/>
      <c r="J8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86" s="22"/>
      <c r="L86" s="23"/>
      <c r="M86" s="23">
        <f>SUM(Tabela17468101214223032268161925273133362421012141618242628303840248101214162022262830323436242681012142461012242624426262826268102628623668101214[[#This Row],[Saldo no cartão]:[Recarga Pendente]])</f>
        <v>0</v>
      </c>
      <c r="N86" s="19">
        <f>Tabela17468101214223032268161925273133362421012141618242628303840248101214162022262830323436242681012142461012242624426262826268102628623668101214[[#This Row],[Uso diário]]*2</f>
        <v>37.6</v>
      </c>
      <c r="O86" s="19">
        <f>Tabela17468101214223032268161925273133362421012141618242628303840248101214162022262830323436242681012142461012242624426262826268102628623668101214[[#This Row],[Total Acumulado]]-P86</f>
        <v>-94</v>
      </c>
      <c r="P86" s="48">
        <f>Tabela17468101214223032268161925273133362421012141618242628303840248101214162022262830323436242681012142461012242624426262826268102628623668101214[[#This Row],[Uso diário]]*5</f>
        <v>94</v>
      </c>
      <c r="Q8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8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6" s="25">
        <v>5</v>
      </c>
    </row>
    <row r="87" spans="1:20" s="26" customFormat="1" x14ac:dyDescent="0.25">
      <c r="A87" s="16">
        <v>223249</v>
      </c>
      <c r="B87" s="30" t="s">
        <v>290</v>
      </c>
      <c r="C87" s="20" t="s">
        <v>653</v>
      </c>
      <c r="D87" s="20" t="s">
        <v>891</v>
      </c>
      <c r="E87" s="20" t="s">
        <v>2711</v>
      </c>
      <c r="F87" s="20" t="s">
        <v>2712</v>
      </c>
      <c r="G87" s="21">
        <v>18.8</v>
      </c>
      <c r="H87" s="16">
        <v>26</v>
      </c>
      <c r="I87" s="16"/>
      <c r="J8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87" s="22"/>
      <c r="L87" s="23">
        <v>18.8</v>
      </c>
      <c r="M87" s="23">
        <f>SUM(Tabela17468101214223032268161925273133362421012141618242628303840248101214162022262830323436242681012142461012242624426262826268102628623668101214[[#This Row],[Saldo no cartão]:[Recarga Pendente]])</f>
        <v>18.8</v>
      </c>
      <c r="N87" s="19">
        <f>Tabela17468101214223032268161925273133362421012141618242628303840248101214162022262830323436242681012142461012242624426262826268102628623668101214[[#This Row],[Uso diário]]*2</f>
        <v>37.6</v>
      </c>
      <c r="O87" s="19">
        <f>Tabela17468101214223032268161925273133362421012141618242628303840248101214162022262830323436242681012142461012242624426262826268102628623668101214[[#This Row],[Total Acumulado]]-P87</f>
        <v>-75.2</v>
      </c>
      <c r="P87" s="48">
        <f>Tabela17468101214223032268161925273133362421012141618242628303840248101214162022262830323436242681012142461012242624426262826268102628623668101214[[#This Row],[Uso diário]]*5</f>
        <v>94</v>
      </c>
      <c r="Q8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8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7" s="25">
        <v>5</v>
      </c>
    </row>
    <row r="88" spans="1:20" s="26" customFormat="1" x14ac:dyDescent="0.25">
      <c r="A88" s="16">
        <v>230966</v>
      </c>
      <c r="B88" s="30" t="s">
        <v>292</v>
      </c>
      <c r="C88" s="20" t="s">
        <v>653</v>
      </c>
      <c r="D88" s="20" t="s">
        <v>714</v>
      </c>
      <c r="E88" s="20" t="s">
        <v>2713</v>
      </c>
      <c r="F88" s="20" t="s">
        <v>2714</v>
      </c>
      <c r="G88" s="21">
        <v>18.8</v>
      </c>
      <c r="H88" s="16">
        <v>26</v>
      </c>
      <c r="I88" s="16"/>
      <c r="J8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88" s="22"/>
      <c r="L88" s="23">
        <v>99.6</v>
      </c>
      <c r="M88" s="23">
        <f>SUM(Tabela17468101214223032268161925273133362421012141618242628303840248101214162022262830323436242681012142461012242624426262826268102628623668101214[[#This Row],[Saldo no cartão]:[Recarga Pendente]])</f>
        <v>99.6</v>
      </c>
      <c r="N88" s="19">
        <f>Tabela17468101214223032268161925273133362421012141618242628303840248101214162022262830323436242681012142461012242624426262826268102628623668101214[[#This Row],[Uso diário]]*2</f>
        <v>37.6</v>
      </c>
      <c r="O88" s="19">
        <f>Tabela17468101214223032268161925273133362421012141618242628303840248101214162022262830323436242681012142461012242624426262826268102628623668101214[[#This Row],[Total Acumulado]]-P88</f>
        <v>5.5999999999999943</v>
      </c>
      <c r="P88" s="48">
        <f>Tabela17468101214223032268161925273133362421012141618242628303840248101214162022262830323436242681012142461012242624426262826268102628623668101214[[#This Row],[Uso diário]]*5</f>
        <v>94</v>
      </c>
      <c r="Q8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8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8" s="25">
        <v>5</v>
      </c>
    </row>
    <row r="89" spans="1:20" s="26" customFormat="1" x14ac:dyDescent="0.25">
      <c r="A89" s="16">
        <v>230967</v>
      </c>
      <c r="B89" s="30" t="s">
        <v>1455</v>
      </c>
      <c r="C89" s="20" t="s">
        <v>653</v>
      </c>
      <c r="D89" s="20" t="s">
        <v>714</v>
      </c>
      <c r="E89" s="20" t="s">
        <v>2715</v>
      </c>
      <c r="F89" s="20" t="s">
        <v>2716</v>
      </c>
      <c r="G89" s="21">
        <v>18.8</v>
      </c>
      <c r="H89" s="16">
        <v>26</v>
      </c>
      <c r="I89" s="16"/>
      <c r="J8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89" s="22"/>
      <c r="L89" s="23"/>
      <c r="M89" s="23">
        <f>SUM(Tabela17468101214223032268161925273133362421012141618242628303840248101214162022262830323436242681012142461012242624426262826268102628623668101214[[#This Row],[Saldo no cartão]:[Recarga Pendente]])</f>
        <v>0</v>
      </c>
      <c r="N89" s="19">
        <f>Tabela17468101214223032268161925273133362421012141618242628303840248101214162022262830323436242681012142461012242624426262826268102628623668101214[[#This Row],[Uso diário]]*2</f>
        <v>37.6</v>
      </c>
      <c r="O89" s="19">
        <f>Tabela17468101214223032268161925273133362421012141618242628303840248101214162022262830323436242681012142461012242624426262826268102628623668101214[[#This Row],[Total Acumulado]]-P89</f>
        <v>-94</v>
      </c>
      <c r="P89" s="48">
        <f>Tabela17468101214223032268161925273133362421012141618242628303840248101214162022262830323436242681012142461012242624426262826268102628623668101214[[#This Row],[Uso diário]]*5</f>
        <v>94</v>
      </c>
      <c r="Q8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8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8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89" s="25">
        <v>5</v>
      </c>
    </row>
    <row r="90" spans="1:20" s="26" customFormat="1" x14ac:dyDescent="0.25">
      <c r="A90" s="16">
        <v>231840</v>
      </c>
      <c r="B90" s="30" t="s">
        <v>826</v>
      </c>
      <c r="C90" s="20" t="s">
        <v>653</v>
      </c>
      <c r="D90" s="20" t="s">
        <v>714</v>
      </c>
      <c r="E90" s="20" t="s">
        <v>2717</v>
      </c>
      <c r="F90" s="20" t="s">
        <v>2718</v>
      </c>
      <c r="G90" s="21">
        <v>18.8</v>
      </c>
      <c r="H90" s="16">
        <v>26</v>
      </c>
      <c r="I90" s="16"/>
      <c r="J9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90" s="22"/>
      <c r="L90" s="23"/>
      <c r="M90" s="23">
        <f>SUM(Tabela17468101214223032268161925273133362421012141618242628303840248101214162022262830323436242681012142461012242624426262826268102628623668101214[[#This Row],[Saldo no cartão]:[Recarga Pendente]])</f>
        <v>0</v>
      </c>
      <c r="N90" s="19">
        <f>Tabela17468101214223032268161925273133362421012141618242628303840248101214162022262830323436242681012142461012242624426262826268102628623668101214[[#This Row],[Uso diário]]*2</f>
        <v>37.6</v>
      </c>
      <c r="O90" s="19">
        <f>Tabela17468101214223032268161925273133362421012141618242628303840248101214162022262830323436242681012142461012242624426262826268102628623668101214[[#This Row],[Total Acumulado]]-P90</f>
        <v>-94</v>
      </c>
      <c r="P90" s="48">
        <f>Tabela17468101214223032268161925273133362421012141618242628303840248101214162022262830323436242681012142461012242624426262826268102628623668101214[[#This Row],[Uso diário]]*5</f>
        <v>94</v>
      </c>
      <c r="Q9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9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0" s="25">
        <v>5</v>
      </c>
    </row>
    <row r="91" spans="1:20" s="26" customFormat="1" x14ac:dyDescent="0.25">
      <c r="A91" s="16">
        <v>232974</v>
      </c>
      <c r="B91" s="30" t="s">
        <v>989</v>
      </c>
      <c r="C91" s="20" t="s">
        <v>653</v>
      </c>
      <c r="D91" s="20" t="s">
        <v>714</v>
      </c>
      <c r="E91" s="20" t="s">
        <v>2719</v>
      </c>
      <c r="F91" s="20" t="s">
        <v>2720</v>
      </c>
      <c r="G91" s="21">
        <v>13.4</v>
      </c>
      <c r="H91" s="16">
        <v>26</v>
      </c>
      <c r="I91" s="16"/>
      <c r="J9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91" s="22"/>
      <c r="L91" s="23"/>
      <c r="M91" s="23">
        <f>SUM(Tabela17468101214223032268161925273133362421012141618242628303840248101214162022262830323436242681012142461012242624426262826268102628623668101214[[#This Row],[Saldo no cartão]:[Recarga Pendente]])</f>
        <v>0</v>
      </c>
      <c r="N91" s="19">
        <f>Tabela17468101214223032268161925273133362421012141618242628303840248101214162022262830323436242681012142461012242624426262826268102628623668101214[[#This Row],[Uso diário]]*2</f>
        <v>26.8</v>
      </c>
      <c r="O91" s="19">
        <f>Tabela17468101214223032268161925273133362421012141618242628303840248101214162022262830323436242681012142461012242624426262826268102628623668101214[[#This Row],[Total Acumulado]]-P91</f>
        <v>-67</v>
      </c>
      <c r="P91" s="48">
        <f>Tabela17468101214223032268161925273133362421012141618242628303840248101214162022262830323436242681012142461012242624426262826268102628623668101214[[#This Row],[Uso diário]]*5</f>
        <v>67</v>
      </c>
      <c r="Q9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9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1" s="25">
        <v>5</v>
      </c>
    </row>
    <row r="92" spans="1:20" s="26" customFormat="1" x14ac:dyDescent="0.25">
      <c r="A92" s="16">
        <v>234615</v>
      </c>
      <c r="B92" s="30" t="s">
        <v>1314</v>
      </c>
      <c r="C92" s="20" t="s">
        <v>653</v>
      </c>
      <c r="D92" s="20" t="s">
        <v>714</v>
      </c>
      <c r="E92" s="20" t="s">
        <v>2721</v>
      </c>
      <c r="F92" s="20" t="s">
        <v>2722</v>
      </c>
      <c r="G92" s="21">
        <v>13.4</v>
      </c>
      <c r="H92" s="16">
        <v>26</v>
      </c>
      <c r="I92" s="16"/>
      <c r="J9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92" s="22"/>
      <c r="L92" s="23"/>
      <c r="M92" s="23">
        <f>SUM(Tabela17468101214223032268161925273133362421012141618242628303840248101214162022262830323436242681012142461012242624426262826268102628623668101214[[#This Row],[Saldo no cartão]:[Recarga Pendente]])</f>
        <v>0</v>
      </c>
      <c r="N92" s="19">
        <f>Tabela17468101214223032268161925273133362421012141618242628303840248101214162022262830323436242681012142461012242624426262826268102628623668101214[[#This Row],[Uso diário]]*2</f>
        <v>26.8</v>
      </c>
      <c r="O92" s="19">
        <f>Tabela17468101214223032268161925273133362421012141618242628303840248101214162022262830323436242681012142461012242624426262826268102628623668101214[[#This Row],[Total Acumulado]]-P92</f>
        <v>-67</v>
      </c>
      <c r="P92" s="48">
        <f>Tabela17468101214223032268161925273133362421012141618242628303840248101214162022262830323436242681012142461012242624426262826268102628623668101214[[#This Row],[Uso diário]]*5</f>
        <v>67</v>
      </c>
      <c r="Q9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9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2" s="25">
        <v>5</v>
      </c>
    </row>
    <row r="93" spans="1:20" s="26" customFormat="1" x14ac:dyDescent="0.25">
      <c r="A93" s="16">
        <v>234808</v>
      </c>
      <c r="B93" s="30" t="s">
        <v>1363</v>
      </c>
      <c r="C93" s="20" t="s">
        <v>653</v>
      </c>
      <c r="D93" s="20" t="s">
        <v>714</v>
      </c>
      <c r="E93" s="20" t="s">
        <v>2723</v>
      </c>
      <c r="F93" s="20" t="s">
        <v>2724</v>
      </c>
      <c r="G93" s="21">
        <v>18.8</v>
      </c>
      <c r="H93" s="16">
        <v>26</v>
      </c>
      <c r="I93" s="16"/>
      <c r="J9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93" s="22"/>
      <c r="L93" s="23"/>
      <c r="M93" s="23">
        <f>SUM(Tabela17468101214223032268161925273133362421012141618242628303840248101214162022262830323436242681012142461012242624426262826268102628623668101214[[#This Row],[Saldo no cartão]:[Recarga Pendente]])</f>
        <v>0</v>
      </c>
      <c r="N93" s="19">
        <f>Tabela17468101214223032268161925273133362421012141618242628303840248101214162022262830323436242681012142461012242624426262826268102628623668101214[[#This Row],[Uso diário]]*2</f>
        <v>37.6</v>
      </c>
      <c r="O93" s="19">
        <f>Tabela17468101214223032268161925273133362421012141618242628303840248101214162022262830323436242681012142461012242624426262826268102628623668101214[[#This Row],[Total Acumulado]]-P93</f>
        <v>-94</v>
      </c>
      <c r="P93" s="48">
        <f>Tabela17468101214223032268161925273133362421012141618242628303840248101214162022262830323436242681012142461012242624426262826268102628623668101214[[#This Row],[Uso diário]]*5</f>
        <v>94</v>
      </c>
      <c r="Q9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9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3" s="25">
        <v>5</v>
      </c>
    </row>
    <row r="94" spans="1:20" s="26" customFormat="1" x14ac:dyDescent="0.25">
      <c r="A94" s="16">
        <v>218301</v>
      </c>
      <c r="B94" s="30" t="s">
        <v>1193</v>
      </c>
      <c r="C94" s="20" t="s">
        <v>656</v>
      </c>
      <c r="D94" s="20" t="s">
        <v>740</v>
      </c>
      <c r="E94" s="20" t="s">
        <v>2725</v>
      </c>
      <c r="F94" s="20" t="s">
        <v>2726</v>
      </c>
      <c r="G94" s="21">
        <v>18.8</v>
      </c>
      <c r="H94" s="16">
        <v>29</v>
      </c>
      <c r="I94" s="16"/>
      <c r="J9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545.20000000000005</v>
      </c>
      <c r="K94" s="22"/>
      <c r="L94" s="23"/>
      <c r="M94" s="23">
        <f>SUM(Tabela17468101214223032268161925273133362421012141618242628303840248101214162022262830323436242681012142461012242624426262826268102628623668101214[[#This Row],[Saldo no cartão]:[Recarga Pendente]])</f>
        <v>0</v>
      </c>
      <c r="N94" s="19">
        <f>Tabela17468101214223032268161925273133362421012141618242628303840248101214162022262830323436242681012142461012242624426262826268102628623668101214[[#This Row],[Uso diário]]*2</f>
        <v>37.6</v>
      </c>
      <c r="O94" s="19">
        <f>Tabela17468101214223032268161925273133362421012141618242628303840248101214162022262830323436242681012142461012242624426262826268102628623668101214[[#This Row],[Total Acumulado]]-P94</f>
        <v>-94</v>
      </c>
      <c r="P94" s="48">
        <f>Tabela17468101214223032268161925273133362421012141618242628303840248101214162022262830323436242681012142461012242624426262826268102628623668101214[[#This Row],[Uso diário]]*5</f>
        <v>94</v>
      </c>
      <c r="Q9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545.20000000000005</v>
      </c>
      <c r="S9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4" s="25">
        <v>5</v>
      </c>
    </row>
    <row r="95" spans="1:20" s="26" customFormat="1" x14ac:dyDescent="0.25">
      <c r="A95" s="16">
        <v>208437</v>
      </c>
      <c r="B95" s="30" t="s">
        <v>1194</v>
      </c>
      <c r="C95" s="20" t="s">
        <v>654</v>
      </c>
      <c r="D95" s="20" t="s">
        <v>715</v>
      </c>
      <c r="E95" s="20" t="s">
        <v>2727</v>
      </c>
      <c r="F95" s="20" t="s">
        <v>2728</v>
      </c>
      <c r="G95" s="21">
        <v>14.2</v>
      </c>
      <c r="H95" s="16">
        <v>26</v>
      </c>
      <c r="I95" s="16">
        <v>1</v>
      </c>
      <c r="J9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355</v>
      </c>
      <c r="K95" s="22"/>
      <c r="L95" s="23">
        <v>215.32</v>
      </c>
      <c r="M95" s="23">
        <f>SUM(Tabela17468101214223032268161925273133362421012141618242628303840248101214162022262830323436242681012142461012242624426262826268102628623668101214[[#This Row],[Saldo no cartão]:[Recarga Pendente]])</f>
        <v>215.32</v>
      </c>
      <c r="N95" s="19">
        <f>Tabela17468101214223032268161925273133362421012141618242628303840248101214162022262830323436242681012142461012242624426262826268102628623668101214[[#This Row],[Uso diário]]*2</f>
        <v>28.4</v>
      </c>
      <c r="O95" s="19">
        <f>Tabela17468101214223032268161925273133362421012141618242628303840248101214162022262830323436242681012142461012242624426262826268102628623668101214[[#This Row],[Total Acumulado]]-P95</f>
        <v>144.32</v>
      </c>
      <c r="P95" s="48">
        <f>Tabela17468101214223032268161925273133362421012141618242628303840248101214162022262830323436242681012142461012242624426262826268102628623668101214[[#This Row],[Uso diário]]*5</f>
        <v>71</v>
      </c>
      <c r="Q9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144.32</v>
      </c>
      <c r="R9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210.68</v>
      </c>
      <c r="S95" s="18" t="s">
        <v>11</v>
      </c>
      <c r="T95" s="25">
        <v>5</v>
      </c>
    </row>
    <row r="96" spans="1:20" s="26" customFormat="1" x14ac:dyDescent="0.25">
      <c r="A96" s="16">
        <v>217034</v>
      </c>
      <c r="B96" s="30" t="s">
        <v>293</v>
      </c>
      <c r="C96" s="20" t="s">
        <v>654</v>
      </c>
      <c r="D96" s="20" t="s">
        <v>715</v>
      </c>
      <c r="E96" s="20" t="s">
        <v>2729</v>
      </c>
      <c r="F96" s="20" t="s">
        <v>2730</v>
      </c>
      <c r="G96" s="21">
        <v>14.2</v>
      </c>
      <c r="H96" s="16">
        <v>26</v>
      </c>
      <c r="I96" s="16"/>
      <c r="J9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96" s="22"/>
      <c r="L96" s="23">
        <v>59.1</v>
      </c>
      <c r="M96" s="23">
        <f>SUM(Tabela17468101214223032268161925273133362421012141618242628303840248101214162022262830323436242681012142461012242624426262826268102628623668101214[[#This Row],[Saldo no cartão]:[Recarga Pendente]])</f>
        <v>59.1</v>
      </c>
      <c r="N96" s="19">
        <f>Tabela17468101214223032268161925273133362421012141618242628303840248101214162022262830323436242681012142461012242624426262826268102628623668101214[[#This Row],[Uso diário]]*2</f>
        <v>28.4</v>
      </c>
      <c r="O96" s="19">
        <f>Tabela17468101214223032268161925273133362421012141618242628303840248101214162022262830323436242681012142461012242624426262826268102628623668101214[[#This Row],[Total Acumulado]]-P96</f>
        <v>-11.899999999999999</v>
      </c>
      <c r="P96" s="48">
        <f>Tabela17468101214223032268161925273133362421012141618242628303840248101214162022262830323436242681012142461012242624426262826268102628623668101214[[#This Row],[Uso diário]]*5</f>
        <v>71</v>
      </c>
      <c r="Q9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9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6" s="25">
        <v>5</v>
      </c>
    </row>
    <row r="97" spans="1:20" s="26" customFormat="1" x14ac:dyDescent="0.25">
      <c r="A97" s="16">
        <v>218167</v>
      </c>
      <c r="B97" s="30" t="s">
        <v>294</v>
      </c>
      <c r="C97" s="20" t="s">
        <v>654</v>
      </c>
      <c r="D97" s="20" t="s">
        <v>715</v>
      </c>
      <c r="E97" s="20" t="s">
        <v>2731</v>
      </c>
      <c r="F97" s="20" t="s">
        <v>2732</v>
      </c>
      <c r="G97" s="21">
        <v>18.8</v>
      </c>
      <c r="H97" s="16">
        <v>26</v>
      </c>
      <c r="I97" s="16"/>
      <c r="J9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97" s="22"/>
      <c r="L97" s="23"/>
      <c r="M97" s="23">
        <f>SUM(Tabela17468101214223032268161925273133362421012141618242628303840248101214162022262830323436242681012142461012242624426262826268102628623668101214[[#This Row],[Saldo no cartão]:[Recarga Pendente]])</f>
        <v>0</v>
      </c>
      <c r="N97" s="19">
        <f>Tabela17468101214223032268161925273133362421012141618242628303840248101214162022262830323436242681012142461012242624426262826268102628623668101214[[#This Row],[Uso diário]]*2</f>
        <v>37.6</v>
      </c>
      <c r="O97" s="19">
        <f>Tabela17468101214223032268161925273133362421012141618242628303840248101214162022262830323436242681012142461012242624426262826268102628623668101214[[#This Row],[Total Acumulado]]-P97</f>
        <v>-94</v>
      </c>
      <c r="P97" s="48">
        <f>Tabela17468101214223032268161925273133362421012141618242628303840248101214162022262830323436242681012142461012242624426262826268102628623668101214[[#This Row],[Uso diário]]*5</f>
        <v>94</v>
      </c>
      <c r="Q9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9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7" s="25">
        <v>5</v>
      </c>
    </row>
    <row r="98" spans="1:20" s="26" customFormat="1" x14ac:dyDescent="0.25">
      <c r="A98" s="16">
        <v>222203</v>
      </c>
      <c r="B98" s="30" t="s">
        <v>1287</v>
      </c>
      <c r="C98" s="20" t="s">
        <v>654</v>
      </c>
      <c r="D98" s="20" t="s">
        <v>731</v>
      </c>
      <c r="E98" s="20" t="s">
        <v>2733</v>
      </c>
      <c r="F98" s="20" t="s">
        <v>2734</v>
      </c>
      <c r="G98" s="21">
        <v>18.8</v>
      </c>
      <c r="H98" s="16">
        <v>26</v>
      </c>
      <c r="I98" s="16"/>
      <c r="J9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98" s="22"/>
      <c r="L98" s="23"/>
      <c r="M98" s="23">
        <f>SUM(Tabela17468101214223032268161925273133362421012141618242628303840248101214162022262830323436242681012142461012242624426262826268102628623668101214[[#This Row],[Saldo no cartão]:[Recarga Pendente]])</f>
        <v>0</v>
      </c>
      <c r="N98" s="19">
        <f>Tabela17468101214223032268161925273133362421012141618242628303840248101214162022262830323436242681012142461012242624426262826268102628623668101214[[#This Row],[Uso diário]]*2</f>
        <v>37.6</v>
      </c>
      <c r="O98" s="19">
        <f>Tabela17468101214223032268161925273133362421012141618242628303840248101214162022262830323436242681012142461012242624426262826268102628623668101214[[#This Row],[Total Acumulado]]-P98</f>
        <v>-94</v>
      </c>
      <c r="P98" s="48">
        <f>Tabela17468101214223032268161925273133362421012141618242628303840248101214162022262830323436242681012142461012242624426262826268102628623668101214[[#This Row],[Uso diário]]*5</f>
        <v>94</v>
      </c>
      <c r="Q9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9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8" s="25">
        <v>5</v>
      </c>
    </row>
    <row r="99" spans="1:20" s="26" customFormat="1" x14ac:dyDescent="0.25">
      <c r="A99" s="16">
        <v>224151</v>
      </c>
      <c r="B99" s="30" t="s">
        <v>1456</v>
      </c>
      <c r="C99" s="20" t="s">
        <v>654</v>
      </c>
      <c r="D99" s="20" t="s">
        <v>715</v>
      </c>
      <c r="E99" s="20" t="s">
        <v>2735</v>
      </c>
      <c r="F99" s="20" t="s">
        <v>2736</v>
      </c>
      <c r="G99" s="21">
        <v>14.2</v>
      </c>
      <c r="H99" s="16">
        <v>26</v>
      </c>
      <c r="I99" s="16"/>
      <c r="J9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99" s="22"/>
      <c r="L99" s="23"/>
      <c r="M99" s="23">
        <f>SUM(Tabela17468101214223032268161925273133362421012141618242628303840248101214162022262830323436242681012142461012242624426262826268102628623668101214[[#This Row],[Saldo no cartão]:[Recarga Pendente]])</f>
        <v>0</v>
      </c>
      <c r="N99" s="19">
        <f>Tabela17468101214223032268161925273133362421012141618242628303840248101214162022262830323436242681012142461012242624426262826268102628623668101214[[#This Row],[Uso diário]]*2</f>
        <v>28.4</v>
      </c>
      <c r="O99" s="19">
        <f>Tabela17468101214223032268161925273133362421012141618242628303840248101214162022262830323436242681012142461012242624426262826268102628623668101214[[#This Row],[Total Acumulado]]-P99</f>
        <v>-71</v>
      </c>
      <c r="P99" s="48">
        <f>Tabela17468101214223032268161925273133362421012141618242628303840248101214162022262830323436242681012142461012242624426262826268102628623668101214[[#This Row],[Uso diário]]*5</f>
        <v>71</v>
      </c>
      <c r="Q9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9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9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99" s="25">
        <v>5</v>
      </c>
    </row>
    <row r="100" spans="1:20" s="26" customFormat="1" x14ac:dyDescent="0.25">
      <c r="A100" s="16">
        <v>228688</v>
      </c>
      <c r="B100" s="30" t="s">
        <v>295</v>
      </c>
      <c r="C100" s="20" t="s">
        <v>654</v>
      </c>
      <c r="D100" s="20" t="s">
        <v>715</v>
      </c>
      <c r="E100" s="20" t="s">
        <v>2737</v>
      </c>
      <c r="F100" s="20" t="s">
        <v>2738</v>
      </c>
      <c r="G100" s="21">
        <v>18.8</v>
      </c>
      <c r="H100" s="16">
        <v>26</v>
      </c>
      <c r="I100" s="16">
        <v>1</v>
      </c>
      <c r="J10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470</v>
      </c>
      <c r="K100" s="22"/>
      <c r="L100" s="23"/>
      <c r="M100" s="23">
        <f>SUM(Tabela17468101214223032268161925273133362421012141618242628303840248101214162022262830323436242681012142461012242624426262826268102628623668101214[[#This Row],[Saldo no cartão]:[Recarga Pendente]])</f>
        <v>0</v>
      </c>
      <c r="N100" s="19">
        <f>Tabela17468101214223032268161925273133362421012141618242628303840248101214162022262830323436242681012142461012242624426262826268102628623668101214[[#This Row],[Uso diário]]*2</f>
        <v>37.6</v>
      </c>
      <c r="O100" s="19">
        <f>Tabela17468101214223032268161925273133362421012141618242628303840248101214162022262830323436242681012142461012242624426262826268102628623668101214[[#This Row],[Total Acumulado]]-P100</f>
        <v>-94</v>
      </c>
      <c r="P100" s="48">
        <f>Tabela17468101214223032268161925273133362421012141618242628303840248101214162022262830323436242681012142461012242624426262826268102628623668101214[[#This Row],[Uso diário]]*5</f>
        <v>94</v>
      </c>
      <c r="Q10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470</v>
      </c>
      <c r="S10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0" s="25">
        <v>5</v>
      </c>
    </row>
    <row r="101" spans="1:20" s="26" customFormat="1" x14ac:dyDescent="0.25">
      <c r="A101" s="16">
        <v>229513</v>
      </c>
      <c r="B101" s="30" t="s">
        <v>1072</v>
      </c>
      <c r="C101" s="20" t="s">
        <v>654</v>
      </c>
      <c r="D101" s="20" t="s">
        <v>715</v>
      </c>
      <c r="E101" s="20" t="s">
        <v>2739</v>
      </c>
      <c r="F101" s="20" t="s">
        <v>2740</v>
      </c>
      <c r="G101" s="21">
        <v>18.8</v>
      </c>
      <c r="H101" s="16">
        <v>26</v>
      </c>
      <c r="I101" s="16"/>
      <c r="J10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01" s="22"/>
      <c r="L101" s="23"/>
      <c r="M101" s="23">
        <f>SUM(Tabela17468101214223032268161925273133362421012141618242628303840248101214162022262830323436242681012142461012242624426262826268102628623668101214[[#This Row],[Saldo no cartão]:[Recarga Pendente]])</f>
        <v>0</v>
      </c>
      <c r="N101" s="19">
        <f>Tabela17468101214223032268161925273133362421012141618242628303840248101214162022262830323436242681012142461012242624426262826268102628623668101214[[#This Row],[Uso diário]]*2</f>
        <v>37.6</v>
      </c>
      <c r="O101" s="19">
        <f>Tabela17468101214223032268161925273133362421012141618242628303840248101214162022262830323436242681012142461012242624426262826268102628623668101214[[#This Row],[Total Acumulado]]-P101</f>
        <v>-94</v>
      </c>
      <c r="P101" s="48">
        <f>Tabela17468101214223032268161925273133362421012141618242628303840248101214162022262830323436242681012142461012242624426262826268102628623668101214[[#This Row],[Uso diário]]*5</f>
        <v>94</v>
      </c>
      <c r="Q10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0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1" s="25">
        <v>5</v>
      </c>
    </row>
    <row r="102" spans="1:20" s="26" customFormat="1" x14ac:dyDescent="0.25">
      <c r="A102" s="16">
        <v>230387</v>
      </c>
      <c r="B102" s="30" t="s">
        <v>296</v>
      </c>
      <c r="C102" s="20" t="s">
        <v>654</v>
      </c>
      <c r="D102" s="20" t="s">
        <v>715</v>
      </c>
      <c r="E102" s="20" t="s">
        <v>2741</v>
      </c>
      <c r="F102" s="20" t="s">
        <v>2742</v>
      </c>
      <c r="G102" s="21">
        <v>14.2</v>
      </c>
      <c r="H102" s="16">
        <v>26</v>
      </c>
      <c r="I102" s="16"/>
      <c r="J10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102" s="22"/>
      <c r="L102" s="23"/>
      <c r="M102" s="23">
        <f>SUM(Tabela17468101214223032268161925273133362421012141618242628303840248101214162022262830323436242681012142461012242624426262826268102628623668101214[[#This Row],[Saldo no cartão]:[Recarga Pendente]])</f>
        <v>0</v>
      </c>
      <c r="N102" s="19">
        <f>Tabela17468101214223032268161925273133362421012141618242628303840248101214162022262830323436242681012142461012242624426262826268102628623668101214[[#This Row],[Uso diário]]*2</f>
        <v>28.4</v>
      </c>
      <c r="O102" s="19">
        <f>Tabela17468101214223032268161925273133362421012141618242628303840248101214162022262830323436242681012142461012242624426262826268102628623668101214[[#This Row],[Total Acumulado]]-P102</f>
        <v>-71</v>
      </c>
      <c r="P102" s="48">
        <f>Tabela17468101214223032268161925273133362421012141618242628303840248101214162022262830323436242681012142461012242624426262826268102628623668101214[[#This Row],[Uso diário]]*5</f>
        <v>71</v>
      </c>
      <c r="Q10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10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2" s="25">
        <v>5</v>
      </c>
    </row>
    <row r="103" spans="1:20" s="26" customFormat="1" x14ac:dyDescent="0.25">
      <c r="A103" s="16">
        <v>231948</v>
      </c>
      <c r="B103" s="30" t="s">
        <v>827</v>
      </c>
      <c r="C103" s="20" t="s">
        <v>654</v>
      </c>
      <c r="D103" s="20" t="s">
        <v>715</v>
      </c>
      <c r="E103" s="20" t="s">
        <v>2743</v>
      </c>
      <c r="F103" s="20" t="s">
        <v>2744</v>
      </c>
      <c r="G103" s="21">
        <v>18.8</v>
      </c>
      <c r="H103" s="16">
        <v>26</v>
      </c>
      <c r="I103" s="16">
        <v>1</v>
      </c>
      <c r="J10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470</v>
      </c>
      <c r="K103" s="22"/>
      <c r="L103" s="23"/>
      <c r="M103" s="23">
        <f>SUM(Tabela17468101214223032268161925273133362421012141618242628303840248101214162022262830323436242681012142461012242624426262826268102628623668101214[[#This Row],[Saldo no cartão]:[Recarga Pendente]])</f>
        <v>0</v>
      </c>
      <c r="N103" s="19">
        <f>Tabela17468101214223032268161925273133362421012141618242628303840248101214162022262830323436242681012142461012242624426262826268102628623668101214[[#This Row],[Uso diário]]*2</f>
        <v>37.6</v>
      </c>
      <c r="O103" s="19">
        <f>Tabela17468101214223032268161925273133362421012141618242628303840248101214162022262830323436242681012142461012242624426262826268102628623668101214[[#This Row],[Total Acumulado]]-P103</f>
        <v>-94</v>
      </c>
      <c r="P103" s="48">
        <f>Tabela17468101214223032268161925273133362421012141618242628303840248101214162022262830323436242681012142461012242624426262826268102628623668101214[[#This Row],[Uso diário]]*5</f>
        <v>94</v>
      </c>
      <c r="Q10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470</v>
      </c>
      <c r="S10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3" s="25">
        <v>5</v>
      </c>
    </row>
    <row r="104" spans="1:20" s="26" customFormat="1" x14ac:dyDescent="0.25">
      <c r="A104" s="16">
        <v>234140</v>
      </c>
      <c r="B104" s="30" t="s">
        <v>1195</v>
      </c>
      <c r="C104" s="20" t="s">
        <v>654</v>
      </c>
      <c r="D104" s="20" t="s">
        <v>715</v>
      </c>
      <c r="E104" s="20" t="s">
        <v>2745</v>
      </c>
      <c r="F104" s="20" t="s">
        <v>2746</v>
      </c>
      <c r="G104" s="21">
        <v>13.4</v>
      </c>
      <c r="H104" s="16">
        <v>26</v>
      </c>
      <c r="I104" s="16"/>
      <c r="J10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04" s="22"/>
      <c r="L104" s="23"/>
      <c r="M104" s="23">
        <f>SUM(Tabela17468101214223032268161925273133362421012141618242628303840248101214162022262830323436242681012142461012242624426262826268102628623668101214[[#This Row],[Saldo no cartão]:[Recarga Pendente]])</f>
        <v>0</v>
      </c>
      <c r="N104" s="19">
        <f>Tabela17468101214223032268161925273133362421012141618242628303840248101214162022262830323436242681012142461012242624426262826268102628623668101214[[#This Row],[Uso diário]]*2</f>
        <v>26.8</v>
      </c>
      <c r="O104" s="19">
        <f>Tabela17468101214223032268161925273133362421012141618242628303840248101214162022262830323436242681012142461012242624426262826268102628623668101214[[#This Row],[Total Acumulado]]-P104</f>
        <v>-67</v>
      </c>
      <c r="P104" s="48">
        <f>Tabela17468101214223032268161925273133362421012141618242628303840248101214162022262830323436242681012142461012242624426262826268102628623668101214[[#This Row],[Uso diário]]*5</f>
        <v>67</v>
      </c>
      <c r="Q10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0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4" s="25">
        <v>5</v>
      </c>
    </row>
    <row r="105" spans="1:20" s="26" customFormat="1" x14ac:dyDescent="0.25">
      <c r="A105" s="16">
        <v>234307</v>
      </c>
      <c r="B105" s="30" t="s">
        <v>1288</v>
      </c>
      <c r="C105" s="20" t="s">
        <v>654</v>
      </c>
      <c r="D105" s="20" t="s">
        <v>715</v>
      </c>
      <c r="E105" s="20" t="s">
        <v>2747</v>
      </c>
      <c r="F105" s="20" t="s">
        <v>2748</v>
      </c>
      <c r="G105" s="21">
        <v>13.4</v>
      </c>
      <c r="H105" s="16">
        <v>26</v>
      </c>
      <c r="I105" s="16"/>
      <c r="J10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05" s="22"/>
      <c r="L105" s="23">
        <v>36.700000000000003</v>
      </c>
      <c r="M105" s="23">
        <f>SUM(Tabela17468101214223032268161925273133362421012141618242628303840248101214162022262830323436242681012142461012242624426262826268102628623668101214[[#This Row],[Saldo no cartão]:[Recarga Pendente]])</f>
        <v>36.700000000000003</v>
      </c>
      <c r="N105" s="19">
        <f>Tabela17468101214223032268161925273133362421012141618242628303840248101214162022262830323436242681012142461012242624426262826268102628623668101214[[#This Row],[Uso diário]]*2</f>
        <v>26.8</v>
      </c>
      <c r="O105" s="19">
        <f>Tabela17468101214223032268161925273133362421012141618242628303840248101214162022262830323436242681012142461012242624426262826268102628623668101214[[#This Row],[Total Acumulado]]-P105</f>
        <v>-30.299999999999997</v>
      </c>
      <c r="P105" s="48">
        <f>Tabela17468101214223032268161925273133362421012141618242628303840248101214162022262830323436242681012142461012242624426262826268102628623668101214[[#This Row],[Uso diário]]*5</f>
        <v>67</v>
      </c>
      <c r="Q10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0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5" s="25">
        <v>5</v>
      </c>
    </row>
    <row r="106" spans="1:20" s="26" customFormat="1" x14ac:dyDescent="0.25">
      <c r="A106" s="16">
        <v>234339</v>
      </c>
      <c r="B106" s="30" t="s">
        <v>1289</v>
      </c>
      <c r="C106" s="20" t="s">
        <v>654</v>
      </c>
      <c r="D106" s="20" t="s">
        <v>715</v>
      </c>
      <c r="E106" s="20" t="s">
        <v>2749</v>
      </c>
      <c r="F106" s="20" t="s">
        <v>2750</v>
      </c>
      <c r="G106" s="21">
        <v>13.4</v>
      </c>
      <c r="H106" s="16">
        <v>26</v>
      </c>
      <c r="I106" s="16"/>
      <c r="J10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06" s="22"/>
      <c r="L106" s="23"/>
      <c r="M106" s="23">
        <f>SUM(Tabela17468101214223032268161925273133362421012141618242628303840248101214162022262830323436242681012142461012242624426262826268102628623668101214[[#This Row],[Saldo no cartão]:[Recarga Pendente]])</f>
        <v>0</v>
      </c>
      <c r="N106" s="19">
        <f>Tabela17468101214223032268161925273133362421012141618242628303840248101214162022262830323436242681012142461012242624426262826268102628623668101214[[#This Row],[Uso diário]]*2</f>
        <v>26.8</v>
      </c>
      <c r="O106" s="19">
        <f>Tabela17468101214223032268161925273133362421012141618242628303840248101214162022262830323436242681012142461012242624426262826268102628623668101214[[#This Row],[Total Acumulado]]-P106</f>
        <v>-67</v>
      </c>
      <c r="P106" s="48">
        <f>Tabela17468101214223032268161925273133362421012141618242628303840248101214162022262830323436242681012142461012242624426262826268102628623668101214[[#This Row],[Uso diário]]*5</f>
        <v>67</v>
      </c>
      <c r="Q10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0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6" s="25">
        <v>5</v>
      </c>
    </row>
    <row r="107" spans="1:20" s="26" customFormat="1" x14ac:dyDescent="0.25">
      <c r="A107" s="16">
        <v>234396</v>
      </c>
      <c r="B107" s="30" t="s">
        <v>1315</v>
      </c>
      <c r="C107" s="20" t="s">
        <v>654</v>
      </c>
      <c r="D107" s="20" t="s">
        <v>715</v>
      </c>
      <c r="E107" s="20" t="s">
        <v>2751</v>
      </c>
      <c r="F107" s="20" t="s">
        <v>2752</v>
      </c>
      <c r="G107" s="21">
        <v>13.4</v>
      </c>
      <c r="H107" s="16">
        <v>26</v>
      </c>
      <c r="I107" s="16">
        <v>2</v>
      </c>
      <c r="J10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321.60000000000002</v>
      </c>
      <c r="K107" s="22"/>
      <c r="L107" s="23"/>
      <c r="M107" s="23">
        <f>SUM(Tabela17468101214223032268161925273133362421012141618242628303840248101214162022262830323436242681012142461012242624426262826268102628623668101214[[#This Row],[Saldo no cartão]:[Recarga Pendente]])</f>
        <v>0</v>
      </c>
      <c r="N107" s="19">
        <f>Tabela17468101214223032268161925273133362421012141618242628303840248101214162022262830323436242681012142461012242624426262826268102628623668101214[[#This Row],[Uso diário]]*2</f>
        <v>26.8</v>
      </c>
      <c r="O107" s="19">
        <f>Tabela17468101214223032268161925273133362421012141618242628303840248101214162022262830323436242681012142461012242624426262826268102628623668101214[[#This Row],[Total Acumulado]]-P107</f>
        <v>-67</v>
      </c>
      <c r="P107" s="48">
        <f>Tabela17468101214223032268161925273133362421012141618242628303840248101214162022262830323436242681012142461012242624426262826268102628623668101214[[#This Row],[Uso diário]]*5</f>
        <v>67</v>
      </c>
      <c r="Q10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321.60000000000002</v>
      </c>
      <c r="S10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7" s="25">
        <v>5</v>
      </c>
    </row>
    <row r="108" spans="1:20" s="26" customFormat="1" x14ac:dyDescent="0.25">
      <c r="A108" s="16">
        <v>234805</v>
      </c>
      <c r="B108" s="30" t="s">
        <v>1364</v>
      </c>
      <c r="C108" s="20" t="s">
        <v>654</v>
      </c>
      <c r="D108" s="20" t="s">
        <v>715</v>
      </c>
      <c r="E108" s="20" t="s">
        <v>2753</v>
      </c>
      <c r="F108" s="20" t="s">
        <v>2754</v>
      </c>
      <c r="G108" s="21">
        <v>18.8</v>
      </c>
      <c r="H108" s="16">
        <v>26</v>
      </c>
      <c r="I108" s="16"/>
      <c r="J10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08" s="22"/>
      <c r="L108" s="23">
        <v>451.2</v>
      </c>
      <c r="M108" s="23">
        <f>SUM(Tabela17468101214223032268161925273133362421012141618242628303840248101214162022262830323436242681012142461012242624426262826268102628623668101214[[#This Row],[Saldo no cartão]:[Recarga Pendente]])</f>
        <v>451.2</v>
      </c>
      <c r="N108" s="19">
        <f>Tabela17468101214223032268161925273133362421012141618242628303840248101214162022262830323436242681012142461012242624426262826268102628623668101214[[#This Row],[Uso diário]]*2</f>
        <v>37.6</v>
      </c>
      <c r="O108" s="19">
        <f>Tabela17468101214223032268161925273133362421012141618242628303840248101214162022262830323436242681012142461012242624426262826268102628623668101214[[#This Row],[Total Acumulado]]-P108</f>
        <v>357.2</v>
      </c>
      <c r="P108" s="48">
        <f>Tabela17468101214223032268161925273133362421012141618242628303840248101214162022262830323436242681012142461012242624426262826268102628623668101214[[#This Row],[Uso diário]]*5</f>
        <v>94</v>
      </c>
      <c r="Q10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357.2</v>
      </c>
      <c r="R10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131.60000000000002</v>
      </c>
      <c r="S108" s="18" t="s">
        <v>11</v>
      </c>
      <c r="T108" s="25">
        <v>5</v>
      </c>
    </row>
    <row r="109" spans="1:20" s="26" customFormat="1" x14ac:dyDescent="0.25">
      <c r="A109" s="16">
        <v>209670</v>
      </c>
      <c r="B109" s="30" t="s">
        <v>297</v>
      </c>
      <c r="C109" s="20" t="s">
        <v>640</v>
      </c>
      <c r="D109" s="20" t="s">
        <v>702</v>
      </c>
      <c r="E109" s="20" t="s">
        <v>2755</v>
      </c>
      <c r="F109" s="20" t="s">
        <v>2756</v>
      </c>
      <c r="G109" s="21">
        <v>18.8</v>
      </c>
      <c r="H109" s="16">
        <v>26</v>
      </c>
      <c r="I109" s="16"/>
      <c r="J10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09" s="22"/>
      <c r="L109" s="23"/>
      <c r="M109" s="23">
        <f>SUM(Tabela17468101214223032268161925273133362421012141618242628303840248101214162022262830323436242681012142461012242624426262826268102628623668101214[[#This Row],[Saldo no cartão]:[Recarga Pendente]])</f>
        <v>0</v>
      </c>
      <c r="N109" s="19">
        <f>Tabela17468101214223032268161925273133362421012141618242628303840248101214162022262830323436242681012142461012242624426262826268102628623668101214[[#This Row],[Uso diário]]*2</f>
        <v>37.6</v>
      </c>
      <c r="O109" s="19">
        <f>Tabela17468101214223032268161925273133362421012141618242628303840248101214162022262830323436242681012142461012242624426262826268102628623668101214[[#This Row],[Total Acumulado]]-P109</f>
        <v>-94</v>
      </c>
      <c r="P109" s="48">
        <f>Tabela17468101214223032268161925273133362421012141618242628303840248101214162022262830323436242681012142461012242624426262826268102628623668101214[[#This Row],[Uso diário]]*5</f>
        <v>94</v>
      </c>
      <c r="Q10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0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0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09" s="25">
        <v>5</v>
      </c>
    </row>
    <row r="110" spans="1:20" s="26" customFormat="1" x14ac:dyDescent="0.25">
      <c r="A110" s="16">
        <v>221177</v>
      </c>
      <c r="B110" s="30" t="s">
        <v>298</v>
      </c>
      <c r="C110" s="20" t="s">
        <v>640</v>
      </c>
      <c r="D110" s="20" t="s">
        <v>701</v>
      </c>
      <c r="E110" s="20" t="s">
        <v>2757</v>
      </c>
      <c r="F110" s="20" t="s">
        <v>2758</v>
      </c>
      <c r="G110" s="21">
        <v>18.8</v>
      </c>
      <c r="H110" s="16">
        <v>26</v>
      </c>
      <c r="I110" s="16"/>
      <c r="J11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10" s="22"/>
      <c r="L110" s="23"/>
      <c r="M110" s="23">
        <f>SUM(Tabela17468101214223032268161925273133362421012141618242628303840248101214162022262830323436242681012142461012242624426262826268102628623668101214[[#This Row],[Saldo no cartão]:[Recarga Pendente]])</f>
        <v>0</v>
      </c>
      <c r="N110" s="19">
        <f>Tabela17468101214223032268161925273133362421012141618242628303840248101214162022262830323436242681012142461012242624426262826268102628623668101214[[#This Row],[Uso diário]]*2</f>
        <v>37.6</v>
      </c>
      <c r="O110" s="19">
        <f>Tabela17468101214223032268161925273133362421012141618242628303840248101214162022262830323436242681012142461012242624426262826268102628623668101214[[#This Row],[Total Acumulado]]-P110</f>
        <v>-94</v>
      </c>
      <c r="P110" s="48">
        <f>Tabela17468101214223032268161925273133362421012141618242628303840248101214162022262830323436242681012142461012242624426262826268102628623668101214[[#This Row],[Uso diário]]*5</f>
        <v>94</v>
      </c>
      <c r="Q11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1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0" s="25">
        <v>5</v>
      </c>
    </row>
    <row r="111" spans="1:20" s="26" customFormat="1" x14ac:dyDescent="0.25">
      <c r="A111" s="16">
        <v>226600</v>
      </c>
      <c r="B111" s="30" t="s">
        <v>1457</v>
      </c>
      <c r="C111" s="20" t="s">
        <v>640</v>
      </c>
      <c r="D111" s="20" t="s">
        <v>701</v>
      </c>
      <c r="E111" s="20" t="s">
        <v>2759</v>
      </c>
      <c r="F111" s="20" t="s">
        <v>2760</v>
      </c>
      <c r="G111" s="21">
        <v>18.8</v>
      </c>
      <c r="H111" s="16">
        <v>26</v>
      </c>
      <c r="I111" s="16"/>
      <c r="J11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11" s="22"/>
      <c r="L111" s="23"/>
      <c r="M111" s="23">
        <f>SUM(Tabela17468101214223032268161925273133362421012141618242628303840248101214162022262830323436242681012142461012242624426262826268102628623668101214[[#This Row],[Saldo no cartão]:[Recarga Pendente]])</f>
        <v>0</v>
      </c>
      <c r="N111" s="19">
        <f>Tabela17468101214223032268161925273133362421012141618242628303840248101214162022262830323436242681012142461012242624426262826268102628623668101214[[#This Row],[Uso diário]]*2</f>
        <v>37.6</v>
      </c>
      <c r="O111" s="19">
        <f>Tabela17468101214223032268161925273133362421012141618242628303840248101214162022262830323436242681012142461012242624426262826268102628623668101214[[#This Row],[Total Acumulado]]-P111</f>
        <v>-94</v>
      </c>
      <c r="P111" s="48">
        <f>Tabela17468101214223032268161925273133362421012141618242628303840248101214162022262830323436242681012142461012242624426262826268102628623668101214[[#This Row],[Uso diário]]*5</f>
        <v>94</v>
      </c>
      <c r="Q11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1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1" s="25">
        <v>5</v>
      </c>
    </row>
    <row r="112" spans="1:20" s="26" customFormat="1" x14ac:dyDescent="0.25">
      <c r="A112" s="16">
        <v>230607</v>
      </c>
      <c r="B112" s="30" t="s">
        <v>1316</v>
      </c>
      <c r="C112" s="20" t="s">
        <v>640</v>
      </c>
      <c r="D112" s="20" t="s">
        <v>701</v>
      </c>
      <c r="E112" s="20" t="s">
        <v>2761</v>
      </c>
      <c r="F112" s="20" t="s">
        <v>2762</v>
      </c>
      <c r="G112" s="21">
        <v>13.4</v>
      </c>
      <c r="H112" s="16">
        <v>26</v>
      </c>
      <c r="I112" s="16"/>
      <c r="J11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12" s="22"/>
      <c r="L112" s="23"/>
      <c r="M112" s="23">
        <f>SUM(Tabela17468101214223032268161925273133362421012141618242628303840248101214162022262830323436242681012142461012242624426262826268102628623668101214[[#This Row],[Saldo no cartão]:[Recarga Pendente]])</f>
        <v>0</v>
      </c>
      <c r="N112" s="19">
        <f>Tabela17468101214223032268161925273133362421012141618242628303840248101214162022262830323436242681012142461012242624426262826268102628623668101214[[#This Row],[Uso diário]]*2</f>
        <v>26.8</v>
      </c>
      <c r="O112" s="19">
        <f>Tabela17468101214223032268161925273133362421012141618242628303840248101214162022262830323436242681012142461012242624426262826268102628623668101214[[#This Row],[Total Acumulado]]-P112</f>
        <v>-67</v>
      </c>
      <c r="P112" s="48">
        <f>Tabela17468101214223032268161925273133362421012141618242628303840248101214162022262830323436242681012142461012242624426262826268102628623668101214[[#This Row],[Uso diário]]*5</f>
        <v>67</v>
      </c>
      <c r="Q11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1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2" s="25">
        <v>5</v>
      </c>
    </row>
    <row r="113" spans="1:20" s="26" customFormat="1" x14ac:dyDescent="0.25">
      <c r="A113" s="16">
        <v>231792</v>
      </c>
      <c r="B113" s="30" t="s">
        <v>828</v>
      </c>
      <c r="C113" s="20" t="s">
        <v>640</v>
      </c>
      <c r="D113" s="20" t="s">
        <v>702</v>
      </c>
      <c r="E113" s="20" t="s">
        <v>2763</v>
      </c>
      <c r="F113" s="20" t="s">
        <v>2764</v>
      </c>
      <c r="G113" s="21">
        <v>18.8</v>
      </c>
      <c r="H113" s="16">
        <v>26</v>
      </c>
      <c r="I113" s="16"/>
      <c r="J11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13" s="22"/>
      <c r="L113" s="23"/>
      <c r="M113" s="23">
        <f>SUM(Tabela17468101214223032268161925273133362421012141618242628303840248101214162022262830323436242681012142461012242624426262826268102628623668101214[[#This Row],[Saldo no cartão]:[Recarga Pendente]])</f>
        <v>0</v>
      </c>
      <c r="N113" s="19">
        <f>Tabela17468101214223032268161925273133362421012141618242628303840248101214162022262830323436242681012142461012242624426262826268102628623668101214[[#This Row],[Uso diário]]*2</f>
        <v>37.6</v>
      </c>
      <c r="O113" s="19">
        <f>Tabela17468101214223032268161925273133362421012141618242628303840248101214162022262830323436242681012142461012242624426262826268102628623668101214[[#This Row],[Total Acumulado]]-P113</f>
        <v>-94</v>
      </c>
      <c r="P113" s="48">
        <f>Tabela17468101214223032268161925273133362421012141618242628303840248101214162022262830323436242681012142461012242624426262826268102628623668101214[[#This Row],[Uso diário]]*5</f>
        <v>94</v>
      </c>
      <c r="Q11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1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3" s="25">
        <v>5</v>
      </c>
    </row>
    <row r="114" spans="1:20" s="26" customFormat="1" x14ac:dyDescent="0.25">
      <c r="A114" s="16">
        <v>235057</v>
      </c>
      <c r="B114" s="30" t="s">
        <v>1458</v>
      </c>
      <c r="C114" s="20" t="s">
        <v>640</v>
      </c>
      <c r="D114" s="20" t="s">
        <v>701</v>
      </c>
      <c r="E114" s="20" t="s">
        <v>2765</v>
      </c>
      <c r="F114" s="20">
        <v>0</v>
      </c>
      <c r="G114" s="21">
        <v>13.4</v>
      </c>
      <c r="H114" s="16">
        <v>26</v>
      </c>
      <c r="I114" s="16"/>
      <c r="J11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14" s="22"/>
      <c r="L114" s="23"/>
      <c r="M114" s="23">
        <f>SUM(Tabela17468101214223032268161925273133362421012141618242628303840248101214162022262830323436242681012142461012242624426262826268102628623668101214[[#This Row],[Saldo no cartão]:[Recarga Pendente]])</f>
        <v>0</v>
      </c>
      <c r="N114" s="19">
        <f>Tabela17468101214223032268161925273133362421012141618242628303840248101214162022262830323436242681012142461012242624426262826268102628623668101214[[#This Row],[Uso diário]]*2</f>
        <v>26.8</v>
      </c>
      <c r="O114" s="19">
        <f>Tabela17468101214223032268161925273133362421012141618242628303840248101214162022262830323436242681012142461012242624426262826268102628623668101214[[#This Row],[Total Acumulado]]-P114</f>
        <v>-67</v>
      </c>
      <c r="P114" s="48">
        <f>Tabela17468101214223032268161925273133362421012141618242628303840248101214162022262830323436242681012142461012242624426262826268102628623668101214[[#This Row],[Uso diário]]*5</f>
        <v>67</v>
      </c>
      <c r="Q11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1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4" s="25">
        <v>5</v>
      </c>
    </row>
    <row r="115" spans="1:20" s="26" customFormat="1" x14ac:dyDescent="0.25">
      <c r="A115" s="16">
        <v>209911</v>
      </c>
      <c r="B115" s="30" t="s">
        <v>1196</v>
      </c>
      <c r="C115" s="20" t="s">
        <v>655</v>
      </c>
      <c r="D115" s="20" t="s">
        <v>713</v>
      </c>
      <c r="E115" s="20" t="s">
        <v>2766</v>
      </c>
      <c r="F115" s="20" t="s">
        <v>2767</v>
      </c>
      <c r="G115" s="21">
        <v>14.2</v>
      </c>
      <c r="H115" s="16">
        <v>26</v>
      </c>
      <c r="I115" s="16"/>
      <c r="J11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115" s="22"/>
      <c r="L115" s="23"/>
      <c r="M115" s="23">
        <f>SUM(Tabela17468101214223032268161925273133362421012141618242628303840248101214162022262830323436242681012142461012242624426262826268102628623668101214[[#This Row],[Saldo no cartão]:[Recarga Pendente]])</f>
        <v>0</v>
      </c>
      <c r="N115" s="19">
        <f>Tabela17468101214223032268161925273133362421012141618242628303840248101214162022262830323436242681012142461012242624426262826268102628623668101214[[#This Row],[Uso diário]]*2</f>
        <v>28.4</v>
      </c>
      <c r="O115" s="19">
        <f>Tabela17468101214223032268161925273133362421012141618242628303840248101214162022262830323436242681012142461012242624426262826268102628623668101214[[#This Row],[Total Acumulado]]-P115</f>
        <v>-71</v>
      </c>
      <c r="P115" s="48">
        <f>Tabela17468101214223032268161925273133362421012141618242628303840248101214162022262830323436242681012142461012242624426262826268102628623668101214[[#This Row],[Uso diário]]*5</f>
        <v>71</v>
      </c>
      <c r="Q11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115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5" s="25">
        <v>5</v>
      </c>
    </row>
    <row r="116" spans="1:20" s="26" customFormat="1" x14ac:dyDescent="0.25">
      <c r="A116" s="16">
        <v>219204</v>
      </c>
      <c r="B116" s="30" t="s">
        <v>334</v>
      </c>
      <c r="C116" s="20" t="s">
        <v>655</v>
      </c>
      <c r="D116" s="20" t="s">
        <v>733</v>
      </c>
      <c r="E116" s="20" t="s">
        <v>2768</v>
      </c>
      <c r="F116" s="20" t="s">
        <v>2769</v>
      </c>
      <c r="G116" s="21">
        <v>13.4</v>
      </c>
      <c r="H116" s="16">
        <v>26</v>
      </c>
      <c r="I116" s="16"/>
      <c r="J11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16" s="22"/>
      <c r="L116" s="23"/>
      <c r="M116" s="23">
        <f>SUM(Tabela17468101214223032268161925273133362421012141618242628303840248101214162022262830323436242681012142461012242624426262826268102628623668101214[[#This Row],[Saldo no cartão]:[Recarga Pendente]])</f>
        <v>0</v>
      </c>
      <c r="N116" s="19">
        <f>Tabela17468101214223032268161925273133362421012141618242628303840248101214162022262830323436242681012142461012242624426262826268102628623668101214[[#This Row],[Uso diário]]*2</f>
        <v>26.8</v>
      </c>
      <c r="O116" s="19">
        <f>Tabela17468101214223032268161925273133362421012141618242628303840248101214162022262830323436242681012142461012242624426262826268102628623668101214[[#This Row],[Total Acumulado]]-P116</f>
        <v>-67</v>
      </c>
      <c r="P116" s="48">
        <f>Tabela17468101214223032268161925273133362421012141618242628303840248101214162022262830323436242681012142461012242624426262826268102628623668101214[[#This Row],[Uso diário]]*5</f>
        <v>67</v>
      </c>
      <c r="Q11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1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6" s="25">
        <v>5</v>
      </c>
    </row>
    <row r="117" spans="1:20" s="26" customFormat="1" x14ac:dyDescent="0.25">
      <c r="A117" s="16">
        <v>233181</v>
      </c>
      <c r="B117" s="30" t="s">
        <v>990</v>
      </c>
      <c r="C117" s="20" t="s">
        <v>655</v>
      </c>
      <c r="D117" s="20" t="s">
        <v>734</v>
      </c>
      <c r="E117" s="20" t="s">
        <v>2770</v>
      </c>
      <c r="F117" s="20" t="s">
        <v>2771</v>
      </c>
      <c r="G117" s="21">
        <v>13.4</v>
      </c>
      <c r="H117" s="16">
        <v>26</v>
      </c>
      <c r="I117" s="16">
        <v>1</v>
      </c>
      <c r="J11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335</v>
      </c>
      <c r="K117" s="22"/>
      <c r="L117" s="23">
        <v>22.2</v>
      </c>
      <c r="M117" s="23">
        <f>SUM(Tabela17468101214223032268161925273133362421012141618242628303840248101214162022262830323436242681012142461012242624426262826268102628623668101214[[#This Row],[Saldo no cartão]:[Recarga Pendente]])</f>
        <v>22.2</v>
      </c>
      <c r="N117" s="19">
        <f>Tabela17468101214223032268161925273133362421012141618242628303840248101214162022262830323436242681012142461012242624426262826268102628623668101214[[#This Row],[Uso diário]]*2</f>
        <v>26.8</v>
      </c>
      <c r="O117" s="19">
        <f>Tabela17468101214223032268161925273133362421012141618242628303840248101214162022262830323436242681012142461012242624426262826268102628623668101214[[#This Row],[Total Acumulado]]-P117</f>
        <v>-44.8</v>
      </c>
      <c r="P117" s="48">
        <f>Tabela17468101214223032268161925273133362421012141618242628303840248101214162022262830323436242681012142461012242624426262826268102628623668101214[[#This Row],[Uso diário]]*5</f>
        <v>67</v>
      </c>
      <c r="Q11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335</v>
      </c>
      <c r="S117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7" s="25">
        <v>5</v>
      </c>
    </row>
    <row r="118" spans="1:20" s="26" customFormat="1" x14ac:dyDescent="0.25">
      <c r="A118" s="16">
        <v>203437</v>
      </c>
      <c r="B118" s="30" t="s">
        <v>303</v>
      </c>
      <c r="C118" s="20" t="s">
        <v>641</v>
      </c>
      <c r="D118" s="20" t="s">
        <v>704</v>
      </c>
      <c r="E118" s="20" t="s">
        <v>2772</v>
      </c>
      <c r="F118" s="20" t="s">
        <v>2773</v>
      </c>
      <c r="G118" s="21">
        <v>18.8</v>
      </c>
      <c r="H118" s="16">
        <v>26</v>
      </c>
      <c r="I118" s="16"/>
      <c r="J11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18" s="22"/>
      <c r="L118" s="23"/>
      <c r="M118" s="23">
        <f>SUM(Tabela17468101214223032268161925273133362421012141618242628303840248101214162022262830323436242681012142461012242624426262826268102628623668101214[[#This Row],[Saldo no cartão]:[Recarga Pendente]])</f>
        <v>0</v>
      </c>
      <c r="N118" s="19">
        <f>Tabela17468101214223032268161925273133362421012141618242628303840248101214162022262830323436242681012142461012242624426262826268102628623668101214[[#This Row],[Uso diário]]*2</f>
        <v>37.6</v>
      </c>
      <c r="O118" s="19">
        <f>Tabela17468101214223032268161925273133362421012141618242628303840248101214162022262830323436242681012142461012242624426262826268102628623668101214[[#This Row],[Total Acumulado]]-P118</f>
        <v>-94</v>
      </c>
      <c r="P118" s="48">
        <f>Tabela17468101214223032268161925273133362421012141618242628303840248101214162022262830323436242681012142461012242624426262826268102628623668101214[[#This Row],[Uso diário]]*5</f>
        <v>94</v>
      </c>
      <c r="Q11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1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8" s="25">
        <v>5</v>
      </c>
    </row>
    <row r="119" spans="1:20" s="26" customFormat="1" x14ac:dyDescent="0.25">
      <c r="A119" s="16">
        <v>211379</v>
      </c>
      <c r="B119" s="30" t="s">
        <v>304</v>
      </c>
      <c r="C119" s="20" t="s">
        <v>641</v>
      </c>
      <c r="D119" s="20" t="s">
        <v>743</v>
      </c>
      <c r="E119" s="20" t="s">
        <v>2774</v>
      </c>
      <c r="F119" s="20" t="s">
        <v>2775</v>
      </c>
      <c r="G119" s="21">
        <v>14.2</v>
      </c>
      <c r="H119" s="16">
        <v>26</v>
      </c>
      <c r="I119" s="16"/>
      <c r="J11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119" s="22"/>
      <c r="L119" s="23"/>
      <c r="M119" s="23">
        <f>SUM(Tabela17468101214223032268161925273133362421012141618242628303840248101214162022262830323436242681012142461012242624426262826268102628623668101214[[#This Row],[Saldo no cartão]:[Recarga Pendente]])</f>
        <v>0</v>
      </c>
      <c r="N119" s="19">
        <f>Tabela17468101214223032268161925273133362421012141618242628303840248101214162022262830323436242681012142461012242624426262826268102628623668101214[[#This Row],[Uso diário]]*2</f>
        <v>28.4</v>
      </c>
      <c r="O119" s="19">
        <f>Tabela17468101214223032268161925273133362421012141618242628303840248101214162022262830323436242681012142461012242624426262826268102628623668101214[[#This Row],[Total Acumulado]]-P119</f>
        <v>-71</v>
      </c>
      <c r="P119" s="48">
        <f>Tabela17468101214223032268161925273133362421012141618242628303840248101214162022262830323436242681012142461012242624426262826268102628623668101214[[#This Row],[Uso diário]]*5</f>
        <v>71</v>
      </c>
      <c r="Q11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1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11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19" s="25">
        <v>5</v>
      </c>
    </row>
    <row r="120" spans="1:20" s="26" customFormat="1" x14ac:dyDescent="0.25">
      <c r="A120" s="16">
        <v>211492</v>
      </c>
      <c r="B120" s="30" t="s">
        <v>305</v>
      </c>
      <c r="C120" s="20" t="s">
        <v>641</v>
      </c>
      <c r="D120" s="20" t="s">
        <v>743</v>
      </c>
      <c r="E120" s="20" t="s">
        <v>2776</v>
      </c>
      <c r="F120" s="20" t="s">
        <v>2777</v>
      </c>
      <c r="G120" s="21">
        <v>18.8</v>
      </c>
      <c r="H120" s="16">
        <v>26</v>
      </c>
      <c r="I120" s="16"/>
      <c r="J12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20" s="22"/>
      <c r="L120" s="23"/>
      <c r="M120" s="23">
        <f>SUM(Tabela17468101214223032268161925273133362421012141618242628303840248101214162022262830323436242681012142461012242624426262826268102628623668101214[[#This Row],[Saldo no cartão]:[Recarga Pendente]])</f>
        <v>0</v>
      </c>
      <c r="N120" s="19">
        <f>Tabela17468101214223032268161925273133362421012141618242628303840248101214162022262830323436242681012142461012242624426262826268102628623668101214[[#This Row],[Uso diário]]*2</f>
        <v>37.6</v>
      </c>
      <c r="O120" s="19">
        <f>Tabela17468101214223032268161925273133362421012141618242628303840248101214162022262830323436242681012142461012242624426262826268102628623668101214[[#This Row],[Total Acumulado]]-P120</f>
        <v>-94</v>
      </c>
      <c r="P120" s="48">
        <f>Tabela17468101214223032268161925273133362421012141618242628303840248101214162022262830323436242681012142461012242624426262826268102628623668101214[[#This Row],[Uso diário]]*5</f>
        <v>94</v>
      </c>
      <c r="Q12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2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0" s="25">
        <v>5</v>
      </c>
    </row>
    <row r="121" spans="1:20" s="26" customFormat="1" x14ac:dyDescent="0.25">
      <c r="A121" s="16">
        <v>214636</v>
      </c>
      <c r="B121" s="30" t="s">
        <v>1073</v>
      </c>
      <c r="C121" s="20" t="s">
        <v>641</v>
      </c>
      <c r="D121" s="20" t="s">
        <v>705</v>
      </c>
      <c r="E121" s="20" t="s">
        <v>2778</v>
      </c>
      <c r="F121" s="20" t="s">
        <v>2779</v>
      </c>
      <c r="G121" s="21">
        <v>14.2</v>
      </c>
      <c r="H121" s="16">
        <v>26</v>
      </c>
      <c r="I121" s="16"/>
      <c r="J12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121" s="22"/>
      <c r="L121" s="23"/>
      <c r="M121" s="23">
        <f>SUM(Tabela17468101214223032268161925273133362421012141618242628303840248101214162022262830323436242681012142461012242624426262826268102628623668101214[[#This Row],[Saldo no cartão]:[Recarga Pendente]])</f>
        <v>0</v>
      </c>
      <c r="N121" s="19">
        <f>Tabela17468101214223032268161925273133362421012141618242628303840248101214162022262830323436242681012142461012242624426262826268102628623668101214[[#This Row],[Uso diário]]*2</f>
        <v>28.4</v>
      </c>
      <c r="O121" s="19">
        <f>Tabela17468101214223032268161925273133362421012141618242628303840248101214162022262830323436242681012142461012242624426262826268102628623668101214[[#This Row],[Total Acumulado]]-P121</f>
        <v>-71</v>
      </c>
      <c r="P121" s="48">
        <f>Tabela17468101214223032268161925273133362421012141618242628303840248101214162022262830323436242681012142461012242624426262826268102628623668101214[[#This Row],[Uso diário]]*5</f>
        <v>71</v>
      </c>
      <c r="Q12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12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1" s="25">
        <v>5</v>
      </c>
    </row>
    <row r="122" spans="1:20" s="26" customFormat="1" x14ac:dyDescent="0.25">
      <c r="A122" s="16">
        <v>218050</v>
      </c>
      <c r="B122" s="30" t="s">
        <v>307</v>
      </c>
      <c r="C122" s="20" t="s">
        <v>641</v>
      </c>
      <c r="D122" s="20" t="s">
        <v>704</v>
      </c>
      <c r="E122" s="20" t="s">
        <v>2780</v>
      </c>
      <c r="F122" s="20" t="s">
        <v>2781</v>
      </c>
      <c r="G122" s="21">
        <v>18.8</v>
      </c>
      <c r="H122" s="16">
        <v>26</v>
      </c>
      <c r="I122" s="16"/>
      <c r="J12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22" s="22"/>
      <c r="L122" s="23">
        <v>207.9</v>
      </c>
      <c r="M122" s="23">
        <f>SUM(Tabela17468101214223032268161925273133362421012141618242628303840248101214162022262830323436242681012142461012242624426262826268102628623668101214[[#This Row],[Saldo no cartão]:[Recarga Pendente]])</f>
        <v>207.9</v>
      </c>
      <c r="N122" s="19">
        <f>Tabela17468101214223032268161925273133362421012141618242628303840248101214162022262830323436242681012142461012242624426262826268102628623668101214[[#This Row],[Uso diário]]*2</f>
        <v>37.6</v>
      </c>
      <c r="O122" s="19">
        <f>Tabela17468101214223032268161925273133362421012141618242628303840248101214162022262830323436242681012142461012242624426262826268102628623668101214[[#This Row],[Total Acumulado]]-P122</f>
        <v>113.9</v>
      </c>
      <c r="P122" s="48">
        <f>Tabela17468101214223032268161925273133362421012141618242628303840248101214162022262830323436242681012142461012242624426262826268102628623668101214[[#This Row],[Uso diário]]*5</f>
        <v>94</v>
      </c>
      <c r="Q12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113.9</v>
      </c>
      <c r="R12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374.9</v>
      </c>
      <c r="S122" s="18" t="s">
        <v>11</v>
      </c>
      <c r="T122" s="25">
        <v>5</v>
      </c>
    </row>
    <row r="123" spans="1:20" s="26" customFormat="1" x14ac:dyDescent="0.25">
      <c r="A123" s="16">
        <v>218807</v>
      </c>
      <c r="B123" s="30" t="s">
        <v>308</v>
      </c>
      <c r="C123" s="20" t="s">
        <v>641</v>
      </c>
      <c r="D123" s="20" t="s">
        <v>704</v>
      </c>
      <c r="E123" s="20" t="s">
        <v>2782</v>
      </c>
      <c r="F123" s="20" t="s">
        <v>2783</v>
      </c>
      <c r="G123" s="21">
        <v>18.8</v>
      </c>
      <c r="H123" s="16">
        <v>26</v>
      </c>
      <c r="I123" s="16"/>
      <c r="J12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23" s="22"/>
      <c r="L123" s="23"/>
      <c r="M123" s="23">
        <f>SUM(Tabela17468101214223032268161925273133362421012141618242628303840248101214162022262830323436242681012142461012242624426262826268102628623668101214[[#This Row],[Saldo no cartão]:[Recarga Pendente]])</f>
        <v>0</v>
      </c>
      <c r="N123" s="19">
        <f>Tabela17468101214223032268161925273133362421012141618242628303840248101214162022262830323436242681012142461012242624426262826268102628623668101214[[#This Row],[Uso diário]]*2</f>
        <v>37.6</v>
      </c>
      <c r="O123" s="19">
        <f>Tabela17468101214223032268161925273133362421012141618242628303840248101214162022262830323436242681012142461012242624426262826268102628623668101214[[#This Row],[Total Acumulado]]-P123</f>
        <v>-94</v>
      </c>
      <c r="P123" s="48">
        <f>Tabela17468101214223032268161925273133362421012141618242628303840248101214162022262830323436242681012142461012242624426262826268102628623668101214[[#This Row],[Uso diário]]*5</f>
        <v>94</v>
      </c>
      <c r="Q12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2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3" s="25">
        <v>5</v>
      </c>
    </row>
    <row r="124" spans="1:20" s="26" customFormat="1" x14ac:dyDescent="0.25">
      <c r="A124" s="16">
        <v>221046</v>
      </c>
      <c r="B124" s="30" t="s">
        <v>309</v>
      </c>
      <c r="C124" s="20" t="s">
        <v>641</v>
      </c>
      <c r="D124" s="20" t="s">
        <v>704</v>
      </c>
      <c r="E124" s="20" t="s">
        <v>2784</v>
      </c>
      <c r="F124" s="20" t="s">
        <v>2785</v>
      </c>
      <c r="G124" s="21">
        <v>18.8</v>
      </c>
      <c r="H124" s="16">
        <v>26</v>
      </c>
      <c r="I124" s="16">
        <v>3</v>
      </c>
      <c r="J124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432.40000000000003</v>
      </c>
      <c r="K124" s="22"/>
      <c r="L124" s="23"/>
      <c r="M124" s="23">
        <f>SUM(Tabela17468101214223032268161925273133362421012141618242628303840248101214162022262830323436242681012142461012242624426262826268102628623668101214[[#This Row],[Saldo no cartão]:[Recarga Pendente]])</f>
        <v>0</v>
      </c>
      <c r="N124" s="19">
        <f>Tabela17468101214223032268161925273133362421012141618242628303840248101214162022262830323436242681012142461012242624426262826268102628623668101214[[#This Row],[Uso diário]]*2</f>
        <v>37.6</v>
      </c>
      <c r="O124" s="19">
        <f>Tabela17468101214223032268161925273133362421012141618242628303840248101214162022262830323436242681012142461012242624426262826268102628623668101214[[#This Row],[Total Acumulado]]-P124</f>
        <v>-94</v>
      </c>
      <c r="P124" s="48">
        <f>Tabela17468101214223032268161925273133362421012141618242628303840248101214162022262830323436242681012142461012242624426262826268102628623668101214[[#This Row],[Uso diário]]*5</f>
        <v>94</v>
      </c>
      <c r="Q124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4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432.40000000000003</v>
      </c>
      <c r="S124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4" s="25">
        <v>5</v>
      </c>
    </row>
    <row r="125" spans="1:20" s="26" customFormat="1" x14ac:dyDescent="0.25">
      <c r="A125" s="16">
        <v>222574</v>
      </c>
      <c r="B125" s="30" t="s">
        <v>1074</v>
      </c>
      <c r="C125" s="20" t="s">
        <v>641</v>
      </c>
      <c r="D125" s="20" t="s">
        <v>744</v>
      </c>
      <c r="E125" s="20" t="s">
        <v>2786</v>
      </c>
      <c r="F125" s="20" t="s">
        <v>2787</v>
      </c>
      <c r="G125" s="21">
        <v>18.8</v>
      </c>
      <c r="H125" s="16">
        <v>26</v>
      </c>
      <c r="I125" s="16"/>
      <c r="J125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25" s="22"/>
      <c r="L125" s="23">
        <v>432.4</v>
      </c>
      <c r="M125" s="23">
        <f>SUM(Tabela17468101214223032268161925273133362421012141618242628303840248101214162022262830323436242681012142461012242624426262826268102628623668101214[[#This Row],[Saldo no cartão]:[Recarga Pendente]])</f>
        <v>432.4</v>
      </c>
      <c r="N125" s="19">
        <f>Tabela17468101214223032268161925273133362421012141618242628303840248101214162022262830323436242681012142461012242624426262826268102628623668101214[[#This Row],[Uso diário]]*2</f>
        <v>37.6</v>
      </c>
      <c r="O125" s="19">
        <f>Tabela17468101214223032268161925273133362421012141618242628303840248101214162022262830323436242681012142461012242624426262826268102628623668101214[[#This Row],[Total Acumulado]]-P125</f>
        <v>338.4</v>
      </c>
      <c r="P125" s="48">
        <f>Tabela17468101214223032268161925273133362421012141618242628303840248101214162022262830323436242681012142461012242624426262826268102628623668101214[[#This Row],[Uso diário]]*5</f>
        <v>94</v>
      </c>
      <c r="Q125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338.4</v>
      </c>
      <c r="R125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150.40000000000003</v>
      </c>
      <c r="S125" s="18" t="s">
        <v>11</v>
      </c>
      <c r="T125" s="25">
        <v>5</v>
      </c>
    </row>
    <row r="126" spans="1:20" s="26" customFormat="1" x14ac:dyDescent="0.25">
      <c r="A126" s="16">
        <v>222724</v>
      </c>
      <c r="B126" s="30" t="s">
        <v>310</v>
      </c>
      <c r="C126" s="20" t="s">
        <v>641</v>
      </c>
      <c r="D126" s="20" t="s">
        <v>704</v>
      </c>
      <c r="E126" s="20" t="s">
        <v>2788</v>
      </c>
      <c r="F126" s="20" t="s">
        <v>2789</v>
      </c>
      <c r="G126" s="21">
        <v>14.2</v>
      </c>
      <c r="H126" s="16">
        <v>26</v>
      </c>
      <c r="I126" s="16"/>
      <c r="J126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369.2</v>
      </c>
      <c r="K126" s="22"/>
      <c r="L126" s="23"/>
      <c r="M126" s="23">
        <f>SUM(Tabela17468101214223032268161925273133362421012141618242628303840248101214162022262830323436242681012142461012242624426262826268102628623668101214[[#This Row],[Saldo no cartão]:[Recarga Pendente]])</f>
        <v>0</v>
      </c>
      <c r="N126" s="19">
        <f>Tabela17468101214223032268161925273133362421012141618242628303840248101214162022262830323436242681012142461012242624426262826268102628623668101214[[#This Row],[Uso diário]]*2</f>
        <v>28.4</v>
      </c>
      <c r="O126" s="19">
        <f>Tabela17468101214223032268161925273133362421012141618242628303840248101214162022262830323436242681012142461012242624426262826268102628623668101214[[#This Row],[Total Acumulado]]-P126</f>
        <v>-71</v>
      </c>
      <c r="P126" s="48">
        <f>Tabela17468101214223032268161925273133362421012141618242628303840248101214162022262830323436242681012142461012242624426262826268102628623668101214[[#This Row],[Uso diário]]*5</f>
        <v>71</v>
      </c>
      <c r="Q126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6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369.2</v>
      </c>
      <c r="S126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6" s="25">
        <v>5</v>
      </c>
    </row>
    <row r="127" spans="1:20" s="26" customFormat="1" x14ac:dyDescent="0.25">
      <c r="A127" s="16">
        <v>222867</v>
      </c>
      <c r="B127" s="30" t="s">
        <v>1197</v>
      </c>
      <c r="C127" s="20" t="s">
        <v>641</v>
      </c>
      <c r="D127" s="20" t="s">
        <v>704</v>
      </c>
      <c r="E127" s="20" t="s">
        <v>2790</v>
      </c>
      <c r="F127" s="20" t="s">
        <v>2791</v>
      </c>
      <c r="G127" s="21">
        <v>13.8</v>
      </c>
      <c r="H127" s="16">
        <v>26</v>
      </c>
      <c r="I127" s="16"/>
      <c r="J127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358.8</v>
      </c>
      <c r="K127" s="22"/>
      <c r="L127" s="23">
        <v>164.6</v>
      </c>
      <c r="M127" s="23">
        <f>SUM(Tabela17468101214223032268161925273133362421012141618242628303840248101214162022262830323436242681012142461012242624426262826268102628623668101214[[#This Row],[Saldo no cartão]:[Recarga Pendente]])</f>
        <v>164.6</v>
      </c>
      <c r="N127" s="19">
        <f>Tabela17468101214223032268161925273133362421012141618242628303840248101214162022262830323436242681012142461012242624426262826268102628623668101214[[#This Row],[Uso diário]]*2</f>
        <v>27.6</v>
      </c>
      <c r="O127" s="19">
        <f>Tabela17468101214223032268161925273133362421012141618242628303840248101214162022262830323436242681012142461012242624426262826268102628623668101214[[#This Row],[Total Acumulado]]-P127</f>
        <v>95.6</v>
      </c>
      <c r="P127" s="48">
        <f>Tabela17468101214223032268161925273133362421012141618242628303840248101214162022262830323436242681012142461012242624426262826268102628623668101214[[#This Row],[Uso diário]]*5</f>
        <v>69</v>
      </c>
      <c r="Q127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95.6</v>
      </c>
      <c r="R127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263.20000000000005</v>
      </c>
      <c r="S127" s="18" t="s">
        <v>11</v>
      </c>
      <c r="T127" s="25">
        <v>5</v>
      </c>
    </row>
    <row r="128" spans="1:20" s="26" customFormat="1" x14ac:dyDescent="0.25">
      <c r="A128" s="16">
        <v>231793</v>
      </c>
      <c r="B128" s="30" t="s">
        <v>829</v>
      </c>
      <c r="C128" s="20" t="s">
        <v>641</v>
      </c>
      <c r="D128" s="20" t="s">
        <v>704</v>
      </c>
      <c r="E128" s="20" t="s">
        <v>2792</v>
      </c>
      <c r="F128" s="20" t="s">
        <v>2793</v>
      </c>
      <c r="G128" s="21">
        <v>18.8</v>
      </c>
      <c r="H128" s="16">
        <v>26</v>
      </c>
      <c r="I128" s="16"/>
      <c r="J128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28" s="22"/>
      <c r="L128" s="23"/>
      <c r="M128" s="23">
        <f>SUM(Tabela17468101214223032268161925273133362421012141618242628303840248101214162022262830323436242681012142461012242624426262826268102628623668101214[[#This Row],[Saldo no cartão]:[Recarga Pendente]])</f>
        <v>0</v>
      </c>
      <c r="N128" s="19">
        <f>Tabela17468101214223032268161925273133362421012141618242628303840248101214162022262830323436242681012142461012242624426262826268102628623668101214[[#This Row],[Uso diário]]*2</f>
        <v>37.6</v>
      </c>
      <c r="O128" s="19">
        <f>Tabela17468101214223032268161925273133362421012141618242628303840248101214162022262830323436242681012142461012242624426262826268102628623668101214[[#This Row],[Total Acumulado]]-P128</f>
        <v>-94</v>
      </c>
      <c r="P128" s="48">
        <f>Tabela17468101214223032268161925273133362421012141618242628303840248101214162022262830323436242681012142461012242624426262826268102628623668101214[[#This Row],[Uso diário]]*5</f>
        <v>94</v>
      </c>
      <c r="Q128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8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28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8" s="25">
        <v>5</v>
      </c>
    </row>
    <row r="129" spans="1:20" s="26" customFormat="1" x14ac:dyDescent="0.25">
      <c r="A129" s="16">
        <v>233249</v>
      </c>
      <c r="B129" s="30" t="s">
        <v>991</v>
      </c>
      <c r="C129" s="20" t="s">
        <v>641</v>
      </c>
      <c r="D129" s="20" t="s">
        <v>704</v>
      </c>
      <c r="E129" s="20" t="s">
        <v>2794</v>
      </c>
      <c r="F129" s="20" t="s">
        <v>2795</v>
      </c>
      <c r="G129" s="21">
        <v>18.8</v>
      </c>
      <c r="H129" s="16">
        <v>26</v>
      </c>
      <c r="I129" s="16"/>
      <c r="J129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29" s="22"/>
      <c r="L129" s="23"/>
      <c r="M129" s="23">
        <f>SUM(Tabela17468101214223032268161925273133362421012141618242628303840248101214162022262830323436242681012142461012242624426262826268102628623668101214[[#This Row],[Saldo no cartão]:[Recarga Pendente]])</f>
        <v>0</v>
      </c>
      <c r="N129" s="19">
        <f>Tabela17468101214223032268161925273133362421012141618242628303840248101214162022262830323436242681012142461012242624426262826268102628623668101214[[#This Row],[Uso diário]]*2</f>
        <v>37.6</v>
      </c>
      <c r="O129" s="19">
        <f>Tabela17468101214223032268161925273133362421012141618242628303840248101214162022262830323436242681012142461012242624426262826268102628623668101214[[#This Row],[Total Acumulado]]-P129</f>
        <v>-94</v>
      </c>
      <c r="P129" s="48">
        <f>Tabela17468101214223032268161925273133362421012141618242628303840248101214162022262830323436242681012142461012242624426262826268102628623668101214[[#This Row],[Uso diário]]*5</f>
        <v>94</v>
      </c>
      <c r="Q129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29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29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29" s="25">
        <v>5</v>
      </c>
    </row>
    <row r="130" spans="1:20" s="26" customFormat="1" x14ac:dyDescent="0.25">
      <c r="A130" s="16">
        <v>233250</v>
      </c>
      <c r="B130" s="30" t="s">
        <v>992</v>
      </c>
      <c r="C130" s="20" t="s">
        <v>641</v>
      </c>
      <c r="D130" s="20" t="s">
        <v>704</v>
      </c>
      <c r="E130" s="20" t="s">
        <v>2796</v>
      </c>
      <c r="F130" s="20" t="s">
        <v>2797</v>
      </c>
      <c r="G130" s="21">
        <v>18.8</v>
      </c>
      <c r="H130" s="16">
        <v>26</v>
      </c>
      <c r="I130" s="16"/>
      <c r="J130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30" s="22"/>
      <c r="L130" s="23"/>
      <c r="M130" s="23">
        <f>SUM(Tabela17468101214223032268161925273133362421012141618242628303840248101214162022262830323436242681012142461012242624426262826268102628623668101214[[#This Row],[Saldo no cartão]:[Recarga Pendente]])</f>
        <v>0</v>
      </c>
      <c r="N130" s="19">
        <f>Tabela17468101214223032268161925273133362421012141618242628303840248101214162022262830323436242681012142461012242624426262826268102628623668101214[[#This Row],[Uso diário]]*2</f>
        <v>37.6</v>
      </c>
      <c r="O130" s="19">
        <f>Tabela17468101214223032268161925273133362421012141618242628303840248101214162022262830323436242681012142461012242624426262826268102628623668101214[[#This Row],[Total Acumulado]]-P130</f>
        <v>-94</v>
      </c>
      <c r="P130" s="48">
        <f>Tabela17468101214223032268161925273133362421012141618242628303840248101214162022262830323436242681012142461012242624426262826268102628623668101214[[#This Row],[Uso diário]]*5</f>
        <v>94</v>
      </c>
      <c r="Q130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30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30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30" s="25">
        <v>5</v>
      </c>
    </row>
    <row r="131" spans="1:20" s="26" customFormat="1" x14ac:dyDescent="0.25">
      <c r="A131" s="16">
        <v>234628</v>
      </c>
      <c r="B131" s="30" t="s">
        <v>1317</v>
      </c>
      <c r="C131" s="20" t="s">
        <v>641</v>
      </c>
      <c r="D131" s="20" t="s">
        <v>704</v>
      </c>
      <c r="E131" s="20" t="s">
        <v>2798</v>
      </c>
      <c r="F131" s="20" t="s">
        <v>2799</v>
      </c>
      <c r="G131" s="21">
        <v>18.8</v>
      </c>
      <c r="H131" s="16">
        <v>26</v>
      </c>
      <c r="I131" s="16">
        <v>4</v>
      </c>
      <c r="J131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413.6</v>
      </c>
      <c r="K131" s="22"/>
      <c r="L131" s="23"/>
      <c r="M131" s="23">
        <f>SUM(Tabela17468101214223032268161925273133362421012141618242628303840248101214162022262830323436242681012142461012242624426262826268102628623668101214[[#This Row],[Saldo no cartão]:[Recarga Pendente]])</f>
        <v>0</v>
      </c>
      <c r="N131" s="19">
        <f>Tabela17468101214223032268161925273133362421012141618242628303840248101214162022262830323436242681012142461012242624426262826268102628623668101214[[#This Row],[Uso diário]]*2</f>
        <v>37.6</v>
      </c>
      <c r="O131" s="19">
        <f>Tabela17468101214223032268161925273133362421012141618242628303840248101214162022262830323436242681012142461012242624426262826268102628623668101214[[#This Row],[Total Acumulado]]-P131</f>
        <v>-94</v>
      </c>
      <c r="P131" s="48">
        <f>Tabela17468101214223032268161925273133362421012141618242628303840248101214162022262830323436242681012142461012242624426262826268102628623668101214[[#This Row],[Uso diário]]*5</f>
        <v>94</v>
      </c>
      <c r="Q131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31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413.6</v>
      </c>
      <c r="S131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31" s="25">
        <v>5</v>
      </c>
    </row>
    <row r="132" spans="1:20" s="26" customFormat="1" x14ac:dyDescent="0.25">
      <c r="A132" s="16">
        <v>234669</v>
      </c>
      <c r="B132" s="30" t="s">
        <v>1365</v>
      </c>
      <c r="C132" s="20" t="s">
        <v>641</v>
      </c>
      <c r="D132" s="20" t="s">
        <v>743</v>
      </c>
      <c r="E132" s="20" t="s">
        <v>2800</v>
      </c>
      <c r="F132" s="20" t="s">
        <v>2801</v>
      </c>
      <c r="G132" s="21">
        <v>13.4</v>
      </c>
      <c r="H132" s="16">
        <v>26</v>
      </c>
      <c r="I132" s="16"/>
      <c r="J132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348.40000000000003</v>
      </c>
      <c r="K132" s="22"/>
      <c r="L132" s="23"/>
      <c r="M132" s="23">
        <f>SUM(Tabela17468101214223032268161925273133362421012141618242628303840248101214162022262830323436242681012142461012242624426262826268102628623668101214[[#This Row],[Saldo no cartão]:[Recarga Pendente]])</f>
        <v>0</v>
      </c>
      <c r="N132" s="19">
        <f>Tabela17468101214223032268161925273133362421012141618242628303840248101214162022262830323436242681012142461012242624426262826268102628623668101214[[#This Row],[Uso diário]]*2</f>
        <v>26.8</v>
      </c>
      <c r="O132" s="19">
        <f>Tabela17468101214223032268161925273133362421012141618242628303840248101214162022262830323436242681012142461012242624426262826268102628623668101214[[#This Row],[Total Acumulado]]-P132</f>
        <v>-67</v>
      </c>
      <c r="P132" s="48">
        <f>Tabela17468101214223032268161925273133362421012141618242628303840248101214162022262830323436242681012142461012242624426262826268102628623668101214[[#This Row],[Uso diário]]*5</f>
        <v>67</v>
      </c>
      <c r="Q132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32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348.40000000000003</v>
      </c>
      <c r="S132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32" s="25">
        <v>5</v>
      </c>
    </row>
    <row r="133" spans="1:20" s="26" customFormat="1" x14ac:dyDescent="0.25">
      <c r="A133" s="16">
        <v>222581</v>
      </c>
      <c r="B133" s="30" t="s">
        <v>311</v>
      </c>
      <c r="C133" s="20" t="s">
        <v>645</v>
      </c>
      <c r="D133" s="20" t="s">
        <v>711</v>
      </c>
      <c r="E133" s="20" t="s">
        <v>2802</v>
      </c>
      <c r="F133" s="20" t="s">
        <v>2803</v>
      </c>
      <c r="G133" s="21">
        <v>18.8</v>
      </c>
      <c r="H133" s="16">
        <v>26</v>
      </c>
      <c r="I133" s="16"/>
      <c r="J133" s="17">
        <f>(Tabela17468101214223032268161925273133362421012141618242628303840248101214162022262830323436242681012142461012242624426262826268102628623668101214[[#This Row],[D]]-Tabela17468101214223032268161925273133362421012141618242628303840248101214162022262830323436242681012142461012242624426262826268102628623668101214[[#This Row],[F]])*Tabela17468101214223032268161925273133362421012141618242628303840248101214162022262830323436242681012142461012242624426262826268102628623668101214[[#This Row],[Uso diário]]</f>
        <v>488.8</v>
      </c>
      <c r="K133" s="22"/>
      <c r="L133" s="23"/>
      <c r="M133" s="23">
        <f>SUM(Tabela17468101214223032268161925273133362421012141618242628303840248101214162022262830323436242681012142461012242624426262826268102628623668101214[[#This Row],[Saldo no cartão]:[Recarga Pendente]])</f>
        <v>0</v>
      </c>
      <c r="N133" s="19">
        <f>Tabela17468101214223032268161925273133362421012141618242628303840248101214162022262830323436242681012142461012242624426262826268102628623668101214[[#This Row],[Uso diário]]*2</f>
        <v>37.6</v>
      </c>
      <c r="O133" s="19">
        <f>Tabela17468101214223032268161925273133362421012141618242628303840248101214162022262830323436242681012142461012242624426262826268102628623668101214[[#This Row],[Total Acumulado]]-P133</f>
        <v>-94</v>
      </c>
      <c r="P133" s="48">
        <f>Tabela17468101214223032268161925273133362421012141618242628303840248101214162022262830323436242681012142461012242624426262826268102628623668101214[[#This Row],[Uso diário]]*5</f>
        <v>94</v>
      </c>
      <c r="Q133" s="17">
        <f>IF(Tabela17468101214223032268161925273133362421012141618242628303840248101214162022262830323436242681012142461012242624426262826268102628623668101214[[#This Row],[acumulo]]&lt;Tabela17468101214223032268161925273133362421012141618242628303840248101214162022262830323436242681012142461012242624426262826268102628623668101214[[#This Row],[acumulo minimo]],0,Tabela17468101214223032268161925273133362421012141618242628303840248101214162022262830323436242681012142461012242624426262826268102628623668101214[[#This Row],[acumulo]])</f>
        <v>0</v>
      </c>
      <c r="R133" s="24">
        <f>IF(Tabela17468101214223032268161925273133362421012141618242628303840248101214162022262830323436242681012142461012242624426262826268102628623668101214[[#This Row],[Valor economizado]]&gt;Tabela17468101214223032268161925273133362421012141618242628303840248101214162022262830323436242681012142461012242624426262826268102628623668101214[[#This Row],[Pedido Inicial]],0,Tabela17468101214223032268161925273133362421012141618242628303840248101214162022262830323436242681012142461012242624426262826268102628623668101214[[#This Row],[Pedido Inicial]]-Tabela17468101214223032268161925273133362421012141618242628303840248101214162022262830323436242681012142461012242624426262826268102628623668101214[[#This Row],[Valor economizado]])</f>
        <v>488.8</v>
      </c>
      <c r="S133" s="18" t="str">
        <f>IF(Tabela17468101214223032268161925273133362421012141618242628303840248101214162022262830323436242681012142461012242624426262826268102628623668101214[[#This Row],[Pedido Final]]=0,"NÃO EFETUAR RECARGA","RECARGA NORMAL")</f>
        <v>RECARGA NORMAL</v>
      </c>
      <c r="T133" s="25">
        <v>5</v>
      </c>
    </row>
    <row r="134" spans="1:20" s="8" customFormat="1" x14ac:dyDescent="0.25">
      <c r="A134" s="13" t="s">
        <v>13</v>
      </c>
      <c r="B134" s="13"/>
      <c r="C134" s="13"/>
      <c r="D134" s="13"/>
      <c r="E134" s="20"/>
      <c r="F134" s="20"/>
      <c r="G134" s="33"/>
      <c r="H134" s="13"/>
      <c r="I134" s="13"/>
      <c r="J134" s="14">
        <f>SUBTOTAL(109,Tabela17468101214223032268161925273133362421012141618242628303840248101214162022262830323436242681012142461012242624426262826268102628623668101214[Pedido Inicial])</f>
        <v>46902.500000000029</v>
      </c>
      <c r="K134" s="15"/>
      <c r="L134" s="15"/>
      <c r="M134" s="15"/>
      <c r="N134" s="15"/>
      <c r="O134" s="15"/>
      <c r="P134" s="15"/>
      <c r="Q134" s="15"/>
      <c r="R134" s="14">
        <f>SUBTOTAL(109,Tabela17468101214223032268161925273133362421012141618242628303840248101214162022262830323436242681012142461012242624426262826268102628623668101214[Pedido Final])</f>
        <v>44973.280000000013</v>
      </c>
      <c r="S134" s="31">
        <f>SUBTOTAL(103,Tabela17468101214223032268161925273133362421012141618242628303840248101214162022262830323436242681012142461012242624426262826268102628623668101214[Status])</f>
        <v>130</v>
      </c>
      <c r="T134" s="13"/>
    </row>
    <row r="135" spans="1:20" s="8" customFormat="1" x14ac:dyDescent="0.25">
      <c r="A135" s="13"/>
      <c r="B135" s="13"/>
      <c r="C135" s="13"/>
      <c r="D135" s="13"/>
      <c r="E135" s="20"/>
      <c r="F135" s="20"/>
      <c r="G135" s="33"/>
      <c r="H135" s="13"/>
      <c r="I135" s="13"/>
      <c r="J135" s="14"/>
      <c r="K135" s="15"/>
      <c r="L135" s="15"/>
      <c r="M135" s="15"/>
      <c r="N135" s="15"/>
      <c r="O135" s="15"/>
      <c r="P135" s="15"/>
      <c r="Q135" s="15"/>
      <c r="R135" s="14"/>
      <c r="S135" s="31"/>
      <c r="T135" s="13"/>
    </row>
    <row r="136" spans="1:20" s="8" customFormat="1" x14ac:dyDescent="0.25">
      <c r="A136" s="13"/>
      <c r="B136" s="13"/>
      <c r="C136" s="13"/>
      <c r="D136" s="13"/>
      <c r="E136" s="20"/>
      <c r="F136" s="20"/>
      <c r="G136" s="33"/>
      <c r="H136" s="13"/>
      <c r="I136" s="13"/>
      <c r="J136" s="14"/>
      <c r="K136" s="15"/>
      <c r="L136" s="15"/>
      <c r="M136" s="15"/>
      <c r="N136" s="15"/>
      <c r="O136" s="15"/>
      <c r="P136" s="15"/>
      <c r="Q136" s="15"/>
      <c r="R136" s="14"/>
      <c r="S136" s="31"/>
      <c r="T136" s="13"/>
    </row>
    <row r="137" spans="1:20" s="8" customFormat="1" x14ac:dyDescent="0.25">
      <c r="A137" s="1"/>
      <c r="B137" s="54" t="s">
        <v>14</v>
      </c>
      <c r="C137" s="55"/>
      <c r="D137" s="13"/>
      <c r="F137" s="37"/>
      <c r="G137" s="37"/>
      <c r="H137" s="37"/>
      <c r="I137" s="37"/>
      <c r="J137" s="28"/>
      <c r="K137" s="3"/>
      <c r="L137" s="1"/>
      <c r="M137" s="1"/>
      <c r="N137" s="1"/>
      <c r="O137" s="1"/>
      <c r="P137" s="1"/>
      <c r="Q137" s="1"/>
      <c r="R137" s="4" t="s">
        <v>26</v>
      </c>
      <c r="S137" s="39" t="s">
        <v>15</v>
      </c>
    </row>
    <row r="138" spans="1:20" s="8" customFormat="1" x14ac:dyDescent="0.25">
      <c r="A138" s="1"/>
      <c r="B138" s="50" t="s">
        <v>24</v>
      </c>
      <c r="C138" s="45">
        <f>Tabela17468101214223032268161925273133362421012141618242628303840248101214162022262830323436242681012142461012242624426262826268102628623668101214[[#Totals],[Pedido Inicial]]</f>
        <v>46902.500000000029</v>
      </c>
      <c r="D138" s="13"/>
      <c r="F138" s="41"/>
      <c r="G138" s="41"/>
      <c r="H138" s="34"/>
      <c r="I138" s="34"/>
      <c r="J138" s="34"/>
      <c r="K138" s="5"/>
      <c r="L138" s="1"/>
      <c r="M138" s="1"/>
      <c r="N138" s="1"/>
      <c r="O138" s="1"/>
      <c r="P138" s="1"/>
      <c r="Q138" s="1"/>
      <c r="R138" s="58" t="s">
        <v>28</v>
      </c>
      <c r="S138" s="59">
        <f>COUNTIF(Tabela17468101214223032268161925273133362421012141618242628303840248101214162022262830323436242681012142461012242624426262826268102628623668101214[Status],Tabela2579111315233133379172026283234373531113151719252729313941359111315172123272931333537353791113153571113353734537373937379113739733779111315[[#This Row],[STATUS]])</f>
        <v>118</v>
      </c>
    </row>
    <row r="139" spans="1:20" s="8" customFormat="1" x14ac:dyDescent="0.25">
      <c r="A139" s="1"/>
      <c r="B139" s="50" t="s">
        <v>25</v>
      </c>
      <c r="C139" s="45">
        <f>Tabela17468101214223032268161925273133362421012141618242628303840248101214162022262830323436242681012142461012242624426262826268102628623668101214[[#Totals],[Pedido Final]]</f>
        <v>44973.280000000013</v>
      </c>
      <c r="D139" s="13"/>
      <c r="F139" s="41"/>
      <c r="G139" s="41"/>
      <c r="H139" s="34"/>
      <c r="I139" s="34"/>
      <c r="J139" s="34"/>
      <c r="K139" s="5"/>
      <c r="L139" s="1"/>
      <c r="M139" s="1"/>
      <c r="N139" s="1"/>
      <c r="O139" s="1"/>
      <c r="P139" s="1"/>
      <c r="R139" s="58" t="s">
        <v>11</v>
      </c>
      <c r="S139" s="59">
        <f>COUNTIF(Tabela17468101214223032268161925273133362421012141618242628303840248101214162022262830323436242681012142461012242624426262826268102628623668101214[Status],Tabela2579111315233133379172026283234373531113151719252729313941359111315172123272931333537353791113153571113353734537373937379113739733779111315[[#This Row],[STATUS]])</f>
        <v>9</v>
      </c>
    </row>
    <row r="140" spans="1:20" s="8" customFormat="1" x14ac:dyDescent="0.25">
      <c r="A140" s="1"/>
      <c r="B140" s="51" t="str">
        <f>_xlfn.CONCAT("ECONOMIA"," ",ROUND(C140/C138,2)*100,"%")</f>
        <v>ECONOMIA 4%</v>
      </c>
      <c r="C140" s="46">
        <f>SUM(C138-C139)</f>
        <v>1929.2200000000157</v>
      </c>
      <c r="D140" s="13"/>
      <c r="F140" s="41"/>
      <c r="G140" s="41"/>
      <c r="H140" s="36"/>
      <c r="I140" s="36"/>
      <c r="J140" s="38"/>
      <c r="K140" s="36"/>
      <c r="L140" s="1"/>
      <c r="M140" s="1"/>
      <c r="N140" s="1"/>
      <c r="O140" s="1"/>
      <c r="P140" s="1"/>
      <c r="Q140" s="35"/>
      <c r="R140" s="58" t="s">
        <v>12</v>
      </c>
      <c r="S140" s="59">
        <f>COUNTIF(Tabela17468101214223032268161925273133362421012141618242628303840248101214162022262830323436242681012142461012242624426262826268102628623668101214[Status],Tabela2579111315233133379172026283234373531113151719252729313941359111315172123272931333537353791113153571113353734537373937379113739733779111315[[#This Row],[STATUS]])</f>
        <v>3</v>
      </c>
    </row>
    <row r="141" spans="1:20" s="8" customFormat="1" x14ac:dyDescent="0.25">
      <c r="A141" s="1"/>
      <c r="B141" s="51" t="str">
        <f>_xlfn.CONCAT("HPOD"," ",ROUND(C141/C140,2)*100,"%")</f>
        <v>HPOD 12%</v>
      </c>
      <c r="C141" s="46">
        <f>C140*12%</f>
        <v>231.50640000000189</v>
      </c>
      <c r="D141" s="13"/>
      <c r="F141" s="41"/>
      <c r="G141" s="41"/>
      <c r="H141" s="36"/>
      <c r="I141" s="36"/>
      <c r="J141" s="38"/>
      <c r="K141" s="36"/>
      <c r="L141" s="1"/>
      <c r="M141" s="1"/>
      <c r="N141" s="1"/>
      <c r="O141" s="1"/>
      <c r="P141" s="1"/>
      <c r="Q141" s="1"/>
      <c r="R141" s="6" t="s">
        <v>27</v>
      </c>
      <c r="S141" s="40">
        <f>SUBTOTAL(109,Tabela2579111315233133379172026283234373531113151719252729313941359111315172123272931333537353791113153571113353734537373937379113739733779111315[Coluna1])</f>
        <v>130</v>
      </c>
    </row>
    <row r="142" spans="1:20" s="8" customFormat="1" x14ac:dyDescent="0.25">
      <c r="A142" s="1"/>
      <c r="B142" s="3"/>
      <c r="C142" s="47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6"/>
    </row>
    <row r="143" spans="1:20" s="8" customFormat="1" x14ac:dyDescent="0.25">
      <c r="A143" s="1"/>
      <c r="B143" s="3"/>
      <c r="C143" s="3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5"/>
      <c r="P143" s="1"/>
      <c r="Q143" s="1"/>
      <c r="R143" s="1"/>
      <c r="S143" s="1"/>
      <c r="T143" s="1"/>
    </row>
    <row r="144" spans="1:20" s="8" customFormat="1" x14ac:dyDescent="0.25">
      <c r="A144" s="26"/>
      <c r="B144" s="12"/>
      <c r="C144" s="12"/>
      <c r="D144" s="12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1"/>
    </row>
    <row r="145" spans="1:20" s="8" customFormat="1" x14ac:dyDescent="0.25">
      <c r="A145" s="26"/>
      <c r="B145" s="12"/>
      <c r="C145" s="12"/>
      <c r="D145" s="12"/>
      <c r="E145" s="27"/>
      <c r="F145" s="27"/>
      <c r="G145" s="27"/>
      <c r="H145" s="27"/>
      <c r="I145" s="27"/>
      <c r="J145" s="27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 spans="1:20" s="8" customFormat="1" x14ac:dyDescent="0.25">
      <c r="A146" s="26"/>
      <c r="B146" s="12"/>
      <c r="C146" s="12"/>
      <c r="D146" s="12"/>
      <c r="E146" s="28"/>
      <c r="F146" s="28"/>
      <c r="G146" s="28"/>
      <c r="H146" s="28"/>
      <c r="I146" s="28"/>
      <c r="J146" s="28"/>
      <c r="K146" s="27"/>
      <c r="L146" s="26"/>
      <c r="M146" s="26"/>
      <c r="N146" s="26"/>
      <c r="O146" s="26"/>
      <c r="P146" s="26"/>
      <c r="Q146" s="26"/>
      <c r="R146" s="26"/>
      <c r="S146" s="26"/>
      <c r="T146" s="26"/>
    </row>
    <row r="147" spans="1:20" s="8" customFormat="1" x14ac:dyDescent="0.25">
      <c r="A147" s="26"/>
      <c r="B147" s="12"/>
      <c r="C147" s="12"/>
      <c r="D147" s="12"/>
      <c r="E147" s="28"/>
      <c r="F147" s="28"/>
      <c r="G147" s="28"/>
      <c r="H147" s="28"/>
      <c r="I147" s="28"/>
      <c r="J147" s="28"/>
      <c r="K147" s="27"/>
      <c r="L147" s="26"/>
      <c r="M147" s="26"/>
      <c r="N147" s="26"/>
      <c r="O147" s="26"/>
      <c r="P147" s="26"/>
      <c r="Q147" s="26"/>
      <c r="R147" s="26"/>
      <c r="S147" s="26"/>
      <c r="T147" s="26"/>
    </row>
    <row r="148" spans="1:20" s="8" customFormat="1" x14ac:dyDescent="0.25">
      <c r="A148" s="26"/>
      <c r="B148" s="12"/>
      <c r="C148" s="12"/>
      <c r="D148" s="12"/>
      <c r="E148" s="28"/>
      <c r="F148" s="28"/>
      <c r="G148" s="28"/>
      <c r="H148" s="28"/>
      <c r="I148" s="28"/>
      <c r="J148" s="28"/>
      <c r="K148" s="27"/>
      <c r="L148" s="26"/>
      <c r="M148" s="26"/>
      <c r="N148" s="26"/>
      <c r="O148" s="26"/>
      <c r="P148" s="29"/>
      <c r="Q148" s="26"/>
      <c r="R148" s="26"/>
      <c r="S148" s="26"/>
      <c r="T148" s="26"/>
    </row>
    <row r="149" spans="1:20" s="8" customFormat="1" x14ac:dyDescent="0.25">
      <c r="A149" s="26"/>
      <c r="B149" s="12"/>
      <c r="C149" s="12"/>
      <c r="D149" s="12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6"/>
      <c r="Q149" s="26"/>
      <c r="R149" s="26"/>
      <c r="S149" s="26"/>
      <c r="T149" s="26"/>
    </row>
    <row r="150" spans="1:20" s="8" customFormat="1" x14ac:dyDescent="0.25">
      <c r="A150" s="26"/>
      <c r="B150" s="12"/>
      <c r="C150" s="12"/>
      <c r="D150" s="12"/>
      <c r="E150" s="28"/>
      <c r="F150" s="28"/>
      <c r="G150" s="28"/>
      <c r="H150" s="28"/>
      <c r="I150" s="28"/>
      <c r="J150" s="28"/>
      <c r="K150" s="29"/>
      <c r="L150" s="26"/>
      <c r="M150" s="26"/>
      <c r="N150" s="26"/>
      <c r="O150" s="26"/>
      <c r="P150" s="26"/>
      <c r="Q150" s="26"/>
      <c r="R150" s="26"/>
      <c r="S150" s="26"/>
      <c r="T150" s="26"/>
    </row>
    <row r="151" spans="1:20" s="8" customFormat="1" x14ac:dyDescent="0.25">
      <c r="A151" s="26"/>
      <c r="B151" s="12"/>
      <c r="C151" s="12"/>
      <c r="D151" s="12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 spans="1:20" s="8" customFormat="1" x14ac:dyDescent="0.25">
      <c r="A152" s="26"/>
      <c r="B152" s="12"/>
      <c r="C152" s="12"/>
      <c r="D152" s="12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9"/>
    </row>
    <row r="153" spans="1:20" s="8" customFormat="1" x14ac:dyDescent="0.25">
      <c r="A153" s="26"/>
      <c r="B153" s="12"/>
      <c r="C153" s="12"/>
      <c r="D153" s="12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 spans="1:20" s="8" customFormat="1" x14ac:dyDescent="0.25">
      <c r="A154" s="26"/>
      <c r="B154" s="12"/>
      <c r="C154" s="12"/>
      <c r="D154" s="12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 spans="1:20" s="8" customFormat="1" x14ac:dyDescent="0.25">
      <c r="A155" s="26"/>
      <c r="B155" s="12"/>
      <c r="C155" s="12"/>
      <c r="D155" s="12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 spans="1:20" s="8" customFormat="1" x14ac:dyDescent="0.25">
      <c r="A156" s="26"/>
      <c r="B156" s="12"/>
      <c r="C156" s="12"/>
      <c r="D156" s="12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1:20" s="8" customFormat="1" x14ac:dyDescent="0.25">
      <c r="A157" s="26"/>
      <c r="B157" s="12"/>
      <c r="C157" s="12"/>
      <c r="D157" s="12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1:20" s="8" customFormat="1" x14ac:dyDescent="0.25">
      <c r="A158" s="1"/>
      <c r="B158" s="3"/>
      <c r="C158" s="3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6"/>
    </row>
    <row r="159" spans="1:20" s="8" customFormat="1" x14ac:dyDescent="0.25">
      <c r="A159" s="1"/>
      <c r="B159" s="3"/>
      <c r="C159" s="3"/>
      <c r="D159" s="3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s="8" customFormat="1" x14ac:dyDescent="0.25">
      <c r="A160" s="1"/>
      <c r="B160" s="3"/>
      <c r="C160" s="3"/>
      <c r="D160" s="3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</row>
  </sheetData>
  <mergeCells count="1">
    <mergeCell ref="A2:T2"/>
  </mergeCells>
  <conditionalFormatting sqref="A1:A1048576">
    <cfRule type="duplicateValues" dxfId="59" priority="4"/>
    <cfRule type="duplicateValues" dxfId="58" priority="5"/>
  </conditionalFormatting>
  <conditionalFormatting sqref="B1:B1048576">
    <cfRule type="duplicateValues" dxfId="57" priority="6"/>
  </conditionalFormatting>
  <conditionalFormatting sqref="B138:C1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{D9E0002A-B126-420D-94BF-0DB81D3A4479}</x14:id>
        </ext>
      </extLst>
    </cfRule>
  </conditionalFormatting>
  <conditionalFormatting sqref="H138:J139 F138:G1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{BAF24052-15E9-4A1F-A9C9-8FB1B0698071}</x14:id>
        </ext>
      </extLst>
    </cfRule>
  </conditionalFormatting>
  <conditionalFormatting sqref="R138:S1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{66990E35-BB4E-4397-A21E-901F2339D511}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ignoredErrors>
    <ignoredError sqref="S6:S133" calculatedColumn="1"/>
  </ignoredErrors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0002A-B126-420D-94BF-0DB81D3A4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B138:C141</xm:sqref>
        </x14:conditionalFormatting>
        <x14:conditionalFormatting xmlns:xm="http://schemas.microsoft.com/office/excel/2006/main">
          <x14:cfRule type="dataBar" id="{BAF24052-15E9-4A1F-A9C9-8FB1B0698071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H138:J139 F138:G141</xm:sqref>
        </x14:conditionalFormatting>
        <x14:conditionalFormatting xmlns:xm="http://schemas.microsoft.com/office/excel/2006/main">
          <x14:cfRule type="dataBar" id="{66990E35-BB4E-4397-A21E-901F2339D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R138:S140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140E-5CD4-4D9E-99D4-1288B2E291DB}">
  <sheetPr>
    <pageSetUpPr fitToPage="1"/>
  </sheetPr>
  <dimension ref="A1:BG58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5.28515625" style="3" bestFit="1" customWidth="1"/>
    <col min="3" max="3" width="11.140625" style="3" customWidth="1"/>
    <col min="4" max="4" width="23.85546875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4198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215994</v>
      </c>
      <c r="B4" s="30" t="s">
        <v>312</v>
      </c>
      <c r="C4" s="20" t="s">
        <v>647</v>
      </c>
      <c r="D4" s="20" t="s">
        <v>724</v>
      </c>
      <c r="E4" s="20" t="s">
        <v>2804</v>
      </c>
      <c r="F4" s="20" t="s">
        <v>2805</v>
      </c>
      <c r="G4" s="21">
        <v>13.4</v>
      </c>
      <c r="H4" s="16">
        <v>26</v>
      </c>
      <c r="I4" s="16"/>
      <c r="J4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348.40000000000003</v>
      </c>
      <c r="K4" s="22"/>
      <c r="L4" s="23"/>
      <c r="M4" s="23">
        <f>SUM(Tabela1746810121422303226816192527313336242101214161824262830384024810121416202226283032343624268101214246101224262442626282626810262862366810121416[[#This Row],[Saldo no cartão]:[Recarga Pendente]])</f>
        <v>0</v>
      </c>
      <c r="N4" s="19">
        <f>Tabela1746810121422303226816192527313336242101214161824262830384024810121416202226283032343624268101214246101224262442626282626810262862366810121416[[#This Row],[Uso diário]]*2</f>
        <v>26.8</v>
      </c>
      <c r="O4" s="19">
        <f>Tabela1746810121422303226816192527313336242101214161824262830384024810121416202226283032343624268101214246101224262442626282626810262862366810121416[[#This Row],[Total Acumulado]]-P4</f>
        <v>-67</v>
      </c>
      <c r="P4" s="48">
        <f>Tabela1746810121422303226816192527313336242101214161824262830384024810121416202226283032343624268101214246101224262442626282626810262862366810121416[[#This Row],[Uso diário]]*5</f>
        <v>67</v>
      </c>
      <c r="Q4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4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348.40000000000003</v>
      </c>
      <c r="S4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4" s="25">
        <v>6</v>
      </c>
    </row>
    <row r="5" spans="1:59" s="26" customFormat="1" x14ac:dyDescent="0.25">
      <c r="A5" s="16">
        <v>228199</v>
      </c>
      <c r="B5" s="30" t="s">
        <v>323</v>
      </c>
      <c r="C5" s="20" t="s">
        <v>647</v>
      </c>
      <c r="D5" s="20" t="s">
        <v>721</v>
      </c>
      <c r="E5" s="20" t="s">
        <v>2806</v>
      </c>
      <c r="F5" s="20" t="s">
        <v>2807</v>
      </c>
      <c r="G5" s="21">
        <v>13.4</v>
      </c>
      <c r="H5" s="16">
        <v>26</v>
      </c>
      <c r="I5" s="16"/>
      <c r="J5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348.40000000000003</v>
      </c>
      <c r="K5" s="22"/>
      <c r="L5" s="23"/>
      <c r="M5" s="23">
        <f>SUM(Tabela1746810121422303226816192527313336242101214161824262830384024810121416202226283032343624268101214246101224262442626282626810262862366810121416[[#This Row],[Saldo no cartão]:[Recarga Pendente]])</f>
        <v>0</v>
      </c>
      <c r="N5" s="19">
        <f>Tabela1746810121422303226816192527313336242101214161824262830384024810121416202226283032343624268101214246101224262442626282626810262862366810121416[[#This Row],[Uso diário]]*2</f>
        <v>26.8</v>
      </c>
      <c r="O5" s="19">
        <f>Tabela1746810121422303226816192527313336242101214161824262830384024810121416202226283032343624268101214246101224262442626282626810262862366810121416[[#This Row],[Total Acumulado]]-P5</f>
        <v>-67</v>
      </c>
      <c r="P5" s="48">
        <f>Tabela1746810121422303226816192527313336242101214161824262830384024810121416202226283032343624268101214246101224262442626282626810262862366810121416[[#This Row],[Uso diário]]*5</f>
        <v>67</v>
      </c>
      <c r="Q5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5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348.40000000000003</v>
      </c>
      <c r="S5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5" s="25">
        <v>6</v>
      </c>
    </row>
    <row r="6" spans="1:59" s="26" customFormat="1" x14ac:dyDescent="0.25">
      <c r="A6" s="16">
        <v>210398</v>
      </c>
      <c r="B6" s="30" t="s">
        <v>314</v>
      </c>
      <c r="C6" s="20" t="s">
        <v>648</v>
      </c>
      <c r="D6" s="20" t="s">
        <v>737</v>
      </c>
      <c r="E6" s="20" t="s">
        <v>2808</v>
      </c>
      <c r="F6" s="20" t="s">
        <v>2809</v>
      </c>
      <c r="G6" s="21">
        <v>10</v>
      </c>
      <c r="H6" s="16">
        <v>26</v>
      </c>
      <c r="I6" s="16"/>
      <c r="J6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260</v>
      </c>
      <c r="K6" s="22"/>
      <c r="L6" s="23"/>
      <c r="M6" s="23">
        <f>SUM(Tabela1746810121422303226816192527313336242101214161824262830384024810121416202226283032343624268101214246101224262442626282626810262862366810121416[[#This Row],[Saldo no cartão]:[Recarga Pendente]])</f>
        <v>0</v>
      </c>
      <c r="N6" s="19">
        <f>Tabela1746810121422303226816192527313336242101214161824262830384024810121416202226283032343624268101214246101224262442626282626810262862366810121416[[#This Row],[Uso diário]]*2</f>
        <v>20</v>
      </c>
      <c r="O6" s="19">
        <f>Tabela1746810121422303226816192527313336242101214161824262830384024810121416202226283032343624268101214246101224262442626282626810262862366810121416[[#This Row],[Total Acumulado]]-P6</f>
        <v>-50</v>
      </c>
      <c r="P6" s="48">
        <f>Tabela1746810121422303226816192527313336242101214161824262830384024810121416202226283032343624268101214246101224262442626282626810262862366810121416[[#This Row],[Uso diário]]*5</f>
        <v>50</v>
      </c>
      <c r="Q6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6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260</v>
      </c>
      <c r="S6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6" s="25">
        <v>6</v>
      </c>
    </row>
    <row r="7" spans="1:59" s="26" customFormat="1" x14ac:dyDescent="0.25">
      <c r="A7" s="16">
        <v>217095</v>
      </c>
      <c r="B7" s="30" t="s">
        <v>315</v>
      </c>
      <c r="C7" s="20" t="s">
        <v>648</v>
      </c>
      <c r="D7" s="20" t="s">
        <v>718</v>
      </c>
      <c r="E7" s="20" t="s">
        <v>2810</v>
      </c>
      <c r="F7" s="20" t="s">
        <v>2811</v>
      </c>
      <c r="G7" s="21">
        <v>18.8</v>
      </c>
      <c r="H7" s="16">
        <v>26</v>
      </c>
      <c r="I7" s="16"/>
      <c r="J7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488.8</v>
      </c>
      <c r="K7" s="22"/>
      <c r="L7" s="23"/>
      <c r="M7" s="23">
        <f>SUM(Tabela1746810121422303226816192527313336242101214161824262830384024810121416202226283032343624268101214246101224262442626282626810262862366810121416[[#This Row],[Saldo no cartão]:[Recarga Pendente]])</f>
        <v>0</v>
      </c>
      <c r="N7" s="19">
        <f>Tabela1746810121422303226816192527313336242101214161824262830384024810121416202226283032343624268101214246101224262442626282626810262862366810121416[[#This Row],[Uso diário]]*2</f>
        <v>37.6</v>
      </c>
      <c r="O7" s="19">
        <f>Tabela1746810121422303226816192527313336242101214161824262830384024810121416202226283032343624268101214246101224262442626282626810262862366810121416[[#This Row],[Total Acumulado]]-P7</f>
        <v>-94</v>
      </c>
      <c r="P7" s="48">
        <f>Tabela1746810121422303226816192527313336242101214161824262830384024810121416202226283032343624268101214246101224262442626282626810262862366810121416[[#This Row],[Uso diário]]*5</f>
        <v>94</v>
      </c>
      <c r="Q7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7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488.8</v>
      </c>
      <c r="S7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7" s="25">
        <v>6</v>
      </c>
    </row>
    <row r="8" spans="1:59" s="26" customFormat="1" x14ac:dyDescent="0.25">
      <c r="A8" s="16">
        <v>219463</v>
      </c>
      <c r="B8" s="30" t="s">
        <v>316</v>
      </c>
      <c r="C8" s="20" t="s">
        <v>650</v>
      </c>
      <c r="D8" s="20" t="s">
        <v>738</v>
      </c>
      <c r="E8" s="20" t="s">
        <v>2812</v>
      </c>
      <c r="F8" s="20" t="s">
        <v>2813</v>
      </c>
      <c r="G8" s="21">
        <v>18.8</v>
      </c>
      <c r="H8" s="16">
        <v>26</v>
      </c>
      <c r="I8" s="16"/>
      <c r="J8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488.8</v>
      </c>
      <c r="K8" s="22"/>
      <c r="L8" s="23"/>
      <c r="M8" s="23">
        <f>SUM(Tabela1746810121422303226816192527313336242101214161824262830384024810121416202226283032343624268101214246101224262442626282626810262862366810121416[[#This Row],[Saldo no cartão]:[Recarga Pendente]])</f>
        <v>0</v>
      </c>
      <c r="N8" s="19">
        <f>Tabela1746810121422303226816192527313336242101214161824262830384024810121416202226283032343624268101214246101224262442626282626810262862366810121416[[#This Row],[Uso diário]]*2</f>
        <v>37.6</v>
      </c>
      <c r="O8" s="19">
        <f>Tabela1746810121422303226816192527313336242101214161824262830384024810121416202226283032343624268101214246101224262442626282626810262862366810121416[[#This Row],[Total Acumulado]]-P8</f>
        <v>-94</v>
      </c>
      <c r="P8" s="48">
        <f>Tabela1746810121422303226816192527313336242101214161824262830384024810121416202226283032343624268101214246101224262442626282626810262862366810121416[[#This Row],[Uso diário]]*5</f>
        <v>94</v>
      </c>
      <c r="Q8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8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488.8</v>
      </c>
      <c r="S8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8" s="25">
        <v>6</v>
      </c>
    </row>
    <row r="9" spans="1:59" s="26" customFormat="1" x14ac:dyDescent="0.25">
      <c r="A9" s="16">
        <v>202841</v>
      </c>
      <c r="B9" s="30" t="s">
        <v>1198</v>
      </c>
      <c r="C9" s="20" t="s">
        <v>651</v>
      </c>
      <c r="D9" s="20" t="s">
        <v>719</v>
      </c>
      <c r="E9" s="20" t="s">
        <v>2814</v>
      </c>
      <c r="F9" s="20" t="s">
        <v>2815</v>
      </c>
      <c r="G9" s="21">
        <v>13.4</v>
      </c>
      <c r="H9" s="16">
        <v>16</v>
      </c>
      <c r="I9" s="16"/>
      <c r="J9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214.4</v>
      </c>
      <c r="K9" s="22"/>
      <c r="L9" s="23">
        <v>178.5</v>
      </c>
      <c r="M9" s="23">
        <f>SUM(Tabela1746810121422303226816192527313336242101214161824262830384024810121416202226283032343624268101214246101224262442626282626810262862366810121416[[#This Row],[Saldo no cartão]:[Recarga Pendente]])</f>
        <v>178.5</v>
      </c>
      <c r="N9" s="19">
        <f>Tabela1746810121422303226816192527313336242101214161824262830384024810121416202226283032343624268101214246101224262442626282626810262862366810121416[[#This Row],[Uso diário]]*2</f>
        <v>26.8</v>
      </c>
      <c r="O9" s="19">
        <f>Tabela1746810121422303226816192527313336242101214161824262830384024810121416202226283032343624268101214246101224262442626282626810262862366810121416[[#This Row],[Total Acumulado]]-P9</f>
        <v>111.5</v>
      </c>
      <c r="P9" s="48">
        <f>Tabela1746810121422303226816192527313336242101214161824262830384024810121416202226283032343624268101214246101224262442626282626810262862366810121416[[#This Row],[Uso diário]]*5</f>
        <v>67</v>
      </c>
      <c r="Q9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111.5</v>
      </c>
      <c r="R9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102.9</v>
      </c>
      <c r="S9" s="18" t="s">
        <v>11</v>
      </c>
      <c r="T9" s="25">
        <v>6</v>
      </c>
    </row>
    <row r="10" spans="1:59" s="26" customFormat="1" x14ac:dyDescent="0.25">
      <c r="A10" s="16">
        <v>203011</v>
      </c>
      <c r="B10" s="30" t="s">
        <v>317</v>
      </c>
      <c r="C10" s="20" t="s">
        <v>651</v>
      </c>
      <c r="D10" s="20" t="s">
        <v>719</v>
      </c>
      <c r="E10" s="20" t="s">
        <v>2816</v>
      </c>
      <c r="F10" s="20" t="s">
        <v>2817</v>
      </c>
      <c r="G10" s="21">
        <v>13.4</v>
      </c>
      <c r="H10" s="16">
        <v>16</v>
      </c>
      <c r="I10" s="16"/>
      <c r="J10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214.4</v>
      </c>
      <c r="K10" s="22"/>
      <c r="L10" s="23"/>
      <c r="M10" s="23">
        <f>SUM(Tabela1746810121422303226816192527313336242101214161824262830384024810121416202226283032343624268101214246101224262442626282626810262862366810121416[[#This Row],[Saldo no cartão]:[Recarga Pendente]])</f>
        <v>0</v>
      </c>
      <c r="N10" s="19">
        <f>Tabela1746810121422303226816192527313336242101214161824262830384024810121416202226283032343624268101214246101224262442626282626810262862366810121416[[#This Row],[Uso diário]]*2</f>
        <v>26.8</v>
      </c>
      <c r="O10" s="19">
        <f>Tabela1746810121422303226816192527313336242101214161824262830384024810121416202226283032343624268101214246101224262442626282626810262862366810121416[[#This Row],[Total Acumulado]]-P10</f>
        <v>-67</v>
      </c>
      <c r="P10" s="48">
        <f>Tabela1746810121422303226816192527313336242101214161824262830384024810121416202226283032343624268101214246101224262442626282626810262862366810121416[[#This Row],[Uso diário]]*5</f>
        <v>67</v>
      </c>
      <c r="Q10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0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214.4</v>
      </c>
      <c r="S10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0" s="25">
        <v>6</v>
      </c>
    </row>
    <row r="11" spans="1:59" s="26" customFormat="1" x14ac:dyDescent="0.25">
      <c r="A11" s="16">
        <v>212501</v>
      </c>
      <c r="B11" s="30" t="s">
        <v>1459</v>
      </c>
      <c r="C11" s="20" t="s">
        <v>651</v>
      </c>
      <c r="D11" s="20" t="s">
        <v>716</v>
      </c>
      <c r="E11" s="20" t="s">
        <v>2818</v>
      </c>
      <c r="F11" s="20" t="s">
        <v>2819</v>
      </c>
      <c r="G11" s="21">
        <v>10</v>
      </c>
      <c r="H11" s="16">
        <v>26</v>
      </c>
      <c r="I11" s="16">
        <v>1</v>
      </c>
      <c r="J11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250</v>
      </c>
      <c r="K11" s="22"/>
      <c r="L11" s="23"/>
      <c r="M11" s="23">
        <f>SUM(Tabela1746810121422303226816192527313336242101214161824262830384024810121416202226283032343624268101214246101224262442626282626810262862366810121416[[#This Row],[Saldo no cartão]:[Recarga Pendente]])</f>
        <v>0</v>
      </c>
      <c r="N11" s="19">
        <f>Tabela1746810121422303226816192527313336242101214161824262830384024810121416202226283032343624268101214246101224262442626282626810262862366810121416[[#This Row],[Uso diário]]*2</f>
        <v>20</v>
      </c>
      <c r="O11" s="19">
        <f>Tabela1746810121422303226816192527313336242101214161824262830384024810121416202226283032343624268101214246101224262442626282626810262862366810121416[[#This Row],[Total Acumulado]]-P11</f>
        <v>-50</v>
      </c>
      <c r="P11" s="48">
        <f>Tabela1746810121422303226816192527313336242101214161824262830384024810121416202226283032343624268101214246101224262442626282626810262862366810121416[[#This Row],[Uso diário]]*5</f>
        <v>50</v>
      </c>
      <c r="Q11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1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250</v>
      </c>
      <c r="S11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1" s="25">
        <v>6</v>
      </c>
    </row>
    <row r="12" spans="1:59" s="26" customFormat="1" x14ac:dyDescent="0.25">
      <c r="A12" s="16">
        <v>214981</v>
      </c>
      <c r="B12" s="30" t="s">
        <v>318</v>
      </c>
      <c r="C12" s="20" t="s">
        <v>651</v>
      </c>
      <c r="D12" s="20" t="s">
        <v>717</v>
      </c>
      <c r="E12" s="20" t="s">
        <v>2820</v>
      </c>
      <c r="F12" s="20" t="s">
        <v>2821</v>
      </c>
      <c r="G12" s="21">
        <v>18.8</v>
      </c>
      <c r="H12" s="16">
        <v>16</v>
      </c>
      <c r="I12" s="16"/>
      <c r="J12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300.8</v>
      </c>
      <c r="K12" s="22"/>
      <c r="L12" s="23"/>
      <c r="M12" s="23">
        <f>SUM(Tabela1746810121422303226816192527313336242101214161824262830384024810121416202226283032343624268101214246101224262442626282626810262862366810121416[[#This Row],[Saldo no cartão]:[Recarga Pendente]])</f>
        <v>0</v>
      </c>
      <c r="N12" s="19">
        <f>Tabela1746810121422303226816192527313336242101214161824262830384024810121416202226283032343624268101214246101224262442626282626810262862366810121416[[#This Row],[Uso diário]]*2</f>
        <v>37.6</v>
      </c>
      <c r="O12" s="19">
        <f>Tabela1746810121422303226816192527313336242101214161824262830384024810121416202226283032343624268101214246101224262442626282626810262862366810121416[[#This Row],[Total Acumulado]]-P12</f>
        <v>-94</v>
      </c>
      <c r="P12" s="48">
        <f>Tabela1746810121422303226816192527313336242101214161824262830384024810121416202226283032343624268101214246101224262442626282626810262862366810121416[[#This Row],[Uso diário]]*5</f>
        <v>94</v>
      </c>
      <c r="Q12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2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300.8</v>
      </c>
      <c r="S12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2" s="25">
        <v>6</v>
      </c>
    </row>
    <row r="13" spans="1:59" s="26" customFormat="1" x14ac:dyDescent="0.25">
      <c r="A13" s="16">
        <v>217074</v>
      </c>
      <c r="B13" s="30" t="s">
        <v>320</v>
      </c>
      <c r="C13" s="20" t="s">
        <v>651</v>
      </c>
      <c r="D13" s="20" t="s">
        <v>719</v>
      </c>
      <c r="E13" s="20" t="s">
        <v>2822</v>
      </c>
      <c r="F13" s="20" t="s">
        <v>2823</v>
      </c>
      <c r="G13" s="21">
        <v>13.4</v>
      </c>
      <c r="H13" s="16">
        <v>16</v>
      </c>
      <c r="I13" s="16"/>
      <c r="J13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214.4</v>
      </c>
      <c r="K13" s="22"/>
      <c r="L13" s="23"/>
      <c r="M13" s="23">
        <f>SUM(Tabela1746810121422303226816192527313336242101214161824262830384024810121416202226283032343624268101214246101224262442626282626810262862366810121416[[#This Row],[Saldo no cartão]:[Recarga Pendente]])</f>
        <v>0</v>
      </c>
      <c r="N13" s="19">
        <f>Tabela1746810121422303226816192527313336242101214161824262830384024810121416202226283032343624268101214246101224262442626282626810262862366810121416[[#This Row],[Uso diário]]*2</f>
        <v>26.8</v>
      </c>
      <c r="O13" s="19">
        <f>Tabela1746810121422303226816192527313336242101214161824262830384024810121416202226283032343624268101214246101224262442626282626810262862366810121416[[#This Row],[Total Acumulado]]-P13</f>
        <v>-67</v>
      </c>
      <c r="P13" s="48">
        <f>Tabela1746810121422303226816192527313336242101214161824262830384024810121416202226283032343624268101214246101224262442626282626810262862366810121416[[#This Row],[Uso diário]]*5</f>
        <v>67</v>
      </c>
      <c r="Q13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3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214.4</v>
      </c>
      <c r="S13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3" s="25">
        <v>6</v>
      </c>
    </row>
    <row r="14" spans="1:59" s="26" customFormat="1" x14ac:dyDescent="0.25">
      <c r="A14" s="16">
        <v>228058</v>
      </c>
      <c r="B14" s="30" t="s">
        <v>322</v>
      </c>
      <c r="C14" s="20" t="s">
        <v>651</v>
      </c>
      <c r="D14" s="20" t="s">
        <v>717</v>
      </c>
      <c r="E14" s="20" t="s">
        <v>2824</v>
      </c>
      <c r="F14" s="20" t="s">
        <v>2825</v>
      </c>
      <c r="G14" s="21">
        <v>18.8</v>
      </c>
      <c r="H14" s="16">
        <v>16</v>
      </c>
      <c r="I14" s="16"/>
      <c r="J14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300.8</v>
      </c>
      <c r="K14" s="22"/>
      <c r="L14" s="23"/>
      <c r="M14" s="23">
        <f>SUM(Tabela1746810121422303226816192527313336242101214161824262830384024810121416202226283032343624268101214246101224262442626282626810262862366810121416[[#This Row],[Saldo no cartão]:[Recarga Pendente]])</f>
        <v>0</v>
      </c>
      <c r="N14" s="19">
        <f>Tabela1746810121422303226816192527313336242101214161824262830384024810121416202226283032343624268101214246101224262442626282626810262862366810121416[[#This Row],[Uso diário]]*2</f>
        <v>37.6</v>
      </c>
      <c r="O14" s="19">
        <f>Tabela1746810121422303226816192527313336242101214161824262830384024810121416202226283032343624268101214246101224262442626282626810262862366810121416[[#This Row],[Total Acumulado]]-P14</f>
        <v>-94</v>
      </c>
      <c r="P14" s="48">
        <f>Tabela1746810121422303226816192527313336242101214161824262830384024810121416202226283032343624268101214246101224262442626282626810262862366810121416[[#This Row],[Uso diário]]*5</f>
        <v>94</v>
      </c>
      <c r="Q14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4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300.8</v>
      </c>
      <c r="S14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4" s="25">
        <v>6</v>
      </c>
    </row>
    <row r="15" spans="1:59" s="26" customFormat="1" x14ac:dyDescent="0.25">
      <c r="A15" s="16">
        <v>228852</v>
      </c>
      <c r="B15" s="30" t="s">
        <v>324</v>
      </c>
      <c r="C15" s="20" t="s">
        <v>651</v>
      </c>
      <c r="D15" s="20" t="s">
        <v>719</v>
      </c>
      <c r="E15" s="20" t="s">
        <v>2826</v>
      </c>
      <c r="F15" s="20" t="s">
        <v>2827</v>
      </c>
      <c r="G15" s="21">
        <v>18.8</v>
      </c>
      <c r="H15" s="16">
        <v>16</v>
      </c>
      <c r="I15" s="16"/>
      <c r="J15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300.8</v>
      </c>
      <c r="K15" s="22"/>
      <c r="L15" s="23"/>
      <c r="M15" s="23">
        <f>SUM(Tabela1746810121422303226816192527313336242101214161824262830384024810121416202226283032343624268101214246101224262442626282626810262862366810121416[[#This Row],[Saldo no cartão]:[Recarga Pendente]])</f>
        <v>0</v>
      </c>
      <c r="N15" s="19">
        <f>Tabela1746810121422303226816192527313336242101214161824262830384024810121416202226283032343624268101214246101224262442626282626810262862366810121416[[#This Row],[Uso diário]]*2</f>
        <v>37.6</v>
      </c>
      <c r="O15" s="19">
        <f>Tabela1746810121422303226816192527313336242101214161824262830384024810121416202226283032343624268101214246101224262442626282626810262862366810121416[[#This Row],[Total Acumulado]]-P15</f>
        <v>-94</v>
      </c>
      <c r="P15" s="48">
        <f>Tabela1746810121422303226816192527313336242101214161824262830384024810121416202226283032343624268101214246101224262442626282626810262862366810121416[[#This Row],[Uso diário]]*5</f>
        <v>94</v>
      </c>
      <c r="Q15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5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300.8</v>
      </c>
      <c r="S15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5" s="25">
        <v>6</v>
      </c>
    </row>
    <row r="16" spans="1:59" s="26" customFormat="1" x14ac:dyDescent="0.25">
      <c r="A16" s="16">
        <v>229064</v>
      </c>
      <c r="B16" s="30" t="s">
        <v>1075</v>
      </c>
      <c r="C16" s="20" t="s">
        <v>651</v>
      </c>
      <c r="D16" s="20" t="s">
        <v>719</v>
      </c>
      <c r="E16" s="20" t="s">
        <v>2828</v>
      </c>
      <c r="F16" s="20" t="s">
        <v>2829</v>
      </c>
      <c r="G16" s="21">
        <v>13.4</v>
      </c>
      <c r="H16" s="16">
        <v>16</v>
      </c>
      <c r="I16" s="16"/>
      <c r="J16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214.4</v>
      </c>
      <c r="K16" s="22"/>
      <c r="L16" s="23"/>
      <c r="M16" s="23">
        <f>SUM(Tabela1746810121422303226816192527313336242101214161824262830384024810121416202226283032343624268101214246101224262442626282626810262862366810121416[[#This Row],[Saldo no cartão]:[Recarga Pendente]])</f>
        <v>0</v>
      </c>
      <c r="N16" s="19">
        <f>Tabela1746810121422303226816192527313336242101214161824262830384024810121416202226283032343624268101214246101224262442626282626810262862366810121416[[#This Row],[Uso diário]]*2</f>
        <v>26.8</v>
      </c>
      <c r="O16" s="19">
        <f>Tabela1746810121422303226816192527313336242101214161824262830384024810121416202226283032343624268101214246101224262442626282626810262862366810121416[[#This Row],[Total Acumulado]]-P16</f>
        <v>-67</v>
      </c>
      <c r="P16" s="48">
        <f>Tabela1746810121422303226816192527313336242101214161824262830384024810121416202226283032343624268101214246101224262442626282626810262862366810121416[[#This Row],[Uso diário]]*5</f>
        <v>67</v>
      </c>
      <c r="Q16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6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214.4</v>
      </c>
      <c r="S16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6" s="25">
        <v>6</v>
      </c>
    </row>
    <row r="17" spans="1:20" s="26" customFormat="1" x14ac:dyDescent="0.25">
      <c r="A17" s="16">
        <v>231075</v>
      </c>
      <c r="B17" s="30" t="s">
        <v>1199</v>
      </c>
      <c r="C17" s="20" t="s">
        <v>651</v>
      </c>
      <c r="D17" s="20" t="s">
        <v>719</v>
      </c>
      <c r="E17" s="20" t="s">
        <v>2830</v>
      </c>
      <c r="F17" s="20" t="s">
        <v>2831</v>
      </c>
      <c r="G17" s="21">
        <v>18.8</v>
      </c>
      <c r="H17" s="16">
        <v>16</v>
      </c>
      <c r="I17" s="16"/>
      <c r="J17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300.8</v>
      </c>
      <c r="K17" s="22"/>
      <c r="L17" s="23"/>
      <c r="M17" s="23">
        <f>SUM(Tabela1746810121422303226816192527313336242101214161824262830384024810121416202226283032343624268101214246101224262442626282626810262862366810121416[[#This Row],[Saldo no cartão]:[Recarga Pendente]])</f>
        <v>0</v>
      </c>
      <c r="N17" s="19">
        <f>Tabela1746810121422303226816192527313336242101214161824262830384024810121416202226283032343624268101214246101224262442626282626810262862366810121416[[#This Row],[Uso diário]]*2</f>
        <v>37.6</v>
      </c>
      <c r="O17" s="19">
        <f>Tabela1746810121422303226816192527313336242101214161824262830384024810121416202226283032343624268101214246101224262442626282626810262862366810121416[[#This Row],[Total Acumulado]]-P17</f>
        <v>-94</v>
      </c>
      <c r="P17" s="48">
        <f>Tabela1746810121422303226816192527313336242101214161824262830384024810121416202226283032343624268101214246101224262442626282626810262862366810121416[[#This Row],[Uso diário]]*5</f>
        <v>94</v>
      </c>
      <c r="Q17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7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300.8</v>
      </c>
      <c r="S17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7" s="25">
        <v>6</v>
      </c>
    </row>
    <row r="18" spans="1:20" s="26" customFormat="1" x14ac:dyDescent="0.25">
      <c r="A18" s="16">
        <v>233884</v>
      </c>
      <c r="B18" s="30" t="s">
        <v>1076</v>
      </c>
      <c r="C18" s="20" t="s">
        <v>651</v>
      </c>
      <c r="D18" s="20" t="s">
        <v>716</v>
      </c>
      <c r="E18" s="20" t="s">
        <v>2832</v>
      </c>
      <c r="F18" s="20" t="s">
        <v>2833</v>
      </c>
      <c r="G18" s="21">
        <v>13.4</v>
      </c>
      <c r="H18" s="16">
        <v>16</v>
      </c>
      <c r="I18" s="16"/>
      <c r="J18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214.4</v>
      </c>
      <c r="K18" s="22"/>
      <c r="L18" s="23"/>
      <c r="M18" s="23">
        <f>SUM(Tabela1746810121422303226816192527313336242101214161824262830384024810121416202226283032343624268101214246101224262442626282626810262862366810121416[[#This Row],[Saldo no cartão]:[Recarga Pendente]])</f>
        <v>0</v>
      </c>
      <c r="N18" s="19">
        <f>Tabela1746810121422303226816192527313336242101214161824262830384024810121416202226283032343624268101214246101224262442626282626810262862366810121416[[#This Row],[Uso diário]]*2</f>
        <v>26.8</v>
      </c>
      <c r="O18" s="19">
        <f>Tabela1746810121422303226816192527313336242101214161824262830384024810121416202226283032343624268101214246101224262442626282626810262862366810121416[[#This Row],[Total Acumulado]]-P18</f>
        <v>-67</v>
      </c>
      <c r="P18" s="48">
        <f>Tabela1746810121422303226816192527313336242101214161824262830384024810121416202226283032343624268101214246101224262442626282626810262862366810121416[[#This Row],[Uso diário]]*5</f>
        <v>67</v>
      </c>
      <c r="Q18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8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214.4</v>
      </c>
      <c r="S18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8" s="25">
        <v>6</v>
      </c>
    </row>
    <row r="19" spans="1:20" s="26" customFormat="1" x14ac:dyDescent="0.25">
      <c r="A19" s="16">
        <v>219929</v>
      </c>
      <c r="B19" s="30" t="s">
        <v>359</v>
      </c>
      <c r="C19" s="20" t="s">
        <v>635</v>
      </c>
      <c r="D19" s="20" t="s">
        <v>689</v>
      </c>
      <c r="E19" s="20" t="s">
        <v>2834</v>
      </c>
      <c r="F19" s="20" t="s">
        <v>2835</v>
      </c>
      <c r="G19" s="21">
        <v>18.8</v>
      </c>
      <c r="H19" s="16">
        <v>22</v>
      </c>
      <c r="I19" s="16">
        <v>1</v>
      </c>
      <c r="J19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394.8</v>
      </c>
      <c r="K19" s="22"/>
      <c r="L19" s="23"/>
      <c r="M19" s="23">
        <f>SUM(Tabela1746810121422303226816192527313336242101214161824262830384024810121416202226283032343624268101214246101224262442626282626810262862366810121416[[#This Row],[Saldo no cartão]:[Recarga Pendente]])</f>
        <v>0</v>
      </c>
      <c r="N19" s="19">
        <f>Tabela1746810121422303226816192527313336242101214161824262830384024810121416202226283032343624268101214246101224262442626282626810262862366810121416[[#This Row],[Uso diário]]*2</f>
        <v>37.6</v>
      </c>
      <c r="O19" s="19">
        <f>Tabela1746810121422303226816192527313336242101214161824262830384024810121416202226283032343624268101214246101224262442626282626810262862366810121416[[#This Row],[Total Acumulado]]-P19</f>
        <v>-94</v>
      </c>
      <c r="P19" s="48">
        <f>Tabela1746810121422303226816192527313336242101214161824262830384024810121416202226283032343624268101214246101224262442626282626810262862366810121416[[#This Row],[Uso diário]]*5</f>
        <v>94</v>
      </c>
      <c r="Q19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19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394.8</v>
      </c>
      <c r="S19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19" s="25">
        <v>6</v>
      </c>
    </row>
    <row r="20" spans="1:20" s="26" customFormat="1" x14ac:dyDescent="0.25">
      <c r="A20" s="16">
        <v>231616</v>
      </c>
      <c r="B20" s="30" t="s">
        <v>830</v>
      </c>
      <c r="C20" s="20" t="s">
        <v>636</v>
      </c>
      <c r="D20" s="20" t="s">
        <v>729</v>
      </c>
      <c r="E20" s="20" t="s">
        <v>2836</v>
      </c>
      <c r="F20" s="20" t="s">
        <v>2837</v>
      </c>
      <c r="G20" s="21">
        <v>18.8</v>
      </c>
      <c r="H20" s="16">
        <v>22</v>
      </c>
      <c r="I20" s="16">
        <v>2</v>
      </c>
      <c r="J20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376</v>
      </c>
      <c r="K20" s="22"/>
      <c r="L20" s="23"/>
      <c r="M20" s="23">
        <f>SUM(Tabela1746810121422303226816192527313336242101214161824262830384024810121416202226283032343624268101214246101224262442626282626810262862366810121416[[#This Row],[Saldo no cartão]:[Recarga Pendente]])</f>
        <v>0</v>
      </c>
      <c r="N20" s="19">
        <f>Tabela1746810121422303226816192527313336242101214161824262830384024810121416202226283032343624268101214246101224262442626282626810262862366810121416[[#This Row],[Uso diário]]*2</f>
        <v>37.6</v>
      </c>
      <c r="O20" s="19">
        <f>Tabela1746810121422303226816192527313336242101214161824262830384024810121416202226283032343624268101214246101224262442626282626810262862366810121416[[#This Row],[Total Acumulado]]-P20</f>
        <v>-94</v>
      </c>
      <c r="P20" s="48">
        <f>Tabela1746810121422303226816192527313336242101214161824262830384024810121416202226283032343624268101214246101224262442626282626810262862366810121416[[#This Row],[Uso diário]]*5</f>
        <v>94</v>
      </c>
      <c r="Q20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0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376</v>
      </c>
      <c r="S20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0" s="25">
        <v>6</v>
      </c>
    </row>
    <row r="21" spans="1:20" s="26" customFormat="1" x14ac:dyDescent="0.25">
      <c r="A21" s="16">
        <v>231617</v>
      </c>
      <c r="B21" s="30" t="s">
        <v>831</v>
      </c>
      <c r="C21" s="20" t="s">
        <v>636</v>
      </c>
      <c r="D21" s="20" t="s">
        <v>729</v>
      </c>
      <c r="E21" s="20" t="s">
        <v>2838</v>
      </c>
      <c r="F21" s="20" t="s">
        <v>2839</v>
      </c>
      <c r="G21" s="21">
        <v>9.4</v>
      </c>
      <c r="H21" s="16">
        <v>22</v>
      </c>
      <c r="I21" s="16"/>
      <c r="J21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206.8</v>
      </c>
      <c r="K21" s="22"/>
      <c r="L21" s="23"/>
      <c r="M21" s="23">
        <f>SUM(Tabela1746810121422303226816192527313336242101214161824262830384024810121416202226283032343624268101214246101224262442626282626810262862366810121416[[#This Row],[Saldo no cartão]:[Recarga Pendente]])</f>
        <v>0</v>
      </c>
      <c r="N21" s="19">
        <f>Tabela1746810121422303226816192527313336242101214161824262830384024810121416202226283032343624268101214246101224262442626282626810262862366810121416[[#This Row],[Uso diário]]*2</f>
        <v>18.8</v>
      </c>
      <c r="O21" s="19">
        <f>Tabela1746810121422303226816192527313336242101214161824262830384024810121416202226283032343624268101214246101224262442626282626810262862366810121416[[#This Row],[Total Acumulado]]-P21</f>
        <v>-47</v>
      </c>
      <c r="P21" s="48">
        <f>Tabela1746810121422303226816192527313336242101214161824262830384024810121416202226283032343624268101214246101224262442626282626810262862366810121416[[#This Row],[Uso diário]]*5</f>
        <v>47</v>
      </c>
      <c r="Q21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1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206.8</v>
      </c>
      <c r="S21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1" s="25">
        <v>6</v>
      </c>
    </row>
    <row r="22" spans="1:20" s="26" customFormat="1" x14ac:dyDescent="0.25">
      <c r="A22" s="16">
        <v>234715</v>
      </c>
      <c r="B22" s="30" t="s">
        <v>1366</v>
      </c>
      <c r="C22" s="20" t="s">
        <v>636</v>
      </c>
      <c r="D22" s="20" t="s">
        <v>729</v>
      </c>
      <c r="E22" s="20" t="s">
        <v>2840</v>
      </c>
      <c r="F22" s="20" t="s">
        <v>2841</v>
      </c>
      <c r="G22" s="21">
        <v>10</v>
      </c>
      <c r="H22" s="16">
        <v>22</v>
      </c>
      <c r="I22" s="16">
        <v>1</v>
      </c>
      <c r="J22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210</v>
      </c>
      <c r="K22" s="22"/>
      <c r="L22" s="23">
        <v>190</v>
      </c>
      <c r="M22" s="23">
        <f>SUM(Tabela1746810121422303226816192527313336242101214161824262830384024810121416202226283032343624268101214246101224262442626282626810262862366810121416[[#This Row],[Saldo no cartão]:[Recarga Pendente]])</f>
        <v>190</v>
      </c>
      <c r="N22" s="19">
        <f>Tabela1746810121422303226816192527313336242101214161824262830384024810121416202226283032343624268101214246101224262442626282626810262862366810121416[[#This Row],[Uso diário]]*2</f>
        <v>20</v>
      </c>
      <c r="O22" s="19">
        <f>Tabela1746810121422303226816192527313336242101214161824262830384024810121416202226283032343624268101214246101224262442626282626810262862366810121416[[#This Row],[Total Acumulado]]-P22</f>
        <v>140</v>
      </c>
      <c r="P22" s="48">
        <f>Tabela1746810121422303226816192527313336242101214161824262830384024810121416202226283032343624268101214246101224262442626282626810262862366810121416[[#This Row],[Uso diário]]*5</f>
        <v>50</v>
      </c>
      <c r="Q22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140</v>
      </c>
      <c r="R22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70</v>
      </c>
      <c r="S22" s="18" t="s">
        <v>11</v>
      </c>
      <c r="T22" s="25">
        <v>6</v>
      </c>
    </row>
    <row r="23" spans="1:20" s="26" customFormat="1" x14ac:dyDescent="0.25">
      <c r="A23" s="16">
        <v>234716</v>
      </c>
      <c r="B23" s="30" t="s">
        <v>1367</v>
      </c>
      <c r="C23" s="20" t="s">
        <v>636</v>
      </c>
      <c r="D23" s="20" t="s">
        <v>729</v>
      </c>
      <c r="E23" s="20" t="s">
        <v>2842</v>
      </c>
      <c r="F23" s="20" t="s">
        <v>2843</v>
      </c>
      <c r="G23" s="21">
        <v>10</v>
      </c>
      <c r="H23" s="16">
        <v>22</v>
      </c>
      <c r="I23" s="16"/>
      <c r="J23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220</v>
      </c>
      <c r="K23" s="22"/>
      <c r="L23" s="23">
        <v>190</v>
      </c>
      <c r="M23" s="23">
        <f>SUM(Tabela1746810121422303226816192527313336242101214161824262830384024810121416202226283032343624268101214246101224262442626282626810262862366810121416[[#This Row],[Saldo no cartão]:[Recarga Pendente]])</f>
        <v>190</v>
      </c>
      <c r="N23" s="19">
        <f>Tabela1746810121422303226816192527313336242101214161824262830384024810121416202226283032343624268101214246101224262442626282626810262862366810121416[[#This Row],[Uso diário]]*2</f>
        <v>20</v>
      </c>
      <c r="O23" s="19">
        <f>Tabela1746810121422303226816192527313336242101214161824262830384024810121416202226283032343624268101214246101224262442626282626810262862366810121416[[#This Row],[Total Acumulado]]-P23</f>
        <v>140</v>
      </c>
      <c r="P23" s="48">
        <f>Tabela1746810121422303226816192527313336242101214161824262830384024810121416202226283032343624268101214246101224262442626282626810262862366810121416[[#This Row],[Uso diário]]*5</f>
        <v>50</v>
      </c>
      <c r="Q23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140</v>
      </c>
      <c r="R23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80</v>
      </c>
      <c r="S23" s="18" t="s">
        <v>11</v>
      </c>
      <c r="T23" s="25">
        <v>6</v>
      </c>
    </row>
    <row r="24" spans="1:20" s="26" customFormat="1" x14ac:dyDescent="0.25">
      <c r="A24" s="16">
        <v>213425</v>
      </c>
      <c r="B24" s="30" t="s">
        <v>1200</v>
      </c>
      <c r="C24" s="20" t="s">
        <v>653</v>
      </c>
      <c r="D24" s="20" t="s">
        <v>704</v>
      </c>
      <c r="E24" s="20" t="s">
        <v>2844</v>
      </c>
      <c r="F24" s="20" t="s">
        <v>2845</v>
      </c>
      <c r="G24" s="21">
        <v>18.8</v>
      </c>
      <c r="H24" s="16">
        <v>26</v>
      </c>
      <c r="I24" s="16"/>
      <c r="J24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488.8</v>
      </c>
      <c r="K24" s="22"/>
      <c r="L24" s="23"/>
      <c r="M24" s="23">
        <f>SUM(Tabela1746810121422303226816192527313336242101214161824262830384024810121416202226283032343624268101214246101224262442626282626810262862366810121416[[#This Row],[Saldo no cartão]:[Recarga Pendente]])</f>
        <v>0</v>
      </c>
      <c r="N24" s="19">
        <f>Tabela1746810121422303226816192527313336242101214161824262830384024810121416202226283032343624268101214246101224262442626282626810262862366810121416[[#This Row],[Uso diário]]*2</f>
        <v>37.6</v>
      </c>
      <c r="O24" s="19">
        <f>Tabela1746810121422303226816192527313336242101214161824262830384024810121416202226283032343624268101214246101224262442626282626810262862366810121416[[#This Row],[Total Acumulado]]-P24</f>
        <v>-94</v>
      </c>
      <c r="P24" s="48">
        <f>Tabela1746810121422303226816192527313336242101214161824262830384024810121416202226283032343624268101214246101224262442626282626810262862366810121416[[#This Row],[Uso diário]]*5</f>
        <v>94</v>
      </c>
      <c r="Q24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4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488.8</v>
      </c>
      <c r="S24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4" s="25">
        <v>6</v>
      </c>
    </row>
    <row r="25" spans="1:20" s="26" customFormat="1" x14ac:dyDescent="0.25">
      <c r="A25" s="16">
        <v>221904</v>
      </c>
      <c r="B25" s="30" t="s">
        <v>326</v>
      </c>
      <c r="C25" s="20" t="s">
        <v>654</v>
      </c>
      <c r="D25" s="20" t="s">
        <v>731</v>
      </c>
      <c r="E25" s="20" t="s">
        <v>2846</v>
      </c>
      <c r="F25" s="20" t="s">
        <v>2847</v>
      </c>
      <c r="G25" s="21">
        <v>18.8</v>
      </c>
      <c r="H25" s="16">
        <v>26</v>
      </c>
      <c r="I25" s="16"/>
      <c r="J25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488.8</v>
      </c>
      <c r="K25" s="22"/>
      <c r="L25" s="23">
        <v>18.8</v>
      </c>
      <c r="M25" s="23">
        <f>SUM(Tabela1746810121422303226816192527313336242101214161824262830384024810121416202226283032343624268101214246101224262442626282626810262862366810121416[[#This Row],[Saldo no cartão]:[Recarga Pendente]])</f>
        <v>18.8</v>
      </c>
      <c r="N25" s="19">
        <f>Tabela1746810121422303226816192527313336242101214161824262830384024810121416202226283032343624268101214246101224262442626282626810262862366810121416[[#This Row],[Uso diário]]*2</f>
        <v>37.6</v>
      </c>
      <c r="O25" s="19">
        <f>Tabela1746810121422303226816192527313336242101214161824262830384024810121416202226283032343624268101214246101224262442626282626810262862366810121416[[#This Row],[Total Acumulado]]-P25</f>
        <v>-75.2</v>
      </c>
      <c r="P25" s="48">
        <f>Tabela1746810121422303226816192527313336242101214161824262830384024810121416202226283032343624268101214246101224262442626282626810262862366810121416[[#This Row],[Uso diário]]*5</f>
        <v>94</v>
      </c>
      <c r="Q25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5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488.8</v>
      </c>
      <c r="S25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5" s="25">
        <v>6</v>
      </c>
    </row>
    <row r="26" spans="1:20" s="26" customFormat="1" x14ac:dyDescent="0.25">
      <c r="A26" s="16">
        <v>228851</v>
      </c>
      <c r="B26" s="30" t="s">
        <v>1077</v>
      </c>
      <c r="C26" s="20" t="s">
        <v>654</v>
      </c>
      <c r="D26" s="20" t="s">
        <v>715</v>
      </c>
      <c r="E26" s="20" t="s">
        <v>2848</v>
      </c>
      <c r="F26" s="20" t="s">
        <v>2849</v>
      </c>
      <c r="G26" s="21">
        <v>10</v>
      </c>
      <c r="H26" s="16">
        <v>26</v>
      </c>
      <c r="I26" s="16"/>
      <c r="J26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260</v>
      </c>
      <c r="K26" s="22"/>
      <c r="L26" s="23">
        <v>67.349999999999994</v>
      </c>
      <c r="M26" s="23">
        <f>SUM(Tabela1746810121422303226816192527313336242101214161824262830384024810121416202226283032343624268101214246101224262442626282626810262862366810121416[[#This Row],[Saldo no cartão]:[Recarga Pendente]])</f>
        <v>67.349999999999994</v>
      </c>
      <c r="N26" s="19">
        <f>Tabela1746810121422303226816192527313336242101214161824262830384024810121416202226283032343624268101214246101224262442626282626810262862366810121416[[#This Row],[Uso diário]]*2</f>
        <v>20</v>
      </c>
      <c r="O26" s="19">
        <f>Tabela1746810121422303226816192527313336242101214161824262830384024810121416202226283032343624268101214246101224262442626282626810262862366810121416[[#This Row],[Total Acumulado]]-P26</f>
        <v>17.349999999999994</v>
      </c>
      <c r="P26" s="48">
        <f>Tabela1746810121422303226816192527313336242101214161824262830384024810121416202226283032343624268101214246101224262442626282626810262862366810121416[[#This Row],[Uso diário]]*5</f>
        <v>50</v>
      </c>
      <c r="Q26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6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260</v>
      </c>
      <c r="S26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6" s="25">
        <v>6</v>
      </c>
    </row>
    <row r="27" spans="1:20" s="26" customFormat="1" x14ac:dyDescent="0.25">
      <c r="A27" s="16">
        <v>215704</v>
      </c>
      <c r="B27" s="30" t="s">
        <v>327</v>
      </c>
      <c r="C27" s="20" t="s">
        <v>640</v>
      </c>
      <c r="D27" s="20" t="s">
        <v>702</v>
      </c>
      <c r="E27" s="20" t="s">
        <v>2850</v>
      </c>
      <c r="F27" s="20" t="s">
        <v>2851</v>
      </c>
      <c r="G27" s="21">
        <v>18.8</v>
      </c>
      <c r="H27" s="16">
        <v>26</v>
      </c>
      <c r="I27" s="16">
        <v>1</v>
      </c>
      <c r="J27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470</v>
      </c>
      <c r="K27" s="22"/>
      <c r="L27" s="23"/>
      <c r="M27" s="23">
        <f>SUM(Tabela1746810121422303226816192527313336242101214161824262830384024810121416202226283032343624268101214246101224262442626282626810262862366810121416[[#This Row],[Saldo no cartão]:[Recarga Pendente]])</f>
        <v>0</v>
      </c>
      <c r="N27" s="19">
        <f>Tabela1746810121422303226816192527313336242101214161824262830384024810121416202226283032343624268101214246101224262442626282626810262862366810121416[[#This Row],[Uso diário]]*2</f>
        <v>37.6</v>
      </c>
      <c r="O27" s="19">
        <f>Tabela1746810121422303226816192527313336242101214161824262830384024810121416202226283032343624268101214246101224262442626282626810262862366810121416[[#This Row],[Total Acumulado]]-P27</f>
        <v>-94</v>
      </c>
      <c r="P27" s="48">
        <f>Tabela1746810121422303226816192527313336242101214161824262830384024810121416202226283032343624268101214246101224262442626282626810262862366810121416[[#This Row],[Uso diário]]*5</f>
        <v>94</v>
      </c>
      <c r="Q27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7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470</v>
      </c>
      <c r="S27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7" s="25">
        <v>6</v>
      </c>
    </row>
    <row r="28" spans="1:20" s="26" customFormat="1" x14ac:dyDescent="0.25">
      <c r="A28" s="16">
        <v>208543</v>
      </c>
      <c r="B28" s="30" t="s">
        <v>328</v>
      </c>
      <c r="C28" s="20" t="s">
        <v>655</v>
      </c>
      <c r="D28" s="20" t="s">
        <v>713</v>
      </c>
      <c r="E28" s="20" t="s">
        <v>2852</v>
      </c>
      <c r="F28" s="20" t="s">
        <v>2853</v>
      </c>
      <c r="G28" s="21">
        <v>13.4</v>
      </c>
      <c r="H28" s="16">
        <v>26</v>
      </c>
      <c r="I28" s="16"/>
      <c r="J28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348.40000000000003</v>
      </c>
      <c r="K28" s="22"/>
      <c r="L28" s="23"/>
      <c r="M28" s="23">
        <f>SUM(Tabela1746810121422303226816192527313336242101214161824262830384024810121416202226283032343624268101214246101224262442626282626810262862366810121416[[#This Row],[Saldo no cartão]:[Recarga Pendente]])</f>
        <v>0</v>
      </c>
      <c r="N28" s="19">
        <f>Tabela1746810121422303226816192527313336242101214161824262830384024810121416202226283032343624268101214246101224262442626282626810262862366810121416[[#This Row],[Uso diário]]*2</f>
        <v>26.8</v>
      </c>
      <c r="O28" s="19">
        <f>Tabela1746810121422303226816192527313336242101214161824262830384024810121416202226283032343624268101214246101224262442626282626810262862366810121416[[#This Row],[Total Acumulado]]-P28</f>
        <v>-67</v>
      </c>
      <c r="P28" s="48">
        <f>Tabela1746810121422303226816192527313336242101214161824262830384024810121416202226283032343624268101214246101224262442626282626810262862366810121416[[#This Row],[Uso diário]]*5</f>
        <v>67</v>
      </c>
      <c r="Q28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8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348.40000000000003</v>
      </c>
      <c r="S28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8" s="25">
        <v>6</v>
      </c>
    </row>
    <row r="29" spans="1:20" s="26" customFormat="1" x14ac:dyDescent="0.25">
      <c r="A29" s="16">
        <v>6317</v>
      </c>
      <c r="B29" s="30" t="s">
        <v>1460</v>
      </c>
      <c r="C29" s="20" t="s">
        <v>641</v>
      </c>
      <c r="D29" s="20" t="s">
        <v>704</v>
      </c>
      <c r="E29" s="20" t="s">
        <v>2854</v>
      </c>
      <c r="F29" s="20" t="s">
        <v>2855</v>
      </c>
      <c r="G29" s="21">
        <v>13.4</v>
      </c>
      <c r="H29" s="16">
        <v>26</v>
      </c>
      <c r="I29" s="16">
        <v>2</v>
      </c>
      <c r="J29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321.60000000000002</v>
      </c>
      <c r="K29" s="22"/>
      <c r="L29" s="23"/>
      <c r="M29" s="23">
        <f>SUM(Tabela1746810121422303226816192527313336242101214161824262830384024810121416202226283032343624268101214246101224262442626282626810262862366810121416[[#This Row],[Saldo no cartão]:[Recarga Pendente]])</f>
        <v>0</v>
      </c>
      <c r="N29" s="19">
        <f>Tabela1746810121422303226816192527313336242101214161824262830384024810121416202226283032343624268101214246101224262442626282626810262862366810121416[[#This Row],[Uso diário]]*2</f>
        <v>26.8</v>
      </c>
      <c r="O29" s="19">
        <f>Tabela1746810121422303226816192527313336242101214161824262830384024810121416202226283032343624268101214246101224262442626282626810262862366810121416[[#This Row],[Total Acumulado]]-P29</f>
        <v>-67</v>
      </c>
      <c r="P29" s="48">
        <f>Tabela1746810121422303226816192527313336242101214161824262830384024810121416202226283032343624268101214246101224262442626282626810262862366810121416[[#This Row],[Uso diário]]*5</f>
        <v>67</v>
      </c>
      <c r="Q29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29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321.60000000000002</v>
      </c>
      <c r="S29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29" s="25">
        <v>6</v>
      </c>
    </row>
    <row r="30" spans="1:20" s="26" customFormat="1" x14ac:dyDescent="0.25">
      <c r="A30" s="16">
        <v>229698</v>
      </c>
      <c r="B30" s="30" t="s">
        <v>301</v>
      </c>
      <c r="C30" s="20" t="s">
        <v>641</v>
      </c>
      <c r="D30" s="20" t="s">
        <v>704</v>
      </c>
      <c r="E30" s="20" t="s">
        <v>2856</v>
      </c>
      <c r="F30" s="20" t="s">
        <v>2857</v>
      </c>
      <c r="G30" s="21">
        <v>18.8</v>
      </c>
      <c r="H30" s="16">
        <v>26</v>
      </c>
      <c r="I30" s="16">
        <v>10</v>
      </c>
      <c r="J30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300.8</v>
      </c>
      <c r="K30" s="22"/>
      <c r="L30" s="23"/>
      <c r="M30" s="23">
        <f>SUM(Tabela1746810121422303226816192527313336242101214161824262830384024810121416202226283032343624268101214246101224262442626282626810262862366810121416[[#This Row],[Saldo no cartão]:[Recarga Pendente]])</f>
        <v>0</v>
      </c>
      <c r="N30" s="19">
        <f>Tabela1746810121422303226816192527313336242101214161824262830384024810121416202226283032343624268101214246101224262442626282626810262862366810121416[[#This Row],[Uso diário]]*2</f>
        <v>37.6</v>
      </c>
      <c r="O30" s="19">
        <f>Tabela1746810121422303226816192527313336242101214161824262830384024810121416202226283032343624268101214246101224262442626282626810262862366810121416[[#This Row],[Total Acumulado]]-P30</f>
        <v>-94</v>
      </c>
      <c r="P30" s="48">
        <f>Tabela1746810121422303226816192527313336242101214161824262830384024810121416202226283032343624268101214246101224262442626282626810262862366810121416[[#This Row],[Uso diário]]*5</f>
        <v>94</v>
      </c>
      <c r="Q30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30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300.8</v>
      </c>
      <c r="S30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30" s="25">
        <v>6</v>
      </c>
    </row>
    <row r="31" spans="1:20" s="26" customFormat="1" x14ac:dyDescent="0.25">
      <c r="A31" s="16">
        <v>229935</v>
      </c>
      <c r="B31" s="30" t="s">
        <v>330</v>
      </c>
      <c r="C31" s="20" t="s">
        <v>641</v>
      </c>
      <c r="D31" s="20" t="s">
        <v>704</v>
      </c>
      <c r="E31" s="20" t="s">
        <v>2858</v>
      </c>
      <c r="F31" s="20" t="s">
        <v>2859</v>
      </c>
      <c r="G31" s="21">
        <v>13.4</v>
      </c>
      <c r="H31" s="16">
        <v>26</v>
      </c>
      <c r="I31" s="16">
        <v>1</v>
      </c>
      <c r="J31" s="17">
        <f>(Tabela1746810121422303226816192527313336242101214161824262830384024810121416202226283032343624268101214246101224262442626282626810262862366810121416[[#This Row],[D]]-Tabela1746810121422303226816192527313336242101214161824262830384024810121416202226283032343624268101214246101224262442626282626810262862366810121416[[#This Row],[F]])*Tabela1746810121422303226816192527313336242101214161824262830384024810121416202226283032343624268101214246101224262442626282626810262862366810121416[[#This Row],[Uso diário]]</f>
        <v>335</v>
      </c>
      <c r="K31" s="22"/>
      <c r="L31" s="23"/>
      <c r="M31" s="23">
        <f>SUM(Tabela1746810121422303226816192527313336242101214161824262830384024810121416202226283032343624268101214246101224262442626282626810262862366810121416[[#This Row],[Saldo no cartão]:[Recarga Pendente]])</f>
        <v>0</v>
      </c>
      <c r="N31" s="19">
        <f>Tabela1746810121422303226816192527313336242101214161824262830384024810121416202226283032343624268101214246101224262442626282626810262862366810121416[[#This Row],[Uso diário]]*2</f>
        <v>26.8</v>
      </c>
      <c r="O31" s="19">
        <f>Tabela1746810121422303226816192527313336242101214161824262830384024810121416202226283032343624268101214246101224262442626282626810262862366810121416[[#This Row],[Total Acumulado]]-P31</f>
        <v>-67</v>
      </c>
      <c r="P31" s="48">
        <f>Tabela1746810121422303226816192527313336242101214161824262830384024810121416202226283032343624268101214246101224262442626282626810262862366810121416[[#This Row],[Uso diário]]*5</f>
        <v>67</v>
      </c>
      <c r="Q31" s="17">
        <f>IF(Tabela1746810121422303226816192527313336242101214161824262830384024810121416202226283032343624268101214246101224262442626282626810262862366810121416[[#This Row],[acumulo]]&lt;Tabela1746810121422303226816192527313336242101214161824262830384024810121416202226283032343624268101214246101224262442626282626810262862366810121416[[#This Row],[acumulo minimo]],0,Tabela1746810121422303226816192527313336242101214161824262830384024810121416202226283032343624268101214246101224262442626282626810262862366810121416[[#This Row],[acumulo]])</f>
        <v>0</v>
      </c>
      <c r="R31" s="24">
        <f>IF(Tabela1746810121422303226816192527313336242101214161824262830384024810121416202226283032343624268101214246101224262442626282626810262862366810121416[[#This Row],[Valor economizado]]&gt;Tabela1746810121422303226816192527313336242101214161824262830384024810121416202226283032343624268101214246101224262442626282626810262862366810121416[[#This Row],[Pedido Inicial]],0,Tabela1746810121422303226816192527313336242101214161824262830384024810121416202226283032343624268101214246101224262442626282626810262862366810121416[[#This Row],[Pedido Inicial]]-Tabela1746810121422303226816192527313336242101214161824262830384024810121416202226283032343624268101214246101224262442626282626810262862366810121416[[#This Row],[Valor economizado]])</f>
        <v>335</v>
      </c>
      <c r="S31" s="18" t="str">
        <f>IF(Tabela1746810121422303226816192527313336242101214161824262830384024810121416202226283032343624268101214246101224262442626282626810262862366810121416[[#This Row],[Pedido Final]]=0,"NÃO EFETUAR RECARGA","RECARGA NORMAL")</f>
        <v>RECARGA NORMAL</v>
      </c>
      <c r="T31" s="25">
        <v>6</v>
      </c>
    </row>
    <row r="32" spans="1:20" s="8" customFormat="1" x14ac:dyDescent="0.25">
      <c r="A32" s="13" t="s">
        <v>13</v>
      </c>
      <c r="B32" s="13"/>
      <c r="C32" s="13"/>
      <c r="D32" s="13"/>
      <c r="E32" s="20"/>
      <c r="F32" s="20"/>
      <c r="G32" s="33"/>
      <c r="H32" s="13"/>
      <c r="I32" s="13"/>
      <c r="J32" s="14">
        <f>SUBTOTAL(109,Tabela1746810121422303226816192527313336242101214161824262830384024810121416202226283032343624268101214246101224262442626282626810262862366810121416[Pedido Inicial])</f>
        <v>8880.6</v>
      </c>
      <c r="K32" s="15"/>
      <c r="L32" s="15"/>
      <c r="M32" s="15"/>
      <c r="N32" s="15"/>
      <c r="O32" s="15"/>
      <c r="P32" s="15"/>
      <c r="Q32" s="15"/>
      <c r="R32" s="14">
        <f>SUBTOTAL(109,Tabela1746810121422303226816192527313336242101214161824262830384024810121416202226283032343624268101214246101224262442626282626810262862366810121416[Pedido Final])</f>
        <v>8489.1000000000022</v>
      </c>
      <c r="S32" s="31">
        <f>SUBTOTAL(103,Tabela1746810121422303226816192527313336242101214161824262830384024810121416202226283032343624268101214246101224262442626282626810262862366810121416[Status])</f>
        <v>28</v>
      </c>
      <c r="T32" s="13"/>
    </row>
    <row r="33" spans="1:20" s="8" customFormat="1" x14ac:dyDescent="0.25">
      <c r="A33" s="13"/>
      <c r="B33" s="13"/>
      <c r="C33" s="13"/>
      <c r="D33" s="13"/>
      <c r="E33" s="20"/>
      <c r="F33" s="20"/>
      <c r="G33" s="33"/>
      <c r="H33" s="13"/>
      <c r="I33" s="13"/>
      <c r="J33" s="14"/>
      <c r="K33" s="15"/>
      <c r="L33" s="15"/>
      <c r="M33" s="15"/>
      <c r="N33" s="15"/>
      <c r="O33" s="15"/>
      <c r="P33" s="15"/>
      <c r="Q33" s="15"/>
      <c r="R33" s="14"/>
      <c r="S33" s="31"/>
      <c r="T33" s="13"/>
    </row>
    <row r="34" spans="1:20" s="8" customFormat="1" x14ac:dyDescent="0.25">
      <c r="A34" s="13"/>
      <c r="B34" s="13"/>
      <c r="C34" s="13"/>
      <c r="D34" s="13"/>
      <c r="E34" s="20"/>
      <c r="F34" s="20"/>
      <c r="G34" s="33"/>
      <c r="H34" s="13"/>
      <c r="I34" s="13"/>
      <c r="J34" s="14"/>
      <c r="K34" s="15"/>
      <c r="L34" s="15"/>
      <c r="M34" s="15"/>
      <c r="N34" s="15"/>
      <c r="O34" s="15"/>
      <c r="P34" s="15"/>
      <c r="Q34" s="15"/>
      <c r="R34" s="14"/>
      <c r="S34" s="31"/>
      <c r="T34" s="13"/>
    </row>
    <row r="35" spans="1:20" s="8" customFormat="1" x14ac:dyDescent="0.25">
      <c r="A35" s="1"/>
      <c r="B35" s="54" t="s">
        <v>14</v>
      </c>
      <c r="C35" s="55"/>
      <c r="D35" s="13"/>
      <c r="F35" s="37"/>
      <c r="G35" s="37"/>
      <c r="H35" s="37"/>
      <c r="I35" s="37"/>
      <c r="J35" s="28"/>
      <c r="K35" s="3"/>
      <c r="L35" s="1"/>
      <c r="M35" s="1"/>
      <c r="N35" s="1"/>
      <c r="O35" s="1"/>
      <c r="P35" s="1"/>
      <c r="Q35" s="1"/>
      <c r="R35" s="4" t="s">
        <v>26</v>
      </c>
      <c r="S35" s="39" t="s">
        <v>15</v>
      </c>
    </row>
    <row r="36" spans="1:20" s="8" customFormat="1" x14ac:dyDescent="0.25">
      <c r="A36" s="1"/>
      <c r="B36" s="50" t="s">
        <v>24</v>
      </c>
      <c r="C36" s="45">
        <f>Tabela1746810121422303226816192527313336242101214161824262830384024810121416202226283032343624268101214246101224262442626282626810262862366810121416[[#Totals],[Pedido Inicial]]</f>
        <v>8880.6</v>
      </c>
      <c r="D36" s="13"/>
      <c r="F36" s="41"/>
      <c r="G36" s="41"/>
      <c r="H36" s="34"/>
      <c r="I36" s="34"/>
      <c r="J36" s="34"/>
      <c r="K36" s="5"/>
      <c r="L36" s="1"/>
      <c r="M36" s="1"/>
      <c r="N36" s="1"/>
      <c r="O36" s="1"/>
      <c r="P36" s="1"/>
      <c r="Q36" s="1"/>
      <c r="R36" s="58" t="s">
        <v>28</v>
      </c>
      <c r="S36" s="59">
        <f>COUNTIF(Tabela1746810121422303226816192527313336242101214161824262830384024810121416202226283032343624268101214246101224262442626282626810262862366810121416[Status],Tabela257911131523313337917202628323437353111315171925272931394135911131517212327293133353735379111315357111335373453737393737911373973377911131517[[#This Row],[STATUS]])</f>
        <v>25</v>
      </c>
    </row>
    <row r="37" spans="1:20" s="8" customFormat="1" x14ac:dyDescent="0.25">
      <c r="A37" s="1"/>
      <c r="B37" s="50" t="s">
        <v>25</v>
      </c>
      <c r="C37" s="45">
        <f>Tabela1746810121422303226816192527313336242101214161824262830384024810121416202226283032343624268101214246101224262442626282626810262862366810121416[[#Totals],[Pedido Final]]</f>
        <v>8489.1000000000022</v>
      </c>
      <c r="D37" s="13"/>
      <c r="F37" s="41"/>
      <c r="G37" s="41"/>
      <c r="H37" s="34"/>
      <c r="I37" s="34"/>
      <c r="J37" s="34"/>
      <c r="K37" s="5"/>
      <c r="L37" s="1"/>
      <c r="M37" s="1"/>
      <c r="N37" s="1"/>
      <c r="O37" s="1"/>
      <c r="P37" s="1"/>
      <c r="R37" s="58" t="s">
        <v>11</v>
      </c>
      <c r="S37" s="59">
        <f>COUNTIF(Tabela1746810121422303226816192527313336242101214161824262830384024810121416202226283032343624268101214246101224262442626282626810262862366810121416[Status],Tabela257911131523313337917202628323437353111315171925272931394135911131517212327293133353735379111315357111335373453737393737911373973377911131517[[#This Row],[STATUS]])</f>
        <v>3</v>
      </c>
    </row>
    <row r="38" spans="1:20" s="8" customFormat="1" x14ac:dyDescent="0.25">
      <c r="A38" s="1"/>
      <c r="B38" s="51" t="str">
        <f>_xlfn.CONCAT("ECONOMIA"," ",ROUND(C38/C36,2)*100,"%")</f>
        <v>ECONOMIA 4%</v>
      </c>
      <c r="C38" s="46">
        <f>SUM(C36-C37)</f>
        <v>391.49999999999818</v>
      </c>
      <c r="D38" s="13"/>
      <c r="F38" s="41"/>
      <c r="G38" s="41"/>
      <c r="H38" s="36"/>
      <c r="I38" s="36"/>
      <c r="J38" s="38"/>
      <c r="K38" s="36"/>
      <c r="L38" s="1"/>
      <c r="M38" s="1"/>
      <c r="N38" s="1"/>
      <c r="O38" s="1"/>
      <c r="P38" s="1"/>
      <c r="Q38" s="35"/>
      <c r="R38" s="58" t="s">
        <v>12</v>
      </c>
      <c r="S38" s="59">
        <f>COUNTIF(Tabela1746810121422303226816192527313336242101214161824262830384024810121416202226283032343624268101214246101224262442626282626810262862366810121416[Status],Tabela257911131523313337917202628323437353111315171925272931394135911131517212327293133353735379111315357111335373453737393737911373973377911131517[[#This Row],[STATUS]])</f>
        <v>0</v>
      </c>
    </row>
    <row r="39" spans="1:20" s="8" customFormat="1" x14ac:dyDescent="0.25">
      <c r="A39" s="1"/>
      <c r="B39" s="51" t="str">
        <f>_xlfn.CONCAT("HPOD"," ",ROUND(C39/C38,2)*100,"%")</f>
        <v>HPOD 12%</v>
      </c>
      <c r="C39" s="46">
        <f>C38*12%</f>
        <v>46.979999999999777</v>
      </c>
      <c r="D39" s="13"/>
      <c r="F39" s="41"/>
      <c r="G39" s="41"/>
      <c r="H39" s="36"/>
      <c r="I39" s="36"/>
      <c r="J39" s="38"/>
      <c r="K39" s="36"/>
      <c r="L39" s="1"/>
      <c r="M39" s="1"/>
      <c r="N39" s="1"/>
      <c r="O39" s="1"/>
      <c r="P39" s="1"/>
      <c r="Q39" s="1"/>
      <c r="R39" s="6" t="s">
        <v>27</v>
      </c>
      <c r="S39" s="40">
        <f>SUBTOTAL(109,Tabela257911131523313337917202628323437353111315171925272931394135911131517212327293133353735379111315357111335373453737393737911373973377911131517[Coluna1])</f>
        <v>28</v>
      </c>
    </row>
    <row r="40" spans="1:20" s="8" customFormat="1" x14ac:dyDescent="0.25">
      <c r="A40" s="1"/>
      <c r="B40" s="3"/>
      <c r="C40" s="47"/>
      <c r="D40" s="1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6"/>
    </row>
    <row r="41" spans="1:20" s="8" customFormat="1" x14ac:dyDescent="0.25">
      <c r="A41" s="1"/>
      <c r="B41" s="3"/>
      <c r="C41" s="3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35"/>
      <c r="P41" s="1"/>
      <c r="Q41" s="1"/>
      <c r="R41" s="1"/>
      <c r="S41" s="1"/>
      <c r="T41" s="1"/>
    </row>
    <row r="42" spans="1:20" s="8" customFormat="1" x14ac:dyDescent="0.25">
      <c r="A42" s="26"/>
      <c r="B42" s="12"/>
      <c r="C42" s="12"/>
      <c r="D42" s="12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</row>
    <row r="43" spans="1:20" s="8" customFormat="1" x14ac:dyDescent="0.25">
      <c r="A43" s="26"/>
      <c r="B43" s="12"/>
      <c r="C43" s="12"/>
      <c r="D43" s="12"/>
      <c r="E43" s="27"/>
      <c r="F43" s="27"/>
      <c r="G43" s="27"/>
      <c r="H43" s="27"/>
      <c r="I43" s="27"/>
      <c r="J43" s="27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spans="1:20" s="8" customFormat="1" x14ac:dyDescent="0.25">
      <c r="A44" s="26"/>
      <c r="B44" s="12"/>
      <c r="C44" s="12"/>
      <c r="D44" s="12"/>
      <c r="E44" s="28"/>
      <c r="F44" s="28"/>
      <c r="G44" s="28"/>
      <c r="H44" s="28"/>
      <c r="I44" s="28"/>
      <c r="J44" s="28"/>
      <c r="K44" s="27"/>
      <c r="L44" s="26"/>
      <c r="M44" s="26"/>
      <c r="N44" s="26"/>
      <c r="O44" s="26"/>
      <c r="P44" s="26"/>
      <c r="Q44" s="26"/>
      <c r="R44" s="26"/>
      <c r="S44" s="26"/>
      <c r="T44" s="26"/>
    </row>
    <row r="45" spans="1:20" s="8" customFormat="1" x14ac:dyDescent="0.25">
      <c r="A45" s="26"/>
      <c r="B45" s="12"/>
      <c r="C45" s="12"/>
      <c r="D45" s="12"/>
      <c r="E45" s="28"/>
      <c r="F45" s="28"/>
      <c r="G45" s="28"/>
      <c r="H45" s="28"/>
      <c r="I45" s="28"/>
      <c r="J45" s="28"/>
      <c r="K45" s="27"/>
      <c r="L45" s="26"/>
      <c r="M45" s="26"/>
      <c r="N45" s="26"/>
      <c r="O45" s="26"/>
      <c r="P45" s="26"/>
      <c r="Q45" s="26"/>
      <c r="R45" s="26"/>
      <c r="S45" s="26"/>
      <c r="T45" s="26"/>
    </row>
    <row r="46" spans="1:20" s="8" customFormat="1" x14ac:dyDescent="0.25">
      <c r="A46" s="26"/>
      <c r="B46" s="12"/>
      <c r="C46" s="12"/>
      <c r="D46" s="12"/>
      <c r="E46" s="28"/>
      <c r="F46" s="28"/>
      <c r="G46" s="28"/>
      <c r="H46" s="28"/>
      <c r="I46" s="28"/>
      <c r="J46" s="28"/>
      <c r="K46" s="27"/>
      <c r="L46" s="26"/>
      <c r="M46" s="26"/>
      <c r="N46" s="26"/>
      <c r="O46" s="26"/>
      <c r="P46" s="29"/>
      <c r="Q46" s="26"/>
      <c r="R46" s="26"/>
      <c r="S46" s="26"/>
      <c r="T46" s="26"/>
    </row>
    <row r="47" spans="1:20" s="8" customFormat="1" x14ac:dyDescent="0.25">
      <c r="A47" s="26"/>
      <c r="B47" s="12"/>
      <c r="C47" s="12"/>
      <c r="D47" s="12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6"/>
      <c r="Q47" s="26"/>
      <c r="R47" s="26"/>
      <c r="S47" s="26"/>
      <c r="T47" s="26"/>
    </row>
    <row r="48" spans="1:20" s="8" customFormat="1" x14ac:dyDescent="0.25">
      <c r="A48" s="26"/>
      <c r="B48" s="12"/>
      <c r="C48" s="12"/>
      <c r="D48" s="12"/>
      <c r="E48" s="28"/>
      <c r="F48" s="28"/>
      <c r="G48" s="28"/>
      <c r="H48" s="28"/>
      <c r="I48" s="28"/>
      <c r="J48" s="28"/>
      <c r="K48" s="29"/>
      <c r="L48" s="26"/>
      <c r="M48" s="26"/>
      <c r="N48" s="26"/>
      <c r="O48" s="26"/>
      <c r="P48" s="26"/>
      <c r="Q48" s="26"/>
      <c r="R48" s="26"/>
      <c r="S48" s="26"/>
      <c r="T48" s="26"/>
    </row>
    <row r="49" spans="1:20" s="8" customFormat="1" x14ac:dyDescent="0.25">
      <c r="A49" s="26"/>
      <c r="B49" s="12"/>
      <c r="C49" s="12"/>
      <c r="D49" s="12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spans="1:20" s="8" customFormat="1" x14ac:dyDescent="0.25">
      <c r="A50" s="26"/>
      <c r="B50" s="12"/>
      <c r="C50" s="12"/>
      <c r="D50" s="12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9"/>
    </row>
    <row r="51" spans="1:20" s="8" customFormat="1" x14ac:dyDescent="0.25">
      <c r="A51" s="26"/>
      <c r="B51" s="12"/>
      <c r="C51" s="12"/>
      <c r="D51" s="12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spans="1:20" s="8" customFormat="1" x14ac:dyDescent="0.25">
      <c r="A52" s="26"/>
      <c r="B52" s="12"/>
      <c r="C52" s="12"/>
      <c r="D52" s="12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s="8" customFormat="1" x14ac:dyDescent="0.25">
      <c r="A53" s="26"/>
      <c r="B53" s="12"/>
      <c r="C53" s="12"/>
      <c r="D53" s="12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 spans="1:20" s="8" customFormat="1" x14ac:dyDescent="0.25">
      <c r="A54" s="26"/>
      <c r="B54" s="12"/>
      <c r="C54" s="12"/>
      <c r="D54" s="12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 spans="1:20" s="8" customFormat="1" x14ac:dyDescent="0.25">
      <c r="A55" s="26"/>
      <c r="B55" s="12"/>
      <c r="C55" s="12"/>
      <c r="D55" s="12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 spans="1:20" s="8" customFormat="1" x14ac:dyDescent="0.25">
      <c r="A56" s="1"/>
      <c r="B56" s="3"/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6"/>
    </row>
    <row r="57" spans="1:20" s="8" customFormat="1" x14ac:dyDescent="0.25">
      <c r="A57" s="1"/>
      <c r="B57" s="3"/>
      <c r="C57" s="3"/>
      <c r="D57" s="3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s="8" customFormat="1" x14ac:dyDescent="0.25">
      <c r="A58" s="1"/>
      <c r="B58" s="3"/>
      <c r="C58" s="3"/>
      <c r="D58" s="3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</row>
  </sheetData>
  <mergeCells count="1">
    <mergeCell ref="A2:T2"/>
  </mergeCells>
  <conditionalFormatting sqref="A1:A1048576">
    <cfRule type="duplicateValues" dxfId="56" priority="4"/>
    <cfRule type="duplicateValues" dxfId="55" priority="5"/>
  </conditionalFormatting>
  <conditionalFormatting sqref="B1:B1048576">
    <cfRule type="duplicateValues" dxfId="54" priority="6"/>
  </conditionalFormatting>
  <conditionalFormatting sqref="B36:C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{F171F16B-D325-4DCF-AB7B-5A193CE780A7}</x14:id>
        </ext>
      </extLst>
    </cfRule>
  </conditionalFormatting>
  <conditionalFormatting sqref="H36:J37 F36:G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{F0D3671D-9EFA-48E5-ADE1-DC15DA5A9002}</x14:id>
        </ext>
      </extLst>
    </cfRule>
  </conditionalFormatting>
  <conditionalFormatting sqref="R36:S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{1CBBEF62-E9A2-4A91-83E8-7EFEDE09AC2B}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71F16B-D325-4DCF-AB7B-5A193CE78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B36:C39</xm:sqref>
        </x14:conditionalFormatting>
        <x14:conditionalFormatting xmlns:xm="http://schemas.microsoft.com/office/excel/2006/main">
          <x14:cfRule type="dataBar" id="{F0D3671D-9EFA-48E5-ADE1-DC15DA5A9002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H36:J37 F36:G39</xm:sqref>
        </x14:conditionalFormatting>
        <x14:conditionalFormatting xmlns:xm="http://schemas.microsoft.com/office/excel/2006/main">
          <x14:cfRule type="dataBar" id="{1CBBEF62-E9A2-4A91-83E8-7EFEDE09A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R36:S38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67CF-725B-49D1-B2F1-2FA07120A759}">
  <sheetPr>
    <pageSetUpPr fitToPage="1"/>
  </sheetPr>
  <dimension ref="A1:BG41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4.85546875" style="3" bestFit="1" customWidth="1"/>
    <col min="3" max="3" width="10.140625" style="3" bestFit="1" customWidth="1"/>
    <col min="4" max="4" width="23.855468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4199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209689</v>
      </c>
      <c r="B4" s="30" t="s">
        <v>1461</v>
      </c>
      <c r="C4" s="20" t="s">
        <v>647</v>
      </c>
      <c r="D4" s="20" t="s">
        <v>720</v>
      </c>
      <c r="E4" s="20" t="s">
        <v>2860</v>
      </c>
      <c r="F4" s="20" t="s">
        <v>2861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SUM(Tabela174681012142230322681619252731333624210121416182426283038402481012141620222628303234362426810121424610122426244262628262681026286236681012141618[[#This Row],[Saldo no cartão]:[Recarga Pendente]])</f>
        <v>0</v>
      </c>
      <c r="N4" s="19">
        <f>Tabela174681012142230322681619252731333624210121416182426283038402481012141620222628303234362426810121424610122426244262628262681026286236681012141618[[#This Row],[Uso diário]]*2</f>
        <v>37.6</v>
      </c>
      <c r="O4" s="19">
        <f>Tabela174681012142230322681619252731333624210121416182426283038402481012141620222628303234362426810121424610122426244262628262681026286236681012141618[[#This Row],[Total Acumulado]]-P4</f>
        <v>-94</v>
      </c>
      <c r="P4" s="48">
        <f>Tabela174681012142230322681619252731333624210121416182426283038402481012141620222628303234362426810121424610122426244262628262681026286236681012141618[[#This Row],[Uso diário]]*5</f>
        <v>94</v>
      </c>
      <c r="Q4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4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488.8</v>
      </c>
      <c r="S4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4" s="25">
        <v>7</v>
      </c>
    </row>
    <row r="5" spans="1:59" s="26" customFormat="1" x14ac:dyDescent="0.25">
      <c r="A5" s="16">
        <v>222687</v>
      </c>
      <c r="B5" s="30" t="s">
        <v>1462</v>
      </c>
      <c r="C5" s="20" t="s">
        <v>647</v>
      </c>
      <c r="D5" s="20" t="s">
        <v>722</v>
      </c>
      <c r="E5" s="20" t="s">
        <v>2862</v>
      </c>
      <c r="F5" s="20" t="s">
        <v>2863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SUM(Tabela174681012142230322681619252731333624210121416182426283038402481012141620222628303234362426810121424610122426244262628262681026286236681012141618[[#This Row],[Saldo no cartão]:[Recarga Pendente]])</f>
        <v>0</v>
      </c>
      <c r="N5" s="19">
        <f>Tabela174681012142230322681619252731333624210121416182426283038402481012141620222628303234362426810121424610122426244262628262681026286236681012141618[[#This Row],[Uso diário]]*2</f>
        <v>37.6</v>
      </c>
      <c r="O5" s="19">
        <f>Tabela174681012142230322681619252731333624210121416182426283038402481012141620222628303234362426810121424610122426244262628262681026286236681012141618[[#This Row],[Total Acumulado]]-P5</f>
        <v>-94</v>
      </c>
      <c r="P5" s="48">
        <f>Tabela174681012142230322681619252731333624210121416182426283038402481012141620222628303234362426810121424610122426244262628262681026286236681012141618[[#This Row],[Uso diário]]*5</f>
        <v>94</v>
      </c>
      <c r="Q5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5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488.8</v>
      </c>
      <c r="S5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5" s="25">
        <v>7</v>
      </c>
    </row>
    <row r="6" spans="1:59" s="26" customFormat="1" x14ac:dyDescent="0.25">
      <c r="A6" s="16">
        <v>219504</v>
      </c>
      <c r="B6" s="30" t="s">
        <v>331</v>
      </c>
      <c r="C6" s="20" t="s">
        <v>651</v>
      </c>
      <c r="D6" s="20" t="s">
        <v>719</v>
      </c>
      <c r="E6" s="20" t="s">
        <v>2864</v>
      </c>
      <c r="F6" s="20" t="s">
        <v>2865</v>
      </c>
      <c r="G6" s="21">
        <v>28.5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741</v>
      </c>
      <c r="K6" s="22"/>
      <c r="L6" s="23"/>
      <c r="M6" s="23">
        <f>SUM(Tabela174681012142230322681619252731333624210121416182426283038402481012141620222628303234362426810121424610122426244262628262681026286236681012141618[[#This Row],[Saldo no cartão]:[Recarga Pendente]])</f>
        <v>0</v>
      </c>
      <c r="N6" s="19">
        <f>Tabela174681012142230322681619252731333624210121416182426283038402481012141620222628303234362426810121424610122426244262628262681026286236681012141618[[#This Row],[Uso diário]]*2</f>
        <v>57</v>
      </c>
      <c r="O6" s="19">
        <f>Tabela174681012142230322681619252731333624210121416182426283038402481012141620222628303234362426810121424610122426244262628262681026286236681012141618[[#This Row],[Total Acumulado]]-P6</f>
        <v>-142.5</v>
      </c>
      <c r="P6" s="48">
        <f>Tabela174681012142230322681619252731333624210121416182426283038402481012141620222628303234362426810121424610122426244262628262681026286236681012141618[[#This Row],[Uso diário]]*5</f>
        <v>142.5</v>
      </c>
      <c r="Q6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6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741</v>
      </c>
      <c r="S6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6" s="25">
        <v>7</v>
      </c>
    </row>
    <row r="7" spans="1:59" s="26" customFormat="1" x14ac:dyDescent="0.25">
      <c r="A7" s="16">
        <v>214437</v>
      </c>
      <c r="B7" s="30" t="s">
        <v>941</v>
      </c>
      <c r="C7" s="20" t="s">
        <v>635</v>
      </c>
      <c r="D7" s="20" t="s">
        <v>689</v>
      </c>
      <c r="E7" s="20" t="s">
        <v>2866</v>
      </c>
      <c r="F7" s="20" t="s">
        <v>2867</v>
      </c>
      <c r="G7" s="21">
        <v>18.8</v>
      </c>
      <c r="H7" s="16">
        <v>20</v>
      </c>
      <c r="I7" s="16"/>
      <c r="J7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376</v>
      </c>
      <c r="K7" s="22"/>
      <c r="L7" s="23"/>
      <c r="M7" s="23">
        <f>SUM(Tabela174681012142230322681619252731333624210121416182426283038402481012141620222628303234362426810121424610122426244262628262681026286236681012141618[[#This Row],[Saldo no cartão]:[Recarga Pendente]])</f>
        <v>0</v>
      </c>
      <c r="N7" s="19">
        <f>Tabela174681012142230322681619252731333624210121416182426283038402481012141620222628303234362426810121424610122426244262628262681026286236681012141618[[#This Row],[Uso diário]]*2</f>
        <v>37.6</v>
      </c>
      <c r="O7" s="19">
        <f>Tabela174681012142230322681619252731333624210121416182426283038402481012141620222628303234362426810121424610122426244262628262681026286236681012141618[[#This Row],[Total Acumulado]]-P7</f>
        <v>-94</v>
      </c>
      <c r="P7" s="48">
        <f>Tabela174681012142230322681619252731333624210121416182426283038402481012141620222628303234362426810121424610122426244262628262681026286236681012141618[[#This Row],[Uso diário]]*5</f>
        <v>94</v>
      </c>
      <c r="Q7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7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376</v>
      </c>
      <c r="S7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7" s="25">
        <v>7</v>
      </c>
    </row>
    <row r="8" spans="1:59" s="26" customFormat="1" x14ac:dyDescent="0.25">
      <c r="A8" s="16">
        <v>214766</v>
      </c>
      <c r="B8" s="30" t="s">
        <v>332</v>
      </c>
      <c r="C8" s="20" t="s">
        <v>654</v>
      </c>
      <c r="D8" s="20" t="s">
        <v>715</v>
      </c>
      <c r="E8" s="20" t="s">
        <v>2868</v>
      </c>
      <c r="F8" s="20" t="s">
        <v>2869</v>
      </c>
      <c r="G8" s="21">
        <v>18.8</v>
      </c>
      <c r="H8" s="16">
        <v>26</v>
      </c>
      <c r="I8" s="16">
        <v>1</v>
      </c>
      <c r="J8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470</v>
      </c>
      <c r="K8" s="22"/>
      <c r="L8" s="23"/>
      <c r="M8" s="23">
        <f>SUM(Tabela174681012142230322681619252731333624210121416182426283038402481012141620222628303234362426810121424610122426244262628262681026286236681012141618[[#This Row],[Saldo no cartão]:[Recarga Pendente]])</f>
        <v>0</v>
      </c>
      <c r="N8" s="19">
        <f>Tabela174681012142230322681619252731333624210121416182426283038402481012141620222628303234362426810121424610122426244262628262681026286236681012141618[[#This Row],[Uso diário]]*2</f>
        <v>37.6</v>
      </c>
      <c r="O8" s="19">
        <f>Tabela174681012142230322681619252731333624210121416182426283038402481012141620222628303234362426810121424610122426244262628262681026286236681012141618[[#This Row],[Total Acumulado]]-P8</f>
        <v>-94</v>
      </c>
      <c r="P8" s="48">
        <f>Tabela174681012142230322681619252731333624210121416182426283038402481012141620222628303234362426810121424610122426244262628262681026286236681012141618[[#This Row],[Uso diário]]*5</f>
        <v>94</v>
      </c>
      <c r="Q8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8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470</v>
      </c>
      <c r="S8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8" s="25">
        <v>7</v>
      </c>
    </row>
    <row r="9" spans="1:59" s="26" customFormat="1" x14ac:dyDescent="0.25">
      <c r="A9" s="16">
        <v>229758</v>
      </c>
      <c r="B9" s="30" t="s">
        <v>333</v>
      </c>
      <c r="C9" s="20" t="s">
        <v>640</v>
      </c>
      <c r="D9" s="20" t="s">
        <v>701</v>
      </c>
      <c r="E9" s="20" t="s">
        <v>2870</v>
      </c>
      <c r="F9" s="20" t="s">
        <v>2871</v>
      </c>
      <c r="G9" s="21">
        <v>18.8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488.8</v>
      </c>
      <c r="K9" s="22"/>
      <c r="L9" s="23"/>
      <c r="M9" s="23">
        <f>SUM(Tabela174681012142230322681619252731333624210121416182426283038402481012141620222628303234362426810121424610122426244262628262681026286236681012141618[[#This Row],[Saldo no cartão]:[Recarga Pendente]])</f>
        <v>0</v>
      </c>
      <c r="N9" s="19">
        <f>Tabela174681012142230322681619252731333624210121416182426283038402481012141620222628303234362426810121424610122426244262628262681026286236681012141618[[#This Row],[Uso diário]]*2</f>
        <v>37.6</v>
      </c>
      <c r="O9" s="19">
        <f>Tabela174681012142230322681619252731333624210121416182426283038402481012141620222628303234362426810121424610122426244262628262681026286236681012141618[[#This Row],[Total Acumulado]]-P9</f>
        <v>-94</v>
      </c>
      <c r="P9" s="48">
        <f>Tabela174681012142230322681619252731333624210121416182426283038402481012141620222628303234362426810121424610122426244262628262681026286236681012141618[[#This Row],[Uso diário]]*5</f>
        <v>94</v>
      </c>
      <c r="Q9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9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488.8</v>
      </c>
      <c r="S9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9" s="25">
        <v>7</v>
      </c>
    </row>
    <row r="10" spans="1:59" s="26" customFormat="1" x14ac:dyDescent="0.25">
      <c r="A10" s="16">
        <v>203290</v>
      </c>
      <c r="B10" s="30" t="s">
        <v>335</v>
      </c>
      <c r="C10" s="20" t="s">
        <v>641</v>
      </c>
      <c r="D10" s="20" t="s">
        <v>704</v>
      </c>
      <c r="E10" s="20" t="s">
        <v>2872</v>
      </c>
      <c r="F10" s="20" t="s">
        <v>2873</v>
      </c>
      <c r="G10" s="21">
        <v>18.8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488.8</v>
      </c>
      <c r="K10" s="22"/>
      <c r="L10" s="23"/>
      <c r="M10" s="23">
        <f>SUM(Tabela174681012142230322681619252731333624210121416182426283038402481012141620222628303234362426810121424610122426244262628262681026286236681012141618[[#This Row],[Saldo no cartão]:[Recarga Pendente]])</f>
        <v>0</v>
      </c>
      <c r="N10" s="19">
        <f>Tabela174681012142230322681619252731333624210121416182426283038402481012141620222628303234362426810121424610122426244262628262681026286236681012141618[[#This Row],[Uso diário]]*2</f>
        <v>37.6</v>
      </c>
      <c r="O10" s="19">
        <f>Tabela174681012142230322681619252731333624210121416182426283038402481012141620222628303234362426810121424610122426244262628262681026286236681012141618[[#This Row],[Total Acumulado]]-P10</f>
        <v>-94</v>
      </c>
      <c r="P10" s="48">
        <f>Tabela174681012142230322681619252731333624210121416182426283038402481012141620222628303234362426810121424610122426244262628262681026286236681012141618[[#This Row],[Uso diário]]*5</f>
        <v>94</v>
      </c>
      <c r="Q10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10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488.8</v>
      </c>
      <c r="S10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10" s="25">
        <v>7</v>
      </c>
    </row>
    <row r="11" spans="1:59" s="26" customFormat="1" x14ac:dyDescent="0.25">
      <c r="A11" s="16">
        <v>220828</v>
      </c>
      <c r="B11" s="30" t="s">
        <v>336</v>
      </c>
      <c r="C11" s="20" t="s">
        <v>641</v>
      </c>
      <c r="D11" s="20" t="s">
        <v>705</v>
      </c>
      <c r="E11" s="20" t="s">
        <v>2874</v>
      </c>
      <c r="F11" s="20" t="s">
        <v>2875</v>
      </c>
      <c r="G11" s="21">
        <v>18.8</v>
      </c>
      <c r="H11" s="16">
        <v>26</v>
      </c>
      <c r="I11" s="16">
        <v>1</v>
      </c>
      <c r="J11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470</v>
      </c>
      <c r="K11" s="22"/>
      <c r="L11" s="23"/>
      <c r="M11" s="23">
        <f>SUM(Tabela174681012142230322681619252731333624210121416182426283038402481012141620222628303234362426810121424610122426244262628262681026286236681012141618[[#This Row],[Saldo no cartão]:[Recarga Pendente]])</f>
        <v>0</v>
      </c>
      <c r="N11" s="19">
        <f>Tabela174681012142230322681619252731333624210121416182426283038402481012141620222628303234362426810121424610122426244262628262681026286236681012141618[[#This Row],[Uso diário]]*2</f>
        <v>37.6</v>
      </c>
      <c r="O11" s="19">
        <f>Tabela174681012142230322681619252731333624210121416182426283038402481012141620222628303234362426810121424610122426244262628262681026286236681012141618[[#This Row],[Total Acumulado]]-P11</f>
        <v>-94</v>
      </c>
      <c r="P11" s="48">
        <f>Tabela174681012142230322681619252731333624210121416182426283038402481012141620222628303234362426810121424610122426244262628262681026286236681012141618[[#This Row],[Uso diário]]*5</f>
        <v>94</v>
      </c>
      <c r="Q11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11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470</v>
      </c>
      <c r="S11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11" s="25">
        <v>7</v>
      </c>
    </row>
    <row r="12" spans="1:59" s="26" customFormat="1" x14ac:dyDescent="0.25">
      <c r="A12" s="16">
        <v>223173</v>
      </c>
      <c r="B12" s="30" t="s">
        <v>299</v>
      </c>
      <c r="C12" s="20" t="s">
        <v>641</v>
      </c>
      <c r="D12" s="20" t="s">
        <v>704</v>
      </c>
      <c r="E12" s="20" t="s">
        <v>2876</v>
      </c>
      <c r="F12" s="20" t="s">
        <v>2877</v>
      </c>
      <c r="G12" s="21">
        <v>18.8</v>
      </c>
      <c r="H12" s="16">
        <v>26</v>
      </c>
      <c r="I12" s="16">
        <v>1</v>
      </c>
      <c r="J12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470</v>
      </c>
      <c r="K12" s="22"/>
      <c r="L12" s="23"/>
      <c r="M12" s="23">
        <f>SUM(Tabela174681012142230322681619252731333624210121416182426283038402481012141620222628303234362426810121424610122426244262628262681026286236681012141618[[#This Row],[Saldo no cartão]:[Recarga Pendente]])</f>
        <v>0</v>
      </c>
      <c r="N12" s="19">
        <f>Tabela174681012142230322681619252731333624210121416182426283038402481012141620222628303234362426810121424610122426244262628262681026286236681012141618[[#This Row],[Uso diário]]*2</f>
        <v>37.6</v>
      </c>
      <c r="O12" s="19">
        <f>Tabela174681012142230322681619252731333624210121416182426283038402481012141620222628303234362426810121424610122426244262628262681026286236681012141618[[#This Row],[Total Acumulado]]-P12</f>
        <v>-94</v>
      </c>
      <c r="P12" s="48">
        <f>Tabela174681012142230322681619252731333624210121416182426283038402481012141620222628303234362426810121424610122426244262628262681026286236681012141618[[#This Row],[Uso diário]]*5</f>
        <v>94</v>
      </c>
      <c r="Q12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12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470</v>
      </c>
      <c r="S12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12" s="25">
        <v>7</v>
      </c>
    </row>
    <row r="13" spans="1:59" s="26" customFormat="1" x14ac:dyDescent="0.25">
      <c r="A13" s="16">
        <v>229831</v>
      </c>
      <c r="B13" s="30" t="s">
        <v>1463</v>
      </c>
      <c r="C13" s="20" t="s">
        <v>641</v>
      </c>
      <c r="D13" s="20" t="s">
        <v>704</v>
      </c>
      <c r="E13" s="20" t="s">
        <v>2878</v>
      </c>
      <c r="F13" s="20" t="s">
        <v>2879</v>
      </c>
      <c r="G13" s="21">
        <v>18.8</v>
      </c>
      <c r="H13" s="16">
        <v>26</v>
      </c>
      <c r="I13" s="16"/>
      <c r="J13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488.8</v>
      </c>
      <c r="K13" s="22"/>
      <c r="L13" s="23"/>
      <c r="M13" s="23">
        <f>SUM(Tabela174681012142230322681619252731333624210121416182426283038402481012141620222628303234362426810121424610122426244262628262681026286236681012141618[[#This Row],[Saldo no cartão]:[Recarga Pendente]])</f>
        <v>0</v>
      </c>
      <c r="N13" s="19">
        <f>Tabela174681012142230322681619252731333624210121416182426283038402481012141620222628303234362426810121424610122426244262628262681026286236681012141618[[#This Row],[Uso diário]]*2</f>
        <v>37.6</v>
      </c>
      <c r="O13" s="19">
        <f>Tabela174681012142230322681619252731333624210121416182426283038402481012141620222628303234362426810121424610122426244262628262681026286236681012141618[[#This Row],[Total Acumulado]]-P13</f>
        <v>-94</v>
      </c>
      <c r="P13" s="48">
        <f>Tabela174681012142230322681619252731333624210121416182426283038402481012141620222628303234362426810121424610122426244262628262681026286236681012141618[[#This Row],[Uso diário]]*5</f>
        <v>94</v>
      </c>
      <c r="Q13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13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488.8</v>
      </c>
      <c r="S13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13" s="25">
        <v>7</v>
      </c>
    </row>
    <row r="14" spans="1:59" s="26" customFormat="1" x14ac:dyDescent="0.25">
      <c r="A14" s="16">
        <v>232530</v>
      </c>
      <c r="B14" s="30" t="s">
        <v>905</v>
      </c>
      <c r="C14" s="20" t="s">
        <v>641</v>
      </c>
      <c r="D14" s="20" t="s">
        <v>704</v>
      </c>
      <c r="E14" s="20" t="s">
        <v>2880</v>
      </c>
      <c r="F14" s="20" t="s">
        <v>2881</v>
      </c>
      <c r="G14" s="21">
        <v>18.8</v>
      </c>
      <c r="H14" s="16">
        <v>26</v>
      </c>
      <c r="I14" s="16">
        <v>1</v>
      </c>
      <c r="J14" s="17">
        <f>(Tabela174681012142230322681619252731333624210121416182426283038402481012141620222628303234362426810121424610122426244262628262681026286236681012141618[[#This Row],[D]]-Tabela174681012142230322681619252731333624210121416182426283038402481012141620222628303234362426810121424610122426244262628262681026286236681012141618[[#This Row],[F]])*Tabela174681012142230322681619252731333624210121416182426283038402481012141620222628303234362426810121424610122426244262628262681026286236681012141618[[#This Row],[Uso diário]]</f>
        <v>470</v>
      </c>
      <c r="K14" s="22"/>
      <c r="L14" s="23"/>
      <c r="M14" s="23">
        <f>SUM(Tabela174681012142230322681619252731333624210121416182426283038402481012141620222628303234362426810121424610122426244262628262681026286236681012141618[[#This Row],[Saldo no cartão]:[Recarga Pendente]])</f>
        <v>0</v>
      </c>
      <c r="N14" s="19">
        <f>Tabela174681012142230322681619252731333624210121416182426283038402481012141620222628303234362426810121424610122426244262628262681026286236681012141618[[#This Row],[Uso diário]]*2</f>
        <v>37.6</v>
      </c>
      <c r="O14" s="19">
        <f>Tabela174681012142230322681619252731333624210121416182426283038402481012141620222628303234362426810121424610122426244262628262681026286236681012141618[[#This Row],[Total Acumulado]]-P14</f>
        <v>-94</v>
      </c>
      <c r="P14" s="48">
        <f>Tabela174681012142230322681619252731333624210121416182426283038402481012141620222628303234362426810121424610122426244262628262681026286236681012141618[[#This Row],[Uso diário]]*5</f>
        <v>94</v>
      </c>
      <c r="Q14" s="17">
        <f>IF(Tabela174681012142230322681619252731333624210121416182426283038402481012141620222628303234362426810121424610122426244262628262681026286236681012141618[[#This Row],[acumulo]]&lt;Tabela174681012142230322681619252731333624210121416182426283038402481012141620222628303234362426810121424610122426244262628262681026286236681012141618[[#This Row],[acumulo minimo]],0,Tabela174681012142230322681619252731333624210121416182426283038402481012141620222628303234362426810121424610122426244262628262681026286236681012141618[[#This Row],[acumulo]])</f>
        <v>0</v>
      </c>
      <c r="R14" s="24">
        <f>IF(Tabela174681012142230322681619252731333624210121416182426283038402481012141620222628303234362426810121424610122426244262628262681026286236681012141618[[#This Row],[Valor economizado]]&gt;Tabela174681012142230322681619252731333624210121416182426283038402481012141620222628303234362426810121424610122426244262628262681026286236681012141618[[#This Row],[Pedido Inicial]],0,Tabela174681012142230322681619252731333624210121416182426283038402481012141620222628303234362426810121424610122426244262628262681026286236681012141618[[#This Row],[Pedido Inicial]]-Tabela174681012142230322681619252731333624210121416182426283038402481012141620222628303234362426810121424610122426244262628262681026286236681012141618[[#This Row],[Valor economizado]])</f>
        <v>470</v>
      </c>
      <c r="S14" s="18" t="str">
        <f>IF(Tabela174681012142230322681619252731333624210121416182426283038402481012141620222628303234362426810121424610122426244262628262681026286236681012141618[[#This Row],[Pedido Final]]=0,"NÃO EFETUAR RECARGA","RECARGA NORMAL")</f>
        <v>RECARGA NORMAL</v>
      </c>
      <c r="T14" s="25">
        <v>7</v>
      </c>
    </row>
    <row r="15" spans="1:59" s="8" customFormat="1" x14ac:dyDescent="0.25">
      <c r="A15" s="13" t="s">
        <v>13</v>
      </c>
      <c r="B15" s="13"/>
      <c r="C15" s="13"/>
      <c r="D15" s="13"/>
      <c r="E15" s="20"/>
      <c r="F15" s="20"/>
      <c r="G15" s="33"/>
      <c r="H15" s="13"/>
      <c r="I15" s="13"/>
      <c r="J15" s="14">
        <f>SUBTOTAL(109,Tabela174681012142230322681619252731333624210121416182426283038402481012141620222628303234362426810121424610122426244262628262681026286236681012141618[Pedido Inicial])</f>
        <v>5441.0000000000009</v>
      </c>
      <c r="K15" s="15"/>
      <c r="L15" s="15"/>
      <c r="M15" s="15"/>
      <c r="N15" s="15"/>
      <c r="O15" s="15"/>
      <c r="P15" s="15"/>
      <c r="Q15" s="15"/>
      <c r="R15" s="14">
        <f>SUBTOTAL(109,Tabela174681012142230322681619252731333624210121416182426283038402481012141620222628303234362426810121424610122426244262628262681026286236681012141618[Pedido Final])</f>
        <v>5441.0000000000009</v>
      </c>
      <c r="S15" s="31">
        <f>SUBTOTAL(103,Tabela174681012142230322681619252731333624210121416182426283038402481012141620222628303234362426810121424610122426244262628262681026286236681012141618[Status])</f>
        <v>11</v>
      </c>
      <c r="T15" s="13"/>
    </row>
    <row r="16" spans="1:59" s="8" customFormat="1" x14ac:dyDescent="0.25">
      <c r="A16" s="13"/>
      <c r="B16" s="13"/>
      <c r="C16" s="13"/>
      <c r="D16" s="13"/>
      <c r="E16" s="20"/>
      <c r="F16" s="20"/>
      <c r="G16" s="33"/>
      <c r="H16" s="13"/>
      <c r="I16" s="13"/>
      <c r="J16" s="14"/>
      <c r="K16" s="15"/>
      <c r="L16" s="15"/>
      <c r="M16" s="15"/>
      <c r="N16" s="15"/>
      <c r="O16" s="15"/>
      <c r="P16" s="15"/>
      <c r="Q16" s="15"/>
      <c r="R16" s="14"/>
      <c r="S16" s="31"/>
      <c r="T16" s="13"/>
    </row>
    <row r="17" spans="1:20" s="8" customFormat="1" x14ac:dyDescent="0.25">
      <c r="A17" s="13"/>
      <c r="B17" s="13"/>
      <c r="C17" s="13"/>
      <c r="D17" s="13"/>
      <c r="E17" s="20"/>
      <c r="F17" s="20"/>
      <c r="G17" s="33"/>
      <c r="H17" s="13"/>
      <c r="I17" s="13"/>
      <c r="J17" s="14"/>
      <c r="K17" s="15"/>
      <c r="L17" s="15"/>
      <c r="M17" s="15"/>
      <c r="N17" s="15"/>
      <c r="O17" s="15"/>
      <c r="P17" s="15"/>
      <c r="Q17" s="15"/>
      <c r="R17" s="14"/>
      <c r="S17" s="31"/>
      <c r="T17" s="13"/>
    </row>
    <row r="18" spans="1:20" s="8" customFormat="1" x14ac:dyDescent="0.25">
      <c r="A18" s="1"/>
      <c r="B18" s="54" t="s">
        <v>14</v>
      </c>
      <c r="C18" s="55"/>
      <c r="D18" s="13"/>
      <c r="F18" s="37"/>
      <c r="G18" s="37"/>
      <c r="H18" s="37"/>
      <c r="I18" s="37"/>
      <c r="J18" s="28"/>
      <c r="K18" s="3"/>
      <c r="L18" s="1"/>
      <c r="M18" s="1"/>
      <c r="N18" s="1"/>
      <c r="O18" s="1"/>
      <c r="P18" s="1"/>
      <c r="Q18" s="1"/>
      <c r="R18" s="4" t="s">
        <v>26</v>
      </c>
      <c r="S18" s="39" t="s">
        <v>15</v>
      </c>
    </row>
    <row r="19" spans="1:20" s="8" customFormat="1" x14ac:dyDescent="0.25">
      <c r="A19" s="1"/>
      <c r="B19" s="50" t="s">
        <v>24</v>
      </c>
      <c r="C19" s="45">
        <f>Tabela174681012142230322681619252731333624210121416182426283038402481012141620222628303234362426810121424610122426244262628262681026286236681012141618[[#Totals],[Pedido Inicial]]</f>
        <v>5441.0000000000009</v>
      </c>
      <c r="D19" s="13"/>
      <c r="F19" s="41"/>
      <c r="G19" s="41"/>
      <c r="H19" s="34"/>
      <c r="I19" s="34"/>
      <c r="J19" s="34"/>
      <c r="K19" s="5"/>
      <c r="L19" s="1"/>
      <c r="M19" s="1"/>
      <c r="N19" s="1"/>
      <c r="O19" s="1"/>
      <c r="P19" s="1"/>
      <c r="Q19" s="1"/>
      <c r="R19" s="58" t="s">
        <v>28</v>
      </c>
      <c r="S19" s="59">
        <f>COUNTIF(Tabela174681012142230322681619252731333624210121416182426283038402481012141620222628303234362426810121424610122426244262628262681026286236681012141618[Status],Tabela25791113152331333791720262832343735311131517192527293139413591113151721232729313335373537911131535711133537345373739373791137397337791113151719[[#This Row],[STATUS]])</f>
        <v>11</v>
      </c>
    </row>
    <row r="20" spans="1:20" s="8" customFormat="1" x14ac:dyDescent="0.25">
      <c r="A20" s="1"/>
      <c r="B20" s="50" t="s">
        <v>25</v>
      </c>
      <c r="C20" s="45">
        <f>Tabela174681012142230322681619252731333624210121416182426283038402481012141620222628303234362426810121424610122426244262628262681026286236681012141618[[#Totals],[Pedido Final]]</f>
        <v>5441.0000000000009</v>
      </c>
      <c r="D20" s="13"/>
      <c r="F20" s="41"/>
      <c r="G20" s="41"/>
      <c r="H20" s="34"/>
      <c r="I20" s="34"/>
      <c r="J20" s="34"/>
      <c r="K20" s="5"/>
      <c r="L20" s="1"/>
      <c r="M20" s="1"/>
      <c r="N20" s="1"/>
      <c r="O20" s="1"/>
      <c r="P20" s="1"/>
      <c r="R20" s="58" t="s">
        <v>11</v>
      </c>
      <c r="S20" s="59">
        <f>COUNTIF(Tabela174681012142230322681619252731333624210121416182426283038402481012141620222628303234362426810121424610122426244262628262681026286236681012141618[Status],Tabela25791113152331333791720262832343735311131517192527293139413591113151721232729313335373537911131535711133537345373739373791137397337791113151719[[#This Row],[STATUS]])</f>
        <v>0</v>
      </c>
    </row>
    <row r="21" spans="1:20" s="8" customFormat="1" x14ac:dyDescent="0.25">
      <c r="A21" s="1"/>
      <c r="B21" s="51" t="str">
        <f>_xlfn.CONCAT("ECONOMIA"," ",ROUND(C21/C19,2)*100,"%")</f>
        <v>ECONOMIA 0%</v>
      </c>
      <c r="C21" s="46">
        <f>SUM(C19-C20)</f>
        <v>0</v>
      </c>
      <c r="D21" s="13"/>
      <c r="F21" s="41"/>
      <c r="G21" s="41"/>
      <c r="H21" s="36"/>
      <c r="I21" s="36"/>
      <c r="J21" s="38"/>
      <c r="K21" s="36"/>
      <c r="L21" s="1"/>
      <c r="M21" s="1"/>
      <c r="N21" s="1"/>
      <c r="O21" s="1"/>
      <c r="P21" s="1"/>
      <c r="Q21" s="35"/>
      <c r="R21" s="58" t="s">
        <v>12</v>
      </c>
      <c r="S21" s="59">
        <f>COUNTIF(Tabela174681012142230322681619252731333624210121416182426283038402481012141620222628303234362426810121424610122426244262628262681026286236681012141618[Status],Tabela25791113152331333791720262832343735311131517192527293139413591113151721232729313335373537911131535711133537345373739373791137397337791113151719[[#This Row],[STATUS]])</f>
        <v>0</v>
      </c>
    </row>
    <row r="22" spans="1:20" s="8" customFormat="1" x14ac:dyDescent="0.25">
      <c r="A22" s="1"/>
      <c r="B22" s="51" t="e">
        <f>_xlfn.CONCAT("HPOD"," ",ROUND(C22/C21,2)*100,"%")</f>
        <v>#DIV/0!</v>
      </c>
      <c r="C22" s="46">
        <f>C21*12%</f>
        <v>0</v>
      </c>
      <c r="D22" s="13"/>
      <c r="F22" s="41"/>
      <c r="G22" s="41"/>
      <c r="H22" s="36"/>
      <c r="I22" s="36"/>
      <c r="J22" s="38"/>
      <c r="K22" s="36"/>
      <c r="L22" s="1"/>
      <c r="M22" s="1"/>
      <c r="N22" s="1"/>
      <c r="O22" s="1"/>
      <c r="P22" s="1"/>
      <c r="Q22" s="1"/>
      <c r="R22" s="6" t="s">
        <v>27</v>
      </c>
      <c r="S22" s="40">
        <f>SUBTOTAL(109,Tabela25791113152331333791720262832343735311131517192527293139413591113151721232729313335373537911131535711133537345373739373791137397337791113151719[Coluna1])</f>
        <v>11</v>
      </c>
    </row>
    <row r="23" spans="1:20" s="8" customFormat="1" x14ac:dyDescent="0.25">
      <c r="A23" s="1"/>
      <c r="B23" s="3"/>
      <c r="C23" s="47"/>
      <c r="D23" s="1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6"/>
    </row>
    <row r="24" spans="1:20" s="8" customFormat="1" x14ac:dyDescent="0.25">
      <c r="A24" s="1"/>
      <c r="B24" s="3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35"/>
      <c r="P24" s="1"/>
      <c r="Q24" s="1"/>
      <c r="R24" s="1"/>
      <c r="S24" s="1"/>
      <c r="T24" s="1"/>
    </row>
    <row r="25" spans="1:20" s="8" customFormat="1" x14ac:dyDescent="0.25">
      <c r="A25" s="26"/>
      <c r="B25" s="12"/>
      <c r="C25" s="12"/>
      <c r="D25" s="12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1"/>
    </row>
    <row r="26" spans="1:20" s="8" customFormat="1" x14ac:dyDescent="0.25">
      <c r="A26" s="26"/>
      <c r="B26" s="12"/>
      <c r="C26" s="12"/>
      <c r="D26" s="12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7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8"/>
      <c r="F28" s="28"/>
      <c r="G28" s="28"/>
      <c r="H28" s="28"/>
      <c r="I28" s="28"/>
      <c r="J28" s="28"/>
      <c r="K28" s="27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8"/>
      <c r="F29" s="28"/>
      <c r="G29" s="28"/>
      <c r="H29" s="28"/>
      <c r="I29" s="28"/>
      <c r="J29" s="28"/>
      <c r="K29" s="27"/>
      <c r="L29" s="26"/>
      <c r="M29" s="26"/>
      <c r="N29" s="26"/>
      <c r="O29" s="26"/>
      <c r="P29" s="29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8"/>
      <c r="F31" s="28"/>
      <c r="G31" s="28"/>
      <c r="H31" s="28"/>
      <c r="I31" s="28"/>
      <c r="J31" s="28"/>
      <c r="K31" s="29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9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26"/>
      <c r="B38" s="12"/>
      <c r="C38" s="12"/>
      <c r="D38" s="12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8" customFormat="1" x14ac:dyDescent="0.25">
      <c r="A39" s="1"/>
      <c r="B39" s="3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6"/>
    </row>
    <row r="40" spans="1:20" s="8" customFormat="1" x14ac:dyDescent="0.25">
      <c r="A40" s="1"/>
      <c r="B40" s="3"/>
      <c r="C40" s="3"/>
      <c r="D40" s="3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8" customFormat="1" x14ac:dyDescent="0.25">
      <c r="A41" s="1"/>
      <c r="B41" s="3"/>
      <c r="C41" s="3"/>
      <c r="D41" s="3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</row>
  </sheetData>
  <mergeCells count="1">
    <mergeCell ref="A2:T2"/>
  </mergeCells>
  <conditionalFormatting sqref="A1:A1048576">
    <cfRule type="duplicateValues" dxfId="53" priority="4"/>
    <cfRule type="duplicateValues" dxfId="52" priority="5"/>
  </conditionalFormatting>
  <conditionalFormatting sqref="B1:B1048576">
    <cfRule type="duplicateValues" dxfId="51" priority="6"/>
  </conditionalFormatting>
  <conditionalFormatting sqref="B19:C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{7CDBD9D2-E3A6-4977-B86F-F63A39643EFC}</x14:id>
        </ext>
      </extLst>
    </cfRule>
  </conditionalFormatting>
  <conditionalFormatting sqref="H19:J20 F19:G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{20F4E78A-5A5C-4494-8F7A-BAD09E66B446}</x14:id>
        </ext>
      </extLst>
    </cfRule>
  </conditionalFormatting>
  <conditionalFormatting sqref="R19:S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{FF846564-24F6-450A-A982-0F82A44D4E71}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DBD9D2-E3A6-4977-B86F-F63A39643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B19:C22</xm:sqref>
        </x14:conditionalFormatting>
        <x14:conditionalFormatting xmlns:xm="http://schemas.microsoft.com/office/excel/2006/main">
          <x14:cfRule type="dataBar" id="{20F4E78A-5A5C-4494-8F7A-BAD09E66B446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H19:J20 F19:G22</xm:sqref>
        </x14:conditionalFormatting>
        <x14:conditionalFormatting xmlns:xm="http://schemas.microsoft.com/office/excel/2006/main">
          <x14:cfRule type="dataBar" id="{FF846564-24F6-450A-A982-0F82A44D4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R19:S21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FEBE-F6BE-411F-9D84-CFFA9087BA4D}">
  <sheetPr>
    <pageSetUpPr fitToPage="1"/>
  </sheetPr>
  <dimension ref="A1:BG51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8.7109375" style="3" bestFit="1" customWidth="1"/>
    <col min="3" max="3" width="11.140625" style="3" bestFit="1" customWidth="1"/>
    <col min="4" max="4" width="27.71093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hidden="1" x14ac:dyDescent="0.25">
      <c r="A4" s="16">
        <v>209689</v>
      </c>
      <c r="B4" s="30" t="s">
        <v>1461</v>
      </c>
      <c r="C4" s="20" t="s">
        <v>647</v>
      </c>
      <c r="D4" s="20" t="s">
        <v>720</v>
      </c>
      <c r="E4" s="20" t="s">
        <v>2860</v>
      </c>
      <c r="F4" s="20" t="s">
        <v>2861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SUM(Tabela17468101214223032268161925273133362421012141618242628303840248101214162022262830323436242681012142461012242624426262826268102628623668101214161820[[#This Row],[Saldo no cartão]:[Recarga Pendente]])</f>
        <v>0</v>
      </c>
      <c r="N4" s="19">
        <f>Tabela17468101214223032268161925273133362421012141618242628303840248101214162022262830323436242681012142461012242624426262826268102628623668101214161820[[#This Row],[Uso diário]]*2</f>
        <v>37.6</v>
      </c>
      <c r="O4" s="19">
        <f>Tabela17468101214223032268161925273133362421012141618242628303840248101214162022262830323436242681012142461012242624426262826268102628623668101214161820[[#This Row],[Total Acumulado]]-P4</f>
        <v>-94</v>
      </c>
      <c r="P4" s="48">
        <f>Tabela17468101214223032268161925273133362421012141618242628303840248101214162022262830323436242681012142461012242624426262826268102628623668101214161820[[#This Row],[Uso diário]]*5</f>
        <v>94</v>
      </c>
      <c r="Q4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4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488.8</v>
      </c>
      <c r="S4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4" s="25">
        <v>7</v>
      </c>
    </row>
    <row r="5" spans="1:59" s="26" customFormat="1" hidden="1" x14ac:dyDescent="0.25">
      <c r="A5" s="16">
        <v>222687</v>
      </c>
      <c r="B5" s="30" t="s">
        <v>1462</v>
      </c>
      <c r="C5" s="20" t="s">
        <v>647</v>
      </c>
      <c r="D5" s="20" t="s">
        <v>722</v>
      </c>
      <c r="E5" s="20" t="s">
        <v>2862</v>
      </c>
      <c r="F5" s="20" t="s">
        <v>2863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SUM(Tabela17468101214223032268161925273133362421012141618242628303840248101214162022262830323436242681012142461012242624426262826268102628623668101214161820[[#This Row],[Saldo no cartão]:[Recarga Pendente]])</f>
        <v>0</v>
      </c>
      <c r="N5" s="19">
        <f>Tabela17468101214223032268161925273133362421012141618242628303840248101214162022262830323436242681012142461012242624426262826268102628623668101214161820[[#This Row],[Uso diário]]*2</f>
        <v>37.6</v>
      </c>
      <c r="O5" s="19">
        <f>Tabela17468101214223032268161925273133362421012141618242628303840248101214162022262830323436242681012142461012242624426262826268102628623668101214161820[[#This Row],[Total Acumulado]]-P5</f>
        <v>-94</v>
      </c>
      <c r="P5" s="48">
        <f>Tabela17468101214223032268161925273133362421012141618242628303840248101214162022262830323436242681012142461012242624426262826268102628623668101214161820[[#This Row],[Uso diário]]*5</f>
        <v>94</v>
      </c>
      <c r="Q5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5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488.8</v>
      </c>
      <c r="S5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5" s="25">
        <v>7</v>
      </c>
    </row>
    <row r="6" spans="1:59" s="26" customFormat="1" hidden="1" x14ac:dyDescent="0.25">
      <c r="A6" s="16">
        <v>219504</v>
      </c>
      <c r="B6" s="30" t="s">
        <v>331</v>
      </c>
      <c r="C6" s="20" t="s">
        <v>651</v>
      </c>
      <c r="D6" s="20" t="s">
        <v>719</v>
      </c>
      <c r="E6" s="20" t="s">
        <v>2864</v>
      </c>
      <c r="F6" s="20" t="s">
        <v>2865</v>
      </c>
      <c r="G6" s="21">
        <v>28.5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741</v>
      </c>
      <c r="K6" s="22"/>
      <c r="L6" s="23"/>
      <c r="M6" s="23">
        <f>SUM(Tabela17468101214223032268161925273133362421012141618242628303840248101214162022262830323436242681012142461012242624426262826268102628623668101214161820[[#This Row],[Saldo no cartão]:[Recarga Pendente]])</f>
        <v>0</v>
      </c>
      <c r="N6" s="19">
        <f>Tabela17468101214223032268161925273133362421012141618242628303840248101214162022262830323436242681012142461012242624426262826268102628623668101214161820[[#This Row],[Uso diário]]*2</f>
        <v>57</v>
      </c>
      <c r="O6" s="19">
        <f>Tabela17468101214223032268161925273133362421012141618242628303840248101214162022262830323436242681012142461012242624426262826268102628623668101214161820[[#This Row],[Total Acumulado]]-P6</f>
        <v>-142.5</v>
      </c>
      <c r="P6" s="48">
        <f>Tabela17468101214223032268161925273133362421012141618242628303840248101214162022262830323436242681012142461012242624426262826268102628623668101214161820[[#This Row],[Uso diário]]*5</f>
        <v>142.5</v>
      </c>
      <c r="Q6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6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741</v>
      </c>
      <c r="S6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6" s="25">
        <v>7</v>
      </c>
    </row>
    <row r="7" spans="1:59" s="26" customFormat="1" hidden="1" x14ac:dyDescent="0.25">
      <c r="A7" s="16">
        <v>214437</v>
      </c>
      <c r="B7" s="30" t="s">
        <v>941</v>
      </c>
      <c r="C7" s="20" t="s">
        <v>635</v>
      </c>
      <c r="D7" s="20" t="s">
        <v>689</v>
      </c>
      <c r="E7" s="20" t="s">
        <v>2866</v>
      </c>
      <c r="F7" s="20" t="s">
        <v>2867</v>
      </c>
      <c r="G7" s="21">
        <v>18.8</v>
      </c>
      <c r="H7" s="16">
        <v>20</v>
      </c>
      <c r="I7" s="16"/>
      <c r="J7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376</v>
      </c>
      <c r="K7" s="22"/>
      <c r="L7" s="23"/>
      <c r="M7" s="23">
        <f>SUM(Tabela17468101214223032268161925273133362421012141618242628303840248101214162022262830323436242681012142461012242624426262826268102628623668101214161820[[#This Row],[Saldo no cartão]:[Recarga Pendente]])</f>
        <v>0</v>
      </c>
      <c r="N7" s="19">
        <f>Tabela17468101214223032268161925273133362421012141618242628303840248101214162022262830323436242681012142461012242624426262826268102628623668101214161820[[#This Row],[Uso diário]]*2</f>
        <v>37.6</v>
      </c>
      <c r="O7" s="19">
        <f>Tabela17468101214223032268161925273133362421012141618242628303840248101214162022262830323436242681012142461012242624426262826268102628623668101214161820[[#This Row],[Total Acumulado]]-P7</f>
        <v>-94</v>
      </c>
      <c r="P7" s="48">
        <f>Tabela17468101214223032268161925273133362421012141618242628303840248101214162022262830323436242681012142461012242624426262826268102628623668101214161820[[#This Row],[Uso diário]]*5</f>
        <v>94</v>
      </c>
      <c r="Q7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7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376</v>
      </c>
      <c r="S7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7" s="25">
        <v>7</v>
      </c>
    </row>
    <row r="8" spans="1:59" s="26" customFormat="1" hidden="1" x14ac:dyDescent="0.25">
      <c r="A8" s="16">
        <v>214766</v>
      </c>
      <c r="B8" s="30" t="s">
        <v>332</v>
      </c>
      <c r="C8" s="20" t="s">
        <v>654</v>
      </c>
      <c r="D8" s="20" t="s">
        <v>715</v>
      </c>
      <c r="E8" s="20" t="s">
        <v>2868</v>
      </c>
      <c r="F8" s="20" t="s">
        <v>2869</v>
      </c>
      <c r="G8" s="21">
        <v>18.8</v>
      </c>
      <c r="H8" s="16">
        <v>26</v>
      </c>
      <c r="I8" s="16">
        <v>1</v>
      </c>
      <c r="J8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470</v>
      </c>
      <c r="K8" s="22"/>
      <c r="L8" s="23"/>
      <c r="M8" s="23">
        <f>SUM(Tabela17468101214223032268161925273133362421012141618242628303840248101214162022262830323436242681012142461012242624426262826268102628623668101214161820[[#This Row],[Saldo no cartão]:[Recarga Pendente]])</f>
        <v>0</v>
      </c>
      <c r="N8" s="19">
        <f>Tabela17468101214223032268161925273133362421012141618242628303840248101214162022262830323436242681012142461012242624426262826268102628623668101214161820[[#This Row],[Uso diário]]*2</f>
        <v>37.6</v>
      </c>
      <c r="O8" s="19">
        <f>Tabela17468101214223032268161925273133362421012141618242628303840248101214162022262830323436242681012142461012242624426262826268102628623668101214161820[[#This Row],[Total Acumulado]]-P8</f>
        <v>-94</v>
      </c>
      <c r="P8" s="48">
        <f>Tabela17468101214223032268161925273133362421012141618242628303840248101214162022262830323436242681012142461012242624426262826268102628623668101214161820[[#This Row],[Uso diário]]*5</f>
        <v>94</v>
      </c>
      <c r="Q8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8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470</v>
      </c>
      <c r="S8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8" s="25">
        <v>7</v>
      </c>
    </row>
    <row r="9" spans="1:59" s="26" customFormat="1" hidden="1" x14ac:dyDescent="0.25">
      <c r="A9" s="16">
        <v>229758</v>
      </c>
      <c r="B9" s="30" t="s">
        <v>333</v>
      </c>
      <c r="C9" s="20" t="s">
        <v>640</v>
      </c>
      <c r="D9" s="20" t="s">
        <v>701</v>
      </c>
      <c r="E9" s="20" t="s">
        <v>2870</v>
      </c>
      <c r="F9" s="20" t="s">
        <v>2871</v>
      </c>
      <c r="G9" s="21">
        <v>18.8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488.8</v>
      </c>
      <c r="K9" s="22"/>
      <c r="L9" s="23"/>
      <c r="M9" s="23">
        <f>SUM(Tabela17468101214223032268161925273133362421012141618242628303840248101214162022262830323436242681012142461012242624426262826268102628623668101214161820[[#This Row],[Saldo no cartão]:[Recarga Pendente]])</f>
        <v>0</v>
      </c>
      <c r="N9" s="19">
        <f>Tabela17468101214223032268161925273133362421012141618242628303840248101214162022262830323436242681012142461012242624426262826268102628623668101214161820[[#This Row],[Uso diário]]*2</f>
        <v>37.6</v>
      </c>
      <c r="O9" s="19">
        <f>Tabela17468101214223032268161925273133362421012141618242628303840248101214162022262830323436242681012142461012242624426262826268102628623668101214161820[[#This Row],[Total Acumulado]]-P9</f>
        <v>-94</v>
      </c>
      <c r="P9" s="48">
        <f>Tabela17468101214223032268161925273133362421012141618242628303840248101214162022262830323436242681012142461012242624426262826268102628623668101214161820[[#This Row],[Uso diário]]*5</f>
        <v>94</v>
      </c>
      <c r="Q9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9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488.8</v>
      </c>
      <c r="S9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9" s="25">
        <v>7</v>
      </c>
    </row>
    <row r="10" spans="1:59" s="26" customFormat="1" hidden="1" x14ac:dyDescent="0.25">
      <c r="A10" s="16">
        <v>203290</v>
      </c>
      <c r="B10" s="30" t="s">
        <v>335</v>
      </c>
      <c r="C10" s="20" t="s">
        <v>641</v>
      </c>
      <c r="D10" s="20" t="s">
        <v>704</v>
      </c>
      <c r="E10" s="20" t="s">
        <v>2872</v>
      </c>
      <c r="F10" s="20" t="s">
        <v>2873</v>
      </c>
      <c r="G10" s="21">
        <v>18.8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488.8</v>
      </c>
      <c r="K10" s="22"/>
      <c r="L10" s="23"/>
      <c r="M10" s="23">
        <f>SUM(Tabela17468101214223032268161925273133362421012141618242628303840248101214162022262830323436242681012142461012242624426262826268102628623668101214161820[[#This Row],[Saldo no cartão]:[Recarga Pendente]])</f>
        <v>0</v>
      </c>
      <c r="N10" s="19">
        <f>Tabela17468101214223032268161925273133362421012141618242628303840248101214162022262830323436242681012142461012242624426262826268102628623668101214161820[[#This Row],[Uso diário]]*2</f>
        <v>37.6</v>
      </c>
      <c r="O10" s="19">
        <f>Tabela17468101214223032268161925273133362421012141618242628303840248101214162022262830323436242681012142461012242624426262826268102628623668101214161820[[#This Row],[Total Acumulado]]-P10</f>
        <v>-94</v>
      </c>
      <c r="P10" s="48">
        <f>Tabela17468101214223032268161925273133362421012141618242628303840248101214162022262830323436242681012142461012242624426262826268102628623668101214161820[[#This Row],[Uso diário]]*5</f>
        <v>94</v>
      </c>
      <c r="Q10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0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488.8</v>
      </c>
      <c r="S10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0" s="25">
        <v>7</v>
      </c>
    </row>
    <row r="11" spans="1:59" s="26" customFormat="1" hidden="1" x14ac:dyDescent="0.25">
      <c r="A11" s="16">
        <v>220828</v>
      </c>
      <c r="B11" s="30" t="s">
        <v>336</v>
      </c>
      <c r="C11" s="20" t="s">
        <v>641</v>
      </c>
      <c r="D11" s="20" t="s">
        <v>705</v>
      </c>
      <c r="E11" s="20" t="s">
        <v>2874</v>
      </c>
      <c r="F11" s="20" t="s">
        <v>2875</v>
      </c>
      <c r="G11" s="21">
        <v>18.8</v>
      </c>
      <c r="H11" s="16">
        <v>26</v>
      </c>
      <c r="I11" s="16">
        <v>1</v>
      </c>
      <c r="J11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470</v>
      </c>
      <c r="K11" s="22"/>
      <c r="L11" s="23"/>
      <c r="M11" s="23">
        <f>SUM(Tabela17468101214223032268161925273133362421012141618242628303840248101214162022262830323436242681012142461012242624426262826268102628623668101214161820[[#This Row],[Saldo no cartão]:[Recarga Pendente]])</f>
        <v>0</v>
      </c>
      <c r="N11" s="19">
        <f>Tabela17468101214223032268161925273133362421012141618242628303840248101214162022262830323436242681012142461012242624426262826268102628623668101214161820[[#This Row],[Uso diário]]*2</f>
        <v>37.6</v>
      </c>
      <c r="O11" s="19">
        <f>Tabela17468101214223032268161925273133362421012141618242628303840248101214162022262830323436242681012142461012242624426262826268102628623668101214161820[[#This Row],[Total Acumulado]]-P11</f>
        <v>-94</v>
      </c>
      <c r="P11" s="48">
        <f>Tabela17468101214223032268161925273133362421012141618242628303840248101214162022262830323436242681012142461012242624426262826268102628623668101214161820[[#This Row],[Uso diário]]*5</f>
        <v>94</v>
      </c>
      <c r="Q11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1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470</v>
      </c>
      <c r="S11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1" s="25">
        <v>7</v>
      </c>
    </row>
    <row r="12" spans="1:59" s="26" customFormat="1" hidden="1" x14ac:dyDescent="0.25">
      <c r="A12" s="16">
        <v>223173</v>
      </c>
      <c r="B12" s="30" t="s">
        <v>299</v>
      </c>
      <c r="C12" s="20" t="s">
        <v>641</v>
      </c>
      <c r="D12" s="20" t="s">
        <v>704</v>
      </c>
      <c r="E12" s="20" t="s">
        <v>2876</v>
      </c>
      <c r="F12" s="20" t="s">
        <v>2877</v>
      </c>
      <c r="G12" s="21">
        <v>18.8</v>
      </c>
      <c r="H12" s="16">
        <v>26</v>
      </c>
      <c r="I12" s="16">
        <v>1</v>
      </c>
      <c r="J12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470</v>
      </c>
      <c r="K12" s="22"/>
      <c r="L12" s="23"/>
      <c r="M12" s="23">
        <f>SUM(Tabela17468101214223032268161925273133362421012141618242628303840248101214162022262830323436242681012142461012242624426262826268102628623668101214161820[[#This Row],[Saldo no cartão]:[Recarga Pendente]])</f>
        <v>0</v>
      </c>
      <c r="N12" s="19">
        <f>Tabela17468101214223032268161925273133362421012141618242628303840248101214162022262830323436242681012142461012242624426262826268102628623668101214161820[[#This Row],[Uso diário]]*2</f>
        <v>37.6</v>
      </c>
      <c r="O12" s="19">
        <f>Tabela17468101214223032268161925273133362421012141618242628303840248101214162022262830323436242681012142461012242624426262826268102628623668101214161820[[#This Row],[Total Acumulado]]-P12</f>
        <v>-94</v>
      </c>
      <c r="P12" s="48">
        <f>Tabela17468101214223032268161925273133362421012141618242628303840248101214162022262830323436242681012142461012242624426262826268102628623668101214161820[[#This Row],[Uso diário]]*5</f>
        <v>94</v>
      </c>
      <c r="Q12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2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470</v>
      </c>
      <c r="S12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2" s="25">
        <v>7</v>
      </c>
    </row>
    <row r="13" spans="1:59" s="26" customFormat="1" hidden="1" x14ac:dyDescent="0.25">
      <c r="A13" s="16">
        <v>229831</v>
      </c>
      <c r="B13" s="30" t="s">
        <v>1463</v>
      </c>
      <c r="C13" s="20" t="s">
        <v>641</v>
      </c>
      <c r="D13" s="20" t="s">
        <v>704</v>
      </c>
      <c r="E13" s="20" t="s">
        <v>2878</v>
      </c>
      <c r="F13" s="20" t="s">
        <v>2879</v>
      </c>
      <c r="G13" s="21">
        <v>18.8</v>
      </c>
      <c r="H13" s="16">
        <v>26</v>
      </c>
      <c r="I13" s="16"/>
      <c r="J13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488.8</v>
      </c>
      <c r="K13" s="22"/>
      <c r="L13" s="23"/>
      <c r="M13" s="23">
        <f>SUM(Tabela17468101214223032268161925273133362421012141618242628303840248101214162022262830323436242681012142461012242624426262826268102628623668101214161820[[#This Row],[Saldo no cartão]:[Recarga Pendente]])</f>
        <v>0</v>
      </c>
      <c r="N13" s="19">
        <f>Tabela17468101214223032268161925273133362421012141618242628303840248101214162022262830323436242681012142461012242624426262826268102628623668101214161820[[#This Row],[Uso diário]]*2</f>
        <v>37.6</v>
      </c>
      <c r="O13" s="19">
        <f>Tabela17468101214223032268161925273133362421012141618242628303840248101214162022262830323436242681012142461012242624426262826268102628623668101214161820[[#This Row],[Total Acumulado]]-P13</f>
        <v>-94</v>
      </c>
      <c r="P13" s="48">
        <f>Tabela17468101214223032268161925273133362421012141618242628303840248101214162022262830323436242681012142461012242624426262826268102628623668101214161820[[#This Row],[Uso diário]]*5</f>
        <v>94</v>
      </c>
      <c r="Q13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3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488.8</v>
      </c>
      <c r="S13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3" s="25">
        <v>7</v>
      </c>
    </row>
    <row r="14" spans="1:59" s="26" customFormat="1" hidden="1" x14ac:dyDescent="0.25">
      <c r="A14" s="16">
        <v>232530</v>
      </c>
      <c r="B14" s="30" t="s">
        <v>905</v>
      </c>
      <c r="C14" s="20" t="s">
        <v>641</v>
      </c>
      <c r="D14" s="20" t="s">
        <v>704</v>
      </c>
      <c r="E14" s="20" t="s">
        <v>2880</v>
      </c>
      <c r="F14" s="20" t="s">
        <v>2881</v>
      </c>
      <c r="G14" s="21">
        <v>18.8</v>
      </c>
      <c r="H14" s="16">
        <v>26</v>
      </c>
      <c r="I14" s="16">
        <v>1</v>
      </c>
      <c r="J14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470</v>
      </c>
      <c r="K14" s="22"/>
      <c r="L14" s="23"/>
      <c r="M14" s="23">
        <f>SUM(Tabela17468101214223032268161925273133362421012141618242628303840248101214162022262830323436242681012142461012242624426262826268102628623668101214161820[[#This Row],[Saldo no cartão]:[Recarga Pendente]])</f>
        <v>0</v>
      </c>
      <c r="N14" s="19">
        <f>Tabela17468101214223032268161925273133362421012141618242628303840248101214162022262830323436242681012142461012242624426262826268102628623668101214161820[[#This Row],[Uso diário]]*2</f>
        <v>37.6</v>
      </c>
      <c r="O14" s="19">
        <f>Tabela17468101214223032268161925273133362421012141618242628303840248101214162022262830323436242681012142461012242624426262826268102628623668101214161820[[#This Row],[Total Acumulado]]-P14</f>
        <v>-94</v>
      </c>
      <c r="P14" s="48">
        <f>Tabela17468101214223032268161925273133362421012141618242628303840248101214162022262830323436242681012142461012242624426262826268102628623668101214161820[[#This Row],[Uso diário]]*5</f>
        <v>94</v>
      </c>
      <c r="Q14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4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470</v>
      </c>
      <c r="S14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4" s="25">
        <v>7</v>
      </c>
    </row>
    <row r="15" spans="1:59" s="26" customFormat="1" x14ac:dyDescent="0.25">
      <c r="A15" s="16">
        <v>220124</v>
      </c>
      <c r="B15" s="30" t="s">
        <v>337</v>
      </c>
      <c r="C15" s="20" t="s">
        <v>658</v>
      </c>
      <c r="D15" s="20" t="s">
        <v>746</v>
      </c>
      <c r="E15" s="20" t="s">
        <v>2882</v>
      </c>
      <c r="F15" s="20" t="s">
        <v>2883</v>
      </c>
      <c r="G15" s="21">
        <v>18.8</v>
      </c>
      <c r="H15" s="16">
        <v>26</v>
      </c>
      <c r="I15" s="16">
        <v>1</v>
      </c>
      <c r="J15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470</v>
      </c>
      <c r="K15" s="22"/>
      <c r="L15" s="23"/>
      <c r="M15" s="23">
        <f>SUM(Tabela17468101214223032268161925273133362421012141618242628303840248101214162022262830323436242681012142461012242624426262826268102628623668101214161820[[#This Row],[Saldo no cartão]:[Recarga Pendente]])</f>
        <v>0</v>
      </c>
      <c r="N15" s="19">
        <f>Tabela17468101214223032268161925273133362421012141618242628303840248101214162022262830323436242681012142461012242624426262826268102628623668101214161820[[#This Row],[Uso diário]]*2</f>
        <v>37.6</v>
      </c>
      <c r="O15" s="19">
        <f>Tabela17468101214223032268161925273133362421012141618242628303840248101214162022262830323436242681012142461012242624426262826268102628623668101214161820[[#This Row],[Total Acumulado]]-P15</f>
        <v>-94</v>
      </c>
      <c r="P15" s="48">
        <f>Tabela17468101214223032268161925273133362421012141618242628303840248101214162022262830323436242681012142461012242624426262826268102628623668101214161820[[#This Row],[Uso diário]]*5</f>
        <v>94</v>
      </c>
      <c r="Q15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5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470</v>
      </c>
      <c r="S15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5" s="25">
        <v>8</v>
      </c>
    </row>
    <row r="16" spans="1:59" s="26" customFormat="1" x14ac:dyDescent="0.25">
      <c r="A16" s="16">
        <v>234128</v>
      </c>
      <c r="B16" s="30" t="s">
        <v>1464</v>
      </c>
      <c r="C16" s="20" t="s">
        <v>651</v>
      </c>
      <c r="D16" s="20" t="s">
        <v>716</v>
      </c>
      <c r="E16" s="20" t="s">
        <v>2884</v>
      </c>
      <c r="F16" s="20" t="s">
        <v>2885</v>
      </c>
      <c r="G16" s="21">
        <v>18.8</v>
      </c>
      <c r="H16" s="16">
        <v>16</v>
      </c>
      <c r="I16" s="16">
        <v>7</v>
      </c>
      <c r="J16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169.20000000000002</v>
      </c>
      <c r="K16" s="22"/>
      <c r="L16" s="23"/>
      <c r="M16" s="23">
        <f>SUM(Tabela17468101214223032268161925273133362421012141618242628303840248101214162022262830323436242681012142461012242624426262826268102628623668101214161820[[#This Row],[Saldo no cartão]:[Recarga Pendente]])</f>
        <v>0</v>
      </c>
      <c r="N16" s="19">
        <f>Tabela17468101214223032268161925273133362421012141618242628303840248101214162022262830323436242681012142461012242624426262826268102628623668101214161820[[#This Row],[Uso diário]]*2</f>
        <v>37.6</v>
      </c>
      <c r="O16" s="19">
        <f>Tabela17468101214223032268161925273133362421012141618242628303840248101214162022262830323436242681012142461012242624426262826268102628623668101214161820[[#This Row],[Total Acumulado]]-P16</f>
        <v>-94</v>
      </c>
      <c r="P16" s="48">
        <f>Tabela17468101214223032268161925273133362421012141618242628303840248101214162022262830323436242681012142461012242624426262826268102628623668101214161820[[#This Row],[Uso diário]]*5</f>
        <v>94</v>
      </c>
      <c r="Q16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6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169.20000000000002</v>
      </c>
      <c r="S16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6" s="25">
        <v>8</v>
      </c>
    </row>
    <row r="17" spans="1:20" s="26" customFormat="1" x14ac:dyDescent="0.25">
      <c r="A17" s="16">
        <v>232301</v>
      </c>
      <c r="B17" s="30" t="s">
        <v>906</v>
      </c>
      <c r="C17" s="20" t="s">
        <v>636</v>
      </c>
      <c r="D17" s="20" t="s">
        <v>729</v>
      </c>
      <c r="E17" s="20" t="s">
        <v>2886</v>
      </c>
      <c r="F17" s="20" t="s">
        <v>2887</v>
      </c>
      <c r="G17" s="21">
        <v>9.4</v>
      </c>
      <c r="H17" s="16">
        <v>22</v>
      </c>
      <c r="I17" s="16">
        <v>3</v>
      </c>
      <c r="J17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178.6</v>
      </c>
      <c r="K17" s="22"/>
      <c r="L17" s="23"/>
      <c r="M17" s="23">
        <f>SUM(Tabela17468101214223032268161925273133362421012141618242628303840248101214162022262830323436242681012142461012242624426262826268102628623668101214161820[[#This Row],[Saldo no cartão]:[Recarga Pendente]])</f>
        <v>0</v>
      </c>
      <c r="N17" s="19">
        <f>Tabela17468101214223032268161925273133362421012141618242628303840248101214162022262830323436242681012142461012242624426262826268102628623668101214161820[[#This Row],[Uso diário]]*2</f>
        <v>18.8</v>
      </c>
      <c r="O17" s="19">
        <f>Tabela17468101214223032268161925273133362421012141618242628303840248101214162022262830323436242681012142461012242624426262826268102628623668101214161820[[#This Row],[Total Acumulado]]-P17</f>
        <v>-47</v>
      </c>
      <c r="P17" s="48">
        <f>Tabela17468101214223032268161925273133362421012141618242628303840248101214162022262830323436242681012142461012242624426262826268102628623668101214161820[[#This Row],[Uso diário]]*5</f>
        <v>47</v>
      </c>
      <c r="Q17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7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178.6</v>
      </c>
      <c r="S17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7" s="25">
        <v>8</v>
      </c>
    </row>
    <row r="18" spans="1:20" s="26" customFormat="1" x14ac:dyDescent="0.25">
      <c r="A18" s="16">
        <v>232408</v>
      </c>
      <c r="B18" s="30" t="s">
        <v>907</v>
      </c>
      <c r="C18" s="20" t="s">
        <v>636</v>
      </c>
      <c r="D18" s="20" t="s">
        <v>729</v>
      </c>
      <c r="E18" s="20" t="s">
        <v>2888</v>
      </c>
      <c r="F18" s="20" t="s">
        <v>2889</v>
      </c>
      <c r="G18" s="21">
        <v>18.8</v>
      </c>
      <c r="H18" s="16">
        <v>22</v>
      </c>
      <c r="I18" s="16"/>
      <c r="J18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413.6</v>
      </c>
      <c r="K18" s="22"/>
      <c r="L18" s="23"/>
      <c r="M18" s="23">
        <f>SUM(Tabela17468101214223032268161925273133362421012141618242628303840248101214162022262830323436242681012142461012242624426262826268102628623668101214161820[[#This Row],[Saldo no cartão]:[Recarga Pendente]])</f>
        <v>0</v>
      </c>
      <c r="N18" s="19">
        <f>Tabela17468101214223032268161925273133362421012141618242628303840248101214162022262830323436242681012142461012242624426262826268102628623668101214161820[[#This Row],[Uso diário]]*2</f>
        <v>37.6</v>
      </c>
      <c r="O18" s="19">
        <f>Tabela17468101214223032268161925273133362421012141618242628303840248101214162022262830323436242681012142461012242624426262826268102628623668101214161820[[#This Row],[Total Acumulado]]-P18</f>
        <v>-94</v>
      </c>
      <c r="P18" s="48">
        <f>Tabela17468101214223032268161925273133362421012141618242628303840248101214162022262830323436242681012142461012242624426262826268102628623668101214161820[[#This Row],[Uso diário]]*5</f>
        <v>94</v>
      </c>
      <c r="Q18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8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413.6</v>
      </c>
      <c r="S18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8" s="25">
        <v>8</v>
      </c>
    </row>
    <row r="19" spans="1:20" s="26" customFormat="1" x14ac:dyDescent="0.25">
      <c r="A19" s="16">
        <v>232409</v>
      </c>
      <c r="B19" s="30" t="s">
        <v>908</v>
      </c>
      <c r="C19" s="20" t="s">
        <v>636</v>
      </c>
      <c r="D19" s="20" t="s">
        <v>729</v>
      </c>
      <c r="E19" s="20" t="s">
        <v>2890</v>
      </c>
      <c r="F19" s="20" t="s">
        <v>2891</v>
      </c>
      <c r="G19" s="21">
        <v>9.4</v>
      </c>
      <c r="H19" s="16">
        <v>22</v>
      </c>
      <c r="I19" s="16">
        <v>2</v>
      </c>
      <c r="J19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188</v>
      </c>
      <c r="K19" s="22"/>
      <c r="L19" s="23"/>
      <c r="M19" s="23">
        <f>SUM(Tabela17468101214223032268161925273133362421012141618242628303840248101214162022262830323436242681012142461012242624426262826268102628623668101214161820[[#This Row],[Saldo no cartão]:[Recarga Pendente]])</f>
        <v>0</v>
      </c>
      <c r="N19" s="19">
        <f>Tabela17468101214223032268161925273133362421012141618242628303840248101214162022262830323436242681012142461012242624426262826268102628623668101214161820[[#This Row],[Uso diário]]*2</f>
        <v>18.8</v>
      </c>
      <c r="O19" s="19">
        <f>Tabela17468101214223032268161925273133362421012141618242628303840248101214162022262830323436242681012142461012242624426262826268102628623668101214161820[[#This Row],[Total Acumulado]]-P19</f>
        <v>-47</v>
      </c>
      <c r="P19" s="48">
        <f>Tabela17468101214223032268161925273133362421012141618242628303840248101214162022262830323436242681012142461012242624426262826268102628623668101214161820[[#This Row],[Uso diário]]*5</f>
        <v>47</v>
      </c>
      <c r="Q19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19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188</v>
      </c>
      <c r="S19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19" s="25">
        <v>8</v>
      </c>
    </row>
    <row r="20" spans="1:20" s="26" customFormat="1" x14ac:dyDescent="0.25">
      <c r="A20" s="16">
        <v>232410</v>
      </c>
      <c r="B20" s="30" t="s">
        <v>909</v>
      </c>
      <c r="C20" s="20" t="s">
        <v>636</v>
      </c>
      <c r="D20" s="20" t="s">
        <v>729</v>
      </c>
      <c r="E20" s="20" t="s">
        <v>2892</v>
      </c>
      <c r="F20" s="20" t="s">
        <v>2893</v>
      </c>
      <c r="G20" s="21">
        <v>9.4</v>
      </c>
      <c r="H20" s="16">
        <v>22</v>
      </c>
      <c r="I20" s="16">
        <v>1</v>
      </c>
      <c r="J20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197.4</v>
      </c>
      <c r="K20" s="22"/>
      <c r="L20" s="23"/>
      <c r="M20" s="23">
        <f>SUM(Tabela17468101214223032268161925273133362421012141618242628303840248101214162022262830323436242681012142461012242624426262826268102628623668101214161820[[#This Row],[Saldo no cartão]:[Recarga Pendente]])</f>
        <v>0</v>
      </c>
      <c r="N20" s="19">
        <f>Tabela17468101214223032268161925273133362421012141618242628303840248101214162022262830323436242681012142461012242624426262826268102628623668101214161820[[#This Row],[Uso diário]]*2</f>
        <v>18.8</v>
      </c>
      <c r="O20" s="19">
        <f>Tabela17468101214223032268161925273133362421012141618242628303840248101214162022262830323436242681012142461012242624426262826268102628623668101214161820[[#This Row],[Total Acumulado]]-P20</f>
        <v>-47</v>
      </c>
      <c r="P20" s="48">
        <f>Tabela17468101214223032268161925273133362421012141618242628303840248101214162022262830323436242681012142461012242624426262826268102628623668101214161820[[#This Row],[Uso diário]]*5</f>
        <v>47</v>
      </c>
      <c r="Q20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20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197.4</v>
      </c>
      <c r="S20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20" s="25">
        <v>8</v>
      </c>
    </row>
    <row r="21" spans="1:20" s="26" customFormat="1" x14ac:dyDescent="0.25">
      <c r="A21" s="16">
        <v>218926</v>
      </c>
      <c r="B21" s="30" t="s">
        <v>339</v>
      </c>
      <c r="C21" s="20" t="s">
        <v>653</v>
      </c>
      <c r="D21" s="20" t="s">
        <v>891</v>
      </c>
      <c r="E21" s="20" t="s">
        <v>2894</v>
      </c>
      <c r="F21" s="20" t="s">
        <v>2895</v>
      </c>
      <c r="G21" s="21">
        <v>18.8</v>
      </c>
      <c r="H21" s="16">
        <v>26</v>
      </c>
      <c r="I21" s="16">
        <v>2</v>
      </c>
      <c r="J21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451.20000000000005</v>
      </c>
      <c r="K21" s="22"/>
      <c r="L21" s="23"/>
      <c r="M21" s="23">
        <f>SUM(Tabela17468101214223032268161925273133362421012141618242628303840248101214162022262830323436242681012142461012242624426262826268102628623668101214161820[[#This Row],[Saldo no cartão]:[Recarga Pendente]])</f>
        <v>0</v>
      </c>
      <c r="N21" s="19">
        <f>Tabela17468101214223032268161925273133362421012141618242628303840248101214162022262830323436242681012142461012242624426262826268102628623668101214161820[[#This Row],[Uso diário]]*2</f>
        <v>37.6</v>
      </c>
      <c r="O21" s="19">
        <f>Tabela17468101214223032268161925273133362421012141618242628303840248101214162022262830323436242681012142461012242624426262826268102628623668101214161820[[#This Row],[Total Acumulado]]-P21</f>
        <v>-94</v>
      </c>
      <c r="P21" s="48">
        <f>Tabela17468101214223032268161925273133362421012141618242628303840248101214162022262830323436242681012142461012242624426262826268102628623668101214161820[[#This Row],[Uso diário]]*5</f>
        <v>94</v>
      </c>
      <c r="Q21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21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451.20000000000005</v>
      </c>
      <c r="S21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21" s="25">
        <v>8</v>
      </c>
    </row>
    <row r="22" spans="1:20" s="26" customFormat="1" x14ac:dyDescent="0.25">
      <c r="A22" s="16">
        <v>219888</v>
      </c>
      <c r="B22" s="30" t="s">
        <v>341</v>
      </c>
      <c r="C22" s="20" t="s">
        <v>640</v>
      </c>
      <c r="D22" s="20" t="s">
        <v>702</v>
      </c>
      <c r="E22" s="20" t="s">
        <v>2896</v>
      </c>
      <c r="F22" s="20" t="s">
        <v>2897</v>
      </c>
      <c r="G22" s="21">
        <v>18.8</v>
      </c>
      <c r="H22" s="16">
        <v>26</v>
      </c>
      <c r="I22" s="16">
        <v>11</v>
      </c>
      <c r="J22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282</v>
      </c>
      <c r="K22" s="22"/>
      <c r="L22" s="23"/>
      <c r="M22" s="23">
        <f>SUM(Tabela17468101214223032268161925273133362421012141618242628303840248101214162022262830323436242681012142461012242624426262826268102628623668101214161820[[#This Row],[Saldo no cartão]:[Recarga Pendente]])</f>
        <v>0</v>
      </c>
      <c r="N22" s="19">
        <f>Tabela17468101214223032268161925273133362421012141618242628303840248101214162022262830323436242681012142461012242624426262826268102628623668101214161820[[#This Row],[Uso diário]]*2</f>
        <v>37.6</v>
      </c>
      <c r="O22" s="19">
        <f>Tabela17468101214223032268161925273133362421012141618242628303840248101214162022262830323436242681012142461012242624426262826268102628623668101214161820[[#This Row],[Total Acumulado]]-P22</f>
        <v>-94</v>
      </c>
      <c r="P22" s="48">
        <f>Tabela17468101214223032268161925273133362421012141618242628303840248101214162022262830323436242681012142461012242624426262826268102628623668101214161820[[#This Row],[Uso diário]]*5</f>
        <v>94</v>
      </c>
      <c r="Q22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22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282</v>
      </c>
      <c r="S22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22" s="25">
        <v>8</v>
      </c>
    </row>
    <row r="23" spans="1:20" s="26" customFormat="1" x14ac:dyDescent="0.25">
      <c r="A23" s="16">
        <v>223990</v>
      </c>
      <c r="B23" s="30" t="s">
        <v>1078</v>
      </c>
      <c r="C23" s="20" t="s">
        <v>655</v>
      </c>
      <c r="D23" s="20" t="s">
        <v>732</v>
      </c>
      <c r="E23" s="20" t="s">
        <v>2898</v>
      </c>
      <c r="F23" s="20" t="s">
        <v>2899</v>
      </c>
      <c r="G23" s="21">
        <v>18.8</v>
      </c>
      <c r="H23" s="16">
        <v>26</v>
      </c>
      <c r="I23" s="16">
        <v>1</v>
      </c>
      <c r="J23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470</v>
      </c>
      <c r="K23" s="22"/>
      <c r="L23" s="23"/>
      <c r="M23" s="23">
        <f>SUM(Tabela17468101214223032268161925273133362421012141618242628303840248101214162022262830323436242681012142461012242624426262826268102628623668101214161820[[#This Row],[Saldo no cartão]:[Recarga Pendente]])</f>
        <v>0</v>
      </c>
      <c r="N23" s="19">
        <f>Tabela17468101214223032268161925273133362421012141618242628303840248101214162022262830323436242681012142461012242624426262826268102628623668101214161820[[#This Row],[Uso diário]]*2</f>
        <v>37.6</v>
      </c>
      <c r="O23" s="19">
        <f>Tabela17468101214223032268161925273133362421012141618242628303840248101214162022262830323436242681012142461012242624426262826268102628623668101214161820[[#This Row],[Total Acumulado]]-P23</f>
        <v>-94</v>
      </c>
      <c r="P23" s="48">
        <f>Tabela17468101214223032268161925273133362421012141618242628303840248101214162022262830323436242681012142461012242624426262826268102628623668101214161820[[#This Row],[Uso diário]]*5</f>
        <v>94</v>
      </c>
      <c r="Q23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23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470</v>
      </c>
      <c r="S23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23" s="25">
        <v>8</v>
      </c>
    </row>
    <row r="24" spans="1:20" s="26" customFormat="1" x14ac:dyDescent="0.25">
      <c r="A24" s="16">
        <v>221932</v>
      </c>
      <c r="B24" s="30" t="s">
        <v>342</v>
      </c>
      <c r="C24" s="20" t="s">
        <v>645</v>
      </c>
      <c r="D24" s="20" t="s">
        <v>748</v>
      </c>
      <c r="E24" s="20" t="s">
        <v>2900</v>
      </c>
      <c r="F24" s="20" t="s">
        <v>2901</v>
      </c>
      <c r="G24" s="21">
        <v>18.8</v>
      </c>
      <c r="H24" s="16">
        <v>26</v>
      </c>
      <c r="I24" s="16"/>
      <c r="J24" s="17">
        <f>(Tabela17468101214223032268161925273133362421012141618242628303840248101214162022262830323436242681012142461012242624426262826268102628623668101214161820[[#This Row],[D]]-Tabela17468101214223032268161925273133362421012141618242628303840248101214162022262830323436242681012142461012242624426262826268102628623668101214161820[[#This Row],[F]])*Tabela17468101214223032268161925273133362421012141618242628303840248101214162022262830323436242681012142461012242624426262826268102628623668101214161820[[#This Row],[Uso diário]]</f>
        <v>488.8</v>
      </c>
      <c r="K24" s="22"/>
      <c r="L24" s="23"/>
      <c r="M24" s="23">
        <f>SUM(Tabela17468101214223032268161925273133362421012141618242628303840248101214162022262830323436242681012142461012242624426262826268102628623668101214161820[[#This Row],[Saldo no cartão]:[Recarga Pendente]])</f>
        <v>0</v>
      </c>
      <c r="N24" s="19">
        <f>Tabela17468101214223032268161925273133362421012141618242628303840248101214162022262830323436242681012142461012242624426262826268102628623668101214161820[[#This Row],[Uso diário]]*2</f>
        <v>37.6</v>
      </c>
      <c r="O24" s="19">
        <f>Tabela17468101214223032268161925273133362421012141618242628303840248101214162022262830323436242681012142461012242624426262826268102628623668101214161820[[#This Row],[Total Acumulado]]-P24</f>
        <v>-94</v>
      </c>
      <c r="P24" s="48">
        <f>Tabela17468101214223032268161925273133362421012141618242628303840248101214162022262830323436242681012142461012242624426262826268102628623668101214161820[[#This Row],[Uso diário]]*5</f>
        <v>94</v>
      </c>
      <c r="Q24" s="17">
        <f>IF(Tabela17468101214223032268161925273133362421012141618242628303840248101214162022262830323436242681012142461012242624426262826268102628623668101214161820[[#This Row],[acumulo]]&lt;Tabela17468101214223032268161925273133362421012141618242628303840248101214162022262830323436242681012142461012242624426262826268102628623668101214161820[[#This Row],[acumulo minimo]],0,Tabela17468101214223032268161925273133362421012141618242628303840248101214162022262830323436242681012142461012242624426262826268102628623668101214161820[[#This Row],[acumulo]])</f>
        <v>0</v>
      </c>
      <c r="R24" s="24">
        <f>IF(Tabela17468101214223032268161925273133362421012141618242628303840248101214162022262830323436242681012142461012242624426262826268102628623668101214161820[[#This Row],[Valor economizado]]&gt;Tabela17468101214223032268161925273133362421012141618242628303840248101214162022262830323436242681012142461012242624426262826268102628623668101214161820[[#This Row],[Pedido Inicial]],0,Tabela17468101214223032268161925273133362421012141618242628303840248101214162022262830323436242681012142461012242624426262826268102628623668101214161820[[#This Row],[Pedido Inicial]]-Tabela17468101214223032268161925273133362421012141618242628303840248101214162022262830323436242681012142461012242624426262826268102628623668101214161820[[#This Row],[Valor economizado]])</f>
        <v>488.8</v>
      </c>
      <c r="S24" s="18" t="str">
        <f>IF(Tabela17468101214223032268161925273133362421012141618242628303840248101214162022262830323436242681012142461012242624426262826268102628623668101214161820[[#This Row],[Pedido Final]]=0,"NÃO EFETUAR RECARGA","RECARGA NORMAL")</f>
        <v>RECARGA NORMAL</v>
      </c>
      <c r="T24" s="25">
        <v>8</v>
      </c>
    </row>
    <row r="25" spans="1:20" s="8" customFormat="1" x14ac:dyDescent="0.25">
      <c r="A25" s="13" t="s">
        <v>13</v>
      </c>
      <c r="B25" s="13"/>
      <c r="C25" s="13"/>
      <c r="D25" s="13"/>
      <c r="E25" s="20"/>
      <c r="F25" s="20"/>
      <c r="G25" s="33"/>
      <c r="H25" s="13"/>
      <c r="I25" s="13"/>
      <c r="J25" s="14">
        <f>SUBTOTAL(109,Tabela17468101214223032268161925273133362421012141618242628303840248101214162022262830323436242681012142461012242624426262826268102628623668101214161820[Pedido Inicial])</f>
        <v>3308.8</v>
      </c>
      <c r="K25" s="15"/>
      <c r="L25" s="15"/>
      <c r="M25" s="15"/>
      <c r="N25" s="15"/>
      <c r="O25" s="15"/>
      <c r="P25" s="15"/>
      <c r="Q25" s="15"/>
      <c r="R25" s="14">
        <f>SUBTOTAL(109,Tabela17468101214223032268161925273133362421012141618242628303840248101214162022262830323436242681012142461012242624426262826268102628623668101214161820[Pedido Final])</f>
        <v>3308.8</v>
      </c>
      <c r="S25" s="31">
        <f>SUBTOTAL(103,Tabela17468101214223032268161925273133362421012141618242628303840248101214162022262830323436242681012142461012242624426262826268102628623668101214161820[Status])</f>
        <v>10</v>
      </c>
      <c r="T25" s="13"/>
    </row>
    <row r="26" spans="1:20" s="8" customFormat="1" x14ac:dyDescent="0.25">
      <c r="A26" s="13"/>
      <c r="B26" s="13"/>
      <c r="C26" s="13"/>
      <c r="D26" s="13"/>
      <c r="E26" s="20"/>
      <c r="F26" s="20"/>
      <c r="G26" s="33"/>
      <c r="H26" s="13"/>
      <c r="I26" s="13"/>
      <c r="J26" s="14"/>
      <c r="K26" s="15"/>
      <c r="L26" s="15"/>
      <c r="M26" s="15"/>
      <c r="N26" s="15"/>
      <c r="O26" s="15"/>
      <c r="P26" s="15"/>
      <c r="Q26" s="15"/>
      <c r="R26" s="14"/>
      <c r="S26" s="31"/>
      <c r="T26" s="13"/>
    </row>
    <row r="27" spans="1:20" s="8" customFormat="1" x14ac:dyDescent="0.25">
      <c r="A27" s="13"/>
      <c r="B27" s="13"/>
      <c r="C27" s="13"/>
      <c r="D27" s="13"/>
      <c r="E27" s="20"/>
      <c r="F27" s="20"/>
      <c r="G27" s="33"/>
      <c r="H27" s="13"/>
      <c r="I27" s="13"/>
      <c r="J27" s="14"/>
      <c r="K27" s="15"/>
      <c r="L27" s="15"/>
      <c r="M27" s="15"/>
      <c r="N27" s="15"/>
      <c r="O27" s="15"/>
      <c r="P27" s="15"/>
      <c r="Q27" s="15"/>
      <c r="R27" s="14"/>
      <c r="S27" s="31"/>
      <c r="T27" s="13"/>
    </row>
    <row r="28" spans="1:20" s="8" customFormat="1" x14ac:dyDescent="0.25">
      <c r="A28" s="1"/>
      <c r="B28" s="54" t="s">
        <v>14</v>
      </c>
      <c r="C28" s="55"/>
      <c r="D28" s="13"/>
      <c r="F28" s="37"/>
      <c r="G28" s="37"/>
      <c r="H28" s="37"/>
      <c r="I28" s="37"/>
      <c r="J28" s="28"/>
      <c r="K28" s="3"/>
      <c r="L28" s="1"/>
      <c r="M28" s="1"/>
      <c r="N28" s="1"/>
      <c r="O28" s="1"/>
      <c r="P28" s="1"/>
      <c r="Q28" s="1"/>
      <c r="R28" s="4" t="s">
        <v>26</v>
      </c>
      <c r="S28" s="39" t="s">
        <v>15</v>
      </c>
    </row>
    <row r="29" spans="1:20" s="8" customFormat="1" x14ac:dyDescent="0.25">
      <c r="A29" s="1"/>
      <c r="B29" s="50" t="s">
        <v>24</v>
      </c>
      <c r="C29" s="45">
        <f>Tabela17468101214223032268161925273133362421012141618242628303840248101214162022262830323436242681012142461012242624426262826268102628623668101214161820[[#Totals],[Pedido Inicial]]</f>
        <v>3308.8</v>
      </c>
      <c r="D29" s="13"/>
      <c r="F29" s="41"/>
      <c r="G29" s="41"/>
      <c r="H29" s="34"/>
      <c r="I29" s="34"/>
      <c r="J29" s="34"/>
      <c r="K29" s="5"/>
      <c r="L29" s="1"/>
      <c r="M29" s="1"/>
      <c r="N29" s="1"/>
      <c r="O29" s="1"/>
      <c r="P29" s="1"/>
      <c r="Q29" s="1"/>
      <c r="R29" s="58" t="s">
        <v>28</v>
      </c>
      <c r="S29" s="59">
        <f>COUNTIF(Tabela17468101214223032268161925273133362421012141618242628303840248101214162022262830323436242681012142461012242624426262826268102628623668101214161820[Status],Tabela2579111315233133379172026283234373531113151719252729313941359111315172123272931333537353791113153571113353734537373937379113739733779111315171921[[#This Row],[STATUS]])</f>
        <v>21</v>
      </c>
    </row>
    <row r="30" spans="1:20" s="8" customFormat="1" x14ac:dyDescent="0.25">
      <c r="A30" s="1"/>
      <c r="B30" s="50" t="s">
        <v>25</v>
      </c>
      <c r="C30" s="45">
        <f>Tabela17468101214223032268161925273133362421012141618242628303840248101214162022262830323436242681012142461012242624426262826268102628623668101214161820[[#Totals],[Pedido Final]]</f>
        <v>3308.8</v>
      </c>
      <c r="D30" s="13"/>
      <c r="F30" s="41"/>
      <c r="G30" s="41"/>
      <c r="H30" s="34"/>
      <c r="I30" s="34"/>
      <c r="J30" s="34"/>
      <c r="K30" s="5"/>
      <c r="L30" s="1"/>
      <c r="M30" s="1"/>
      <c r="N30" s="1"/>
      <c r="O30" s="1"/>
      <c r="P30" s="1"/>
      <c r="R30" s="58" t="s">
        <v>11</v>
      </c>
      <c r="S30" s="59">
        <f>COUNTIF(Tabela17468101214223032268161925273133362421012141618242628303840248101214162022262830323436242681012142461012242624426262826268102628623668101214161820[Status],Tabela2579111315233133379172026283234373531113151719252729313941359111315172123272931333537353791113153571113353734537373937379113739733779111315171921[[#This Row],[STATUS]])</f>
        <v>0</v>
      </c>
    </row>
    <row r="31" spans="1:20" s="8" customFormat="1" x14ac:dyDescent="0.25">
      <c r="A31" s="1"/>
      <c r="B31" s="51" t="str">
        <f>_xlfn.CONCAT("ECONOMIA"," ",ROUND(C31/C29,2)*100,"%")</f>
        <v>ECONOMIA 0%</v>
      </c>
      <c r="C31" s="46">
        <f>SUM(C29-C30)</f>
        <v>0</v>
      </c>
      <c r="D31" s="13"/>
      <c r="F31" s="41"/>
      <c r="G31" s="41"/>
      <c r="H31" s="36"/>
      <c r="I31" s="36"/>
      <c r="J31" s="38"/>
      <c r="K31" s="36"/>
      <c r="L31" s="1"/>
      <c r="M31" s="1"/>
      <c r="N31" s="1"/>
      <c r="O31" s="1"/>
      <c r="P31" s="1"/>
      <c r="Q31" s="35"/>
      <c r="R31" s="58" t="s">
        <v>12</v>
      </c>
      <c r="S31" s="59">
        <f>COUNTIF(Tabela17468101214223032268161925273133362421012141618242628303840248101214162022262830323436242681012142461012242624426262826268102628623668101214161820[Status],Tabela2579111315233133379172026283234373531113151719252729313941359111315172123272931333537353791113153571113353734537373937379113739733779111315171921[[#This Row],[STATUS]])</f>
        <v>0</v>
      </c>
    </row>
    <row r="32" spans="1:20" s="8" customFormat="1" x14ac:dyDescent="0.25">
      <c r="A32" s="1"/>
      <c r="B32" s="51" t="e">
        <f>_xlfn.CONCAT("HPOD"," ",ROUND(C32/C31,2)*100,"%")</f>
        <v>#DIV/0!</v>
      </c>
      <c r="C32" s="46">
        <f>C31*12%</f>
        <v>0</v>
      </c>
      <c r="D32" s="13"/>
      <c r="F32" s="41"/>
      <c r="G32" s="41"/>
      <c r="H32" s="36"/>
      <c r="I32" s="36"/>
      <c r="J32" s="38"/>
      <c r="K32" s="36"/>
      <c r="L32" s="1"/>
      <c r="M32" s="1"/>
      <c r="N32" s="1"/>
      <c r="O32" s="1"/>
      <c r="P32" s="1"/>
      <c r="Q32" s="1"/>
      <c r="R32" s="6" t="s">
        <v>27</v>
      </c>
      <c r="S32" s="40">
        <f>SUBTOTAL(109,Tabela2579111315233133379172026283234373531113151719252729313941359111315172123272931333537353791113153571113353734537373937379113739733779111315171921[Coluna1])</f>
        <v>21</v>
      </c>
    </row>
    <row r="33" spans="1:20" s="8" customFormat="1" x14ac:dyDescent="0.25">
      <c r="A33" s="1"/>
      <c r="B33" s="3"/>
      <c r="C33" s="47"/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6"/>
    </row>
    <row r="34" spans="1:20" s="8" customFormat="1" x14ac:dyDescent="0.25">
      <c r="A34" s="1"/>
      <c r="B34" s="3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35"/>
      <c r="P34" s="1"/>
      <c r="Q34" s="1"/>
      <c r="R34" s="1"/>
      <c r="S34" s="1"/>
      <c r="T34" s="1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1"/>
    </row>
    <row r="36" spans="1:20" s="8" customFormat="1" x14ac:dyDescent="0.25">
      <c r="A36" s="26"/>
      <c r="B36" s="12"/>
      <c r="C36" s="12"/>
      <c r="D36" s="12"/>
      <c r="E36" s="27"/>
      <c r="F36" s="27"/>
      <c r="G36" s="27"/>
      <c r="H36" s="27"/>
      <c r="I36" s="27"/>
      <c r="J36" s="27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8"/>
      <c r="F37" s="28"/>
      <c r="G37" s="28"/>
      <c r="H37" s="28"/>
      <c r="I37" s="28"/>
      <c r="J37" s="28"/>
      <c r="K37" s="27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26"/>
      <c r="B38" s="12"/>
      <c r="C38" s="12"/>
      <c r="D38" s="12"/>
      <c r="E38" s="28"/>
      <c r="F38" s="28"/>
      <c r="G38" s="28"/>
      <c r="H38" s="28"/>
      <c r="I38" s="28"/>
      <c r="J38" s="28"/>
      <c r="K38" s="27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8" customFormat="1" x14ac:dyDescent="0.25">
      <c r="A39" s="26"/>
      <c r="B39" s="12"/>
      <c r="C39" s="12"/>
      <c r="D39" s="12"/>
      <c r="E39" s="28"/>
      <c r="F39" s="28"/>
      <c r="G39" s="28"/>
      <c r="H39" s="28"/>
      <c r="I39" s="28"/>
      <c r="J39" s="28"/>
      <c r="K39" s="27"/>
      <c r="L39" s="26"/>
      <c r="M39" s="26"/>
      <c r="N39" s="26"/>
      <c r="O39" s="26"/>
      <c r="P39" s="29"/>
      <c r="Q39" s="26"/>
      <c r="R39" s="26"/>
      <c r="S39" s="26"/>
      <c r="T39" s="26"/>
    </row>
    <row r="40" spans="1:20" s="8" customFormat="1" x14ac:dyDescent="0.25">
      <c r="A40" s="26"/>
      <c r="B40" s="12"/>
      <c r="C40" s="12"/>
      <c r="D40" s="12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6"/>
      <c r="Q40" s="26"/>
      <c r="R40" s="26"/>
      <c r="S40" s="26"/>
      <c r="T40" s="26"/>
    </row>
    <row r="41" spans="1:20" s="8" customFormat="1" x14ac:dyDescent="0.25">
      <c r="A41" s="26"/>
      <c r="B41" s="12"/>
      <c r="C41" s="12"/>
      <c r="D41" s="12"/>
      <c r="E41" s="28"/>
      <c r="F41" s="28"/>
      <c r="G41" s="28"/>
      <c r="H41" s="28"/>
      <c r="I41" s="28"/>
      <c r="J41" s="28"/>
      <c r="K41" s="29"/>
      <c r="L41" s="26"/>
      <c r="M41" s="26"/>
      <c r="N41" s="26"/>
      <c r="O41" s="26"/>
      <c r="P41" s="26"/>
      <c r="Q41" s="26"/>
      <c r="R41" s="26"/>
      <c r="S41" s="26"/>
      <c r="T41" s="26"/>
    </row>
    <row r="42" spans="1:20" s="8" customFormat="1" x14ac:dyDescent="0.25">
      <c r="A42" s="26"/>
      <c r="B42" s="12"/>
      <c r="C42" s="12"/>
      <c r="D42" s="12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 spans="1:20" s="8" customFormat="1" x14ac:dyDescent="0.25">
      <c r="A43" s="26"/>
      <c r="B43" s="12"/>
      <c r="C43" s="12"/>
      <c r="D43" s="12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9"/>
    </row>
    <row r="44" spans="1:20" s="8" customFormat="1" x14ac:dyDescent="0.25">
      <c r="A44" s="26"/>
      <c r="B44" s="12"/>
      <c r="C44" s="12"/>
      <c r="D44" s="12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 spans="1:20" s="8" customFormat="1" x14ac:dyDescent="0.25">
      <c r="A45" s="26"/>
      <c r="B45" s="12"/>
      <c r="C45" s="12"/>
      <c r="D45" s="12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 spans="1:20" s="8" customFormat="1" x14ac:dyDescent="0.25">
      <c r="A46" s="26"/>
      <c r="B46" s="12"/>
      <c r="C46" s="12"/>
      <c r="D46" s="12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0" s="8" customFormat="1" x14ac:dyDescent="0.25">
      <c r="A47" s="26"/>
      <c r="B47" s="12"/>
      <c r="C47" s="12"/>
      <c r="D47" s="12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 spans="1:20" s="8" customFormat="1" x14ac:dyDescent="0.25">
      <c r="A48" s="26"/>
      <c r="B48" s="12"/>
      <c r="C48" s="12"/>
      <c r="D48" s="12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spans="1:20" s="8" customFormat="1" x14ac:dyDescent="0.25">
      <c r="A49" s="1"/>
      <c r="B49" s="3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6"/>
    </row>
    <row r="50" spans="1:20" s="8" customFormat="1" x14ac:dyDescent="0.25">
      <c r="A50" s="1"/>
      <c r="B50" s="3"/>
      <c r="C50" s="3"/>
      <c r="D50" s="3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s="8" customFormat="1" x14ac:dyDescent="0.25">
      <c r="A51" s="1"/>
      <c r="B51" s="3"/>
      <c r="C51" s="3"/>
      <c r="D51" s="3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</row>
  </sheetData>
  <mergeCells count="1">
    <mergeCell ref="A2:T2"/>
  </mergeCells>
  <conditionalFormatting sqref="A1:A1048576">
    <cfRule type="duplicateValues" dxfId="50" priority="4"/>
    <cfRule type="duplicateValues" dxfId="49" priority="5"/>
  </conditionalFormatting>
  <conditionalFormatting sqref="B1:B1048576">
    <cfRule type="duplicateValues" dxfId="48" priority="6"/>
  </conditionalFormatting>
  <conditionalFormatting sqref="B29:C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{8E8E4C69-A024-419A-BD36-441C003B15C7}</x14:id>
        </ext>
      </extLst>
    </cfRule>
  </conditionalFormatting>
  <conditionalFormatting sqref="H29:J30 F29:G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{84D090C4-4E01-46C6-AB75-4B974346C161}</x14:id>
        </ext>
      </extLst>
    </cfRule>
  </conditionalFormatting>
  <conditionalFormatting sqref="R29:S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{FC82CD64-9C21-4CAD-AB81-3A86406E5805}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8E4C69-A024-419A-BD36-441C003B1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B29:C32</xm:sqref>
        </x14:conditionalFormatting>
        <x14:conditionalFormatting xmlns:xm="http://schemas.microsoft.com/office/excel/2006/main">
          <x14:cfRule type="dataBar" id="{84D090C4-4E01-46C6-AB75-4B974346C161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H29:J30 F29:G32</xm:sqref>
        </x14:conditionalFormatting>
        <x14:conditionalFormatting xmlns:xm="http://schemas.microsoft.com/office/excel/2006/main">
          <x14:cfRule type="dataBar" id="{FC82CD64-9C21-4CAD-AB81-3A86406E5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R29:S31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C4DB-5DFF-4516-B69B-E902F05477EB}">
  <sheetPr>
    <pageSetUpPr fitToPage="1"/>
  </sheetPr>
  <dimension ref="A1:BG67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9.42578125" style="3" bestFit="1" customWidth="1"/>
    <col min="3" max="3" width="11.7109375" style="3" customWidth="1"/>
    <col min="4" max="4" width="23.85546875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213049</v>
      </c>
      <c r="B4" s="30" t="s">
        <v>343</v>
      </c>
      <c r="C4" s="20" t="s">
        <v>647</v>
      </c>
      <c r="D4" s="20" t="s">
        <v>722</v>
      </c>
      <c r="E4" s="20" t="s">
        <v>2902</v>
      </c>
      <c r="F4" s="20" t="s">
        <v>2903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SUM(Tabela1746810121422303226816192527313336242101214161824262830384024810121416202226283032343624268101214246101224262442626282626810262862366810121416182022[[#This Row],[Saldo no cartão]:[Recarga Pendente]])</f>
        <v>0</v>
      </c>
      <c r="N4" s="19">
        <f>Tabela1746810121422303226816192527313336242101214161824262830384024810121416202226283032343624268101214246101224262442626282626810262862366810121416182022[[#This Row],[Uso diário]]*2</f>
        <v>37.6</v>
      </c>
      <c r="O4" s="19">
        <f>Tabela1746810121422303226816192527313336242101214161824262830384024810121416202226283032343624268101214246101224262442626282626810262862366810121416182022[[#This Row],[Total Acumulado]]-P4</f>
        <v>-94</v>
      </c>
      <c r="P4" s="48">
        <f>Tabela1746810121422303226816192527313336242101214161824262830384024810121416202226283032343624268101214246101224262442626282626810262862366810121416182022[[#This Row],[Uso diário]]*5</f>
        <v>94</v>
      </c>
      <c r="Q4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4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4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4" s="25">
        <v>9</v>
      </c>
    </row>
    <row r="5" spans="1:59" s="26" customFormat="1" x14ac:dyDescent="0.25">
      <c r="A5" s="16">
        <v>219636</v>
      </c>
      <c r="B5" s="30" t="s">
        <v>344</v>
      </c>
      <c r="C5" s="20" t="s">
        <v>647</v>
      </c>
      <c r="D5" s="20" t="s">
        <v>720</v>
      </c>
      <c r="E5" s="20" t="s">
        <v>2904</v>
      </c>
      <c r="F5" s="20" t="s">
        <v>2905</v>
      </c>
      <c r="G5" s="21">
        <v>18.8</v>
      </c>
      <c r="H5" s="16">
        <v>26</v>
      </c>
      <c r="I5" s="16">
        <v>1</v>
      </c>
      <c r="J5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470</v>
      </c>
      <c r="K5" s="22"/>
      <c r="L5" s="23"/>
      <c r="M5" s="23">
        <f>SUM(Tabela1746810121422303226816192527313336242101214161824262830384024810121416202226283032343624268101214246101224262442626282626810262862366810121416182022[[#This Row],[Saldo no cartão]:[Recarga Pendente]])</f>
        <v>0</v>
      </c>
      <c r="N5" s="19">
        <f>Tabela1746810121422303226816192527313336242101214161824262830384024810121416202226283032343624268101214246101224262442626282626810262862366810121416182022[[#This Row],[Uso diário]]*2</f>
        <v>37.6</v>
      </c>
      <c r="O5" s="19">
        <f>Tabela1746810121422303226816192527313336242101214161824262830384024810121416202226283032343624268101214246101224262442626282626810262862366810121416182022[[#This Row],[Total Acumulado]]-P5</f>
        <v>-94</v>
      </c>
      <c r="P5" s="48">
        <f>Tabela1746810121422303226816192527313336242101214161824262830384024810121416202226283032343624268101214246101224262442626282626810262862366810121416182022[[#This Row],[Uso diário]]*5</f>
        <v>94</v>
      </c>
      <c r="Q5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5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470</v>
      </c>
      <c r="S5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5" s="25">
        <v>9</v>
      </c>
    </row>
    <row r="6" spans="1:59" s="26" customFormat="1" x14ac:dyDescent="0.25">
      <c r="A6" s="16">
        <v>234547</v>
      </c>
      <c r="B6" s="30" t="s">
        <v>1318</v>
      </c>
      <c r="C6" s="20" t="s">
        <v>647</v>
      </c>
      <c r="D6" s="20" t="s">
        <v>721</v>
      </c>
      <c r="E6" s="20" t="s">
        <v>2906</v>
      </c>
      <c r="F6" s="20" t="s">
        <v>2907</v>
      </c>
      <c r="G6" s="21">
        <v>10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6" s="22"/>
      <c r="L6" s="23"/>
      <c r="M6" s="23">
        <f>SUM(Tabela1746810121422303226816192527313336242101214161824262830384024810121416202226283032343624268101214246101224262442626282626810262862366810121416182022[[#This Row],[Saldo no cartão]:[Recarga Pendente]])</f>
        <v>0</v>
      </c>
      <c r="N6" s="19">
        <f>Tabela1746810121422303226816192527313336242101214161824262830384024810121416202226283032343624268101214246101224262442626282626810262862366810121416182022[[#This Row],[Uso diário]]*2</f>
        <v>20</v>
      </c>
      <c r="O6" s="19">
        <f>Tabela1746810121422303226816192527313336242101214161824262830384024810121416202226283032343624268101214246101224262442626282626810262862366810121416182022[[#This Row],[Total Acumulado]]-P6</f>
        <v>-50</v>
      </c>
      <c r="P6" s="48">
        <f>Tabela1746810121422303226816192527313336242101214161824262830384024810121416202226283032343624268101214246101224262442626282626810262862366810121416182022[[#This Row],[Uso diário]]*5</f>
        <v>50</v>
      </c>
      <c r="Q6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6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6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6" s="25">
        <v>9</v>
      </c>
    </row>
    <row r="7" spans="1:59" s="26" customFormat="1" x14ac:dyDescent="0.25">
      <c r="A7" s="16">
        <v>220332</v>
      </c>
      <c r="B7" s="30" t="s">
        <v>346</v>
      </c>
      <c r="C7" s="20" t="s">
        <v>648</v>
      </c>
      <c r="D7" s="20" t="s">
        <v>718</v>
      </c>
      <c r="E7" s="20" t="s">
        <v>2908</v>
      </c>
      <c r="F7" s="20" t="s">
        <v>2909</v>
      </c>
      <c r="G7" s="21">
        <v>10</v>
      </c>
      <c r="H7" s="16">
        <v>26</v>
      </c>
      <c r="I7" s="16">
        <v>3</v>
      </c>
      <c r="J7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230</v>
      </c>
      <c r="K7" s="22"/>
      <c r="L7" s="23"/>
      <c r="M7" s="23">
        <f>SUM(Tabela1746810121422303226816192527313336242101214161824262830384024810121416202226283032343624268101214246101224262442626282626810262862366810121416182022[[#This Row],[Saldo no cartão]:[Recarga Pendente]])</f>
        <v>0</v>
      </c>
      <c r="N7" s="19">
        <f>Tabela1746810121422303226816192527313336242101214161824262830384024810121416202226283032343624268101214246101224262442626282626810262862366810121416182022[[#This Row],[Uso diário]]*2</f>
        <v>20</v>
      </c>
      <c r="O7" s="19">
        <f>Tabela1746810121422303226816192527313336242101214161824262830384024810121416202226283032343624268101214246101224262442626282626810262862366810121416182022[[#This Row],[Total Acumulado]]-P7</f>
        <v>-50</v>
      </c>
      <c r="P7" s="48">
        <f>Tabela1746810121422303226816192527313336242101214161824262830384024810121416202226283032343624268101214246101224262442626282626810262862366810121416182022[[#This Row],[Uso diário]]*5</f>
        <v>50</v>
      </c>
      <c r="Q7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7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230</v>
      </c>
      <c r="S7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7" s="25">
        <v>9</v>
      </c>
    </row>
    <row r="8" spans="1:59" s="26" customFormat="1" x14ac:dyDescent="0.25">
      <c r="A8" s="16">
        <v>232179</v>
      </c>
      <c r="B8" s="30" t="s">
        <v>886</v>
      </c>
      <c r="C8" s="20" t="s">
        <v>650</v>
      </c>
      <c r="D8" s="20" t="s">
        <v>726</v>
      </c>
      <c r="E8" s="20" t="s">
        <v>2910</v>
      </c>
      <c r="F8" s="20" t="s">
        <v>2911</v>
      </c>
      <c r="G8" s="21">
        <v>10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8" s="22"/>
      <c r="L8" s="23"/>
      <c r="M8" s="23">
        <f>SUM(Tabela1746810121422303226816192527313336242101214161824262830384024810121416202226283032343624268101214246101224262442626282626810262862366810121416182022[[#This Row],[Saldo no cartão]:[Recarga Pendente]])</f>
        <v>0</v>
      </c>
      <c r="N8" s="19">
        <f>Tabela1746810121422303226816192527313336242101214161824262830384024810121416202226283032343624268101214246101224262442626282626810262862366810121416182022[[#This Row],[Uso diário]]*2</f>
        <v>20</v>
      </c>
      <c r="O8" s="19">
        <f>Tabela1746810121422303226816192527313336242101214161824262830384024810121416202226283032343624268101214246101224262442626282626810262862366810121416182022[[#This Row],[Total Acumulado]]-P8</f>
        <v>-50</v>
      </c>
      <c r="P8" s="48">
        <f>Tabela1746810121422303226816192527313336242101214161824262830384024810121416202226283032343624268101214246101224262442626282626810262862366810121416182022[[#This Row],[Uso diário]]*5</f>
        <v>50</v>
      </c>
      <c r="Q8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8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8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8" s="25">
        <v>9</v>
      </c>
    </row>
    <row r="9" spans="1:59" s="26" customFormat="1" ht="22.5" x14ac:dyDescent="0.25">
      <c r="A9" s="16">
        <v>234523</v>
      </c>
      <c r="B9" s="30" t="s">
        <v>1319</v>
      </c>
      <c r="C9" s="20" t="s">
        <v>650</v>
      </c>
      <c r="D9" s="20" t="s">
        <v>726</v>
      </c>
      <c r="E9" s="20" t="s">
        <v>2912</v>
      </c>
      <c r="F9" s="20" t="s">
        <v>4180</v>
      </c>
      <c r="G9" s="21">
        <v>10</v>
      </c>
      <c r="H9" s="16">
        <v>0</v>
      </c>
      <c r="I9" s="16">
        <v>0</v>
      </c>
      <c r="J9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0</v>
      </c>
      <c r="K9" s="22"/>
      <c r="L9" s="23"/>
      <c r="M9" s="23">
        <f>SUM(Tabela1746810121422303226816192527313336242101214161824262830384024810121416202226283032343624268101214246101224262442626282626810262862366810121416182022[[#This Row],[Saldo no cartão]:[Recarga Pendente]])</f>
        <v>0</v>
      </c>
      <c r="N9" s="19">
        <f>Tabela1746810121422303226816192527313336242101214161824262830384024810121416202226283032343624268101214246101224262442626282626810262862366810121416182022[[#This Row],[Uso diário]]*2</f>
        <v>20</v>
      </c>
      <c r="O9" s="19">
        <f>Tabela1746810121422303226816192527313336242101214161824262830384024810121416202226283032343624268101214246101224262442626282626810262862366810121416182022[[#This Row],[Total Acumulado]]-P9</f>
        <v>-50</v>
      </c>
      <c r="P9" s="48">
        <f>Tabela1746810121422303226816192527313336242101214161824262830384024810121416202226283032343624268101214246101224262442626282626810262862366810121416182022[[#This Row],[Uso diário]]*5</f>
        <v>50</v>
      </c>
      <c r="Q9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9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0</v>
      </c>
      <c r="S9" s="18" t="str">
        <f>IF(Tabela1746810121422303226816192527313336242101214161824262830384024810121416202226283032343624268101214246101224262442626282626810262862366810121416182022[[#This Row],[Pedido Final]]=0,"NÃO EFETUAR RECARGA","RECARGA NORMAL")</f>
        <v>NÃO EFETUAR RECARGA</v>
      </c>
      <c r="T9" s="25">
        <v>9</v>
      </c>
    </row>
    <row r="10" spans="1:59" s="26" customFormat="1" x14ac:dyDescent="0.25">
      <c r="A10" s="16">
        <v>213181</v>
      </c>
      <c r="B10" s="30" t="s">
        <v>347</v>
      </c>
      <c r="C10" s="20" t="s">
        <v>651</v>
      </c>
      <c r="D10" s="20" t="s">
        <v>719</v>
      </c>
      <c r="E10" s="20" t="s">
        <v>2914</v>
      </c>
      <c r="F10" s="20" t="s">
        <v>2915</v>
      </c>
      <c r="G10" s="21">
        <v>18.8</v>
      </c>
      <c r="H10" s="16">
        <v>16</v>
      </c>
      <c r="I10" s="16"/>
      <c r="J10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300.8</v>
      </c>
      <c r="K10" s="22"/>
      <c r="L10" s="23"/>
      <c r="M10" s="23">
        <f>SUM(Tabela1746810121422303226816192527313336242101214161824262830384024810121416202226283032343624268101214246101224262442626282626810262862366810121416182022[[#This Row],[Saldo no cartão]:[Recarga Pendente]])</f>
        <v>0</v>
      </c>
      <c r="N10" s="19">
        <f>Tabela1746810121422303226816192527313336242101214161824262830384024810121416202226283032343624268101214246101224262442626282626810262862366810121416182022[[#This Row],[Uso diário]]*2</f>
        <v>37.6</v>
      </c>
      <c r="O10" s="19">
        <f>Tabela1746810121422303226816192527313336242101214161824262830384024810121416202226283032343624268101214246101224262442626282626810262862366810121416182022[[#This Row],[Total Acumulado]]-P10</f>
        <v>-94</v>
      </c>
      <c r="P10" s="48">
        <f>Tabela1746810121422303226816192527313336242101214161824262830384024810121416202226283032343624268101214246101224262442626282626810262862366810121416182022[[#This Row],[Uso diário]]*5</f>
        <v>94</v>
      </c>
      <c r="Q10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0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300.8</v>
      </c>
      <c r="S10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0" s="25">
        <v>9</v>
      </c>
    </row>
    <row r="11" spans="1:59" s="26" customFormat="1" x14ac:dyDescent="0.25">
      <c r="A11" s="16">
        <v>219711</v>
      </c>
      <c r="B11" s="30" t="s">
        <v>348</v>
      </c>
      <c r="C11" s="20" t="s">
        <v>651</v>
      </c>
      <c r="D11" s="20" t="s">
        <v>719</v>
      </c>
      <c r="E11" s="20" t="s">
        <v>2916</v>
      </c>
      <c r="F11" s="20" t="s">
        <v>2917</v>
      </c>
      <c r="G11" s="21">
        <v>10</v>
      </c>
      <c r="H11" s="16">
        <v>16</v>
      </c>
      <c r="I11" s="16"/>
      <c r="J11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160</v>
      </c>
      <c r="K11" s="22"/>
      <c r="L11" s="23"/>
      <c r="M11" s="23">
        <f>SUM(Tabela1746810121422303226816192527313336242101214161824262830384024810121416202226283032343624268101214246101224262442626282626810262862366810121416182022[[#This Row],[Saldo no cartão]:[Recarga Pendente]])</f>
        <v>0</v>
      </c>
      <c r="N11" s="19">
        <f>Tabela1746810121422303226816192527313336242101214161824262830384024810121416202226283032343624268101214246101224262442626282626810262862366810121416182022[[#This Row],[Uso diário]]*2</f>
        <v>20</v>
      </c>
      <c r="O11" s="19">
        <f>Tabela1746810121422303226816192527313336242101214161824262830384024810121416202226283032343624268101214246101224262442626282626810262862366810121416182022[[#This Row],[Total Acumulado]]-P11</f>
        <v>-50</v>
      </c>
      <c r="P11" s="48">
        <f>Tabela1746810121422303226816192527313336242101214161824262830384024810121416202226283032343624268101214246101224262442626282626810262862366810121416182022[[#This Row],[Uso diário]]*5</f>
        <v>50</v>
      </c>
      <c r="Q11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1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160</v>
      </c>
      <c r="S11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1" s="25">
        <v>9</v>
      </c>
    </row>
    <row r="12" spans="1:59" s="26" customFormat="1" x14ac:dyDescent="0.25">
      <c r="A12" s="16">
        <v>228393</v>
      </c>
      <c r="B12" s="30" t="s">
        <v>349</v>
      </c>
      <c r="C12" s="20" t="s">
        <v>651</v>
      </c>
      <c r="D12" s="20" t="s">
        <v>719</v>
      </c>
      <c r="E12" s="20" t="s">
        <v>2918</v>
      </c>
      <c r="F12" s="20" t="s">
        <v>2919</v>
      </c>
      <c r="G12" s="21">
        <v>10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12" s="22"/>
      <c r="L12" s="23"/>
      <c r="M12" s="23">
        <f>SUM(Tabela1746810121422303226816192527313336242101214161824262830384024810121416202226283032343624268101214246101224262442626282626810262862366810121416182022[[#This Row],[Saldo no cartão]:[Recarga Pendente]])</f>
        <v>0</v>
      </c>
      <c r="N12" s="19">
        <f>Tabela1746810121422303226816192527313336242101214161824262830384024810121416202226283032343624268101214246101224262442626282626810262862366810121416182022[[#This Row],[Uso diário]]*2</f>
        <v>20</v>
      </c>
      <c r="O12" s="19">
        <f>Tabela1746810121422303226816192527313336242101214161824262830384024810121416202226283032343624268101214246101224262442626282626810262862366810121416182022[[#This Row],[Total Acumulado]]-P12</f>
        <v>-50</v>
      </c>
      <c r="P12" s="48">
        <f>Tabela1746810121422303226816192527313336242101214161824262830384024810121416202226283032343624268101214246101224262442626282626810262862366810121416182022[[#This Row],[Uso diário]]*5</f>
        <v>50</v>
      </c>
      <c r="Q12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2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12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2" s="25">
        <v>9</v>
      </c>
    </row>
    <row r="13" spans="1:59" s="26" customFormat="1" x14ac:dyDescent="0.25">
      <c r="A13" s="16">
        <v>228706</v>
      </c>
      <c r="B13" s="30" t="s">
        <v>1465</v>
      </c>
      <c r="C13" s="20" t="s">
        <v>651</v>
      </c>
      <c r="D13" s="20" t="s">
        <v>719</v>
      </c>
      <c r="E13" s="20" t="s">
        <v>2920</v>
      </c>
      <c r="F13" s="20" t="s">
        <v>2921</v>
      </c>
      <c r="G13" s="21">
        <v>10</v>
      </c>
      <c r="H13" s="16">
        <v>16</v>
      </c>
      <c r="I13" s="16"/>
      <c r="J13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160</v>
      </c>
      <c r="K13" s="22"/>
      <c r="L13" s="23"/>
      <c r="M13" s="23">
        <f>SUM(Tabela1746810121422303226816192527313336242101214161824262830384024810121416202226283032343624268101214246101224262442626282626810262862366810121416182022[[#This Row],[Saldo no cartão]:[Recarga Pendente]])</f>
        <v>0</v>
      </c>
      <c r="N13" s="19">
        <f>Tabela1746810121422303226816192527313336242101214161824262830384024810121416202226283032343624268101214246101224262442626282626810262862366810121416182022[[#This Row],[Uso diário]]*2</f>
        <v>20</v>
      </c>
      <c r="O13" s="19">
        <f>Tabela1746810121422303226816192527313336242101214161824262830384024810121416202226283032343624268101214246101224262442626282626810262862366810121416182022[[#This Row],[Total Acumulado]]-P13</f>
        <v>-50</v>
      </c>
      <c r="P13" s="48">
        <f>Tabela1746810121422303226816192527313336242101214161824262830384024810121416202226283032343624268101214246101224262442626282626810262862366810121416182022[[#This Row],[Uso diário]]*5</f>
        <v>50</v>
      </c>
      <c r="Q13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3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160</v>
      </c>
      <c r="S13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3" s="25">
        <v>9</v>
      </c>
    </row>
    <row r="14" spans="1:59" s="26" customFormat="1" x14ac:dyDescent="0.25">
      <c r="A14" s="16">
        <v>229974</v>
      </c>
      <c r="B14" s="30" t="s">
        <v>350</v>
      </c>
      <c r="C14" s="20" t="s">
        <v>651</v>
      </c>
      <c r="D14" s="20" t="s">
        <v>717</v>
      </c>
      <c r="E14" s="20" t="s">
        <v>2922</v>
      </c>
      <c r="F14" s="20" t="s">
        <v>2923</v>
      </c>
      <c r="G14" s="21">
        <v>10</v>
      </c>
      <c r="H14" s="16">
        <v>16</v>
      </c>
      <c r="I14" s="16"/>
      <c r="J14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160</v>
      </c>
      <c r="K14" s="22"/>
      <c r="L14" s="23"/>
      <c r="M14" s="23">
        <f>SUM(Tabela1746810121422303226816192527313336242101214161824262830384024810121416202226283032343624268101214246101224262442626282626810262862366810121416182022[[#This Row],[Saldo no cartão]:[Recarga Pendente]])</f>
        <v>0</v>
      </c>
      <c r="N14" s="19">
        <f>Tabela1746810121422303226816192527313336242101214161824262830384024810121416202226283032343624268101214246101224262442626282626810262862366810121416182022[[#This Row],[Uso diário]]*2</f>
        <v>20</v>
      </c>
      <c r="O14" s="19">
        <f>Tabela1746810121422303226816192527313336242101214161824262830384024810121416202226283032343624268101214246101224262442626282626810262862366810121416182022[[#This Row],[Total Acumulado]]-P14</f>
        <v>-50</v>
      </c>
      <c r="P14" s="48">
        <f>Tabela1746810121422303226816192527313336242101214161824262830384024810121416202226283032343624268101214246101224262442626282626810262862366810121416182022[[#This Row],[Uso diário]]*5</f>
        <v>50</v>
      </c>
      <c r="Q14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4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160</v>
      </c>
      <c r="S14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4" s="25">
        <v>9</v>
      </c>
    </row>
    <row r="15" spans="1:59" s="26" customFormat="1" x14ac:dyDescent="0.25">
      <c r="A15" s="16">
        <v>231213</v>
      </c>
      <c r="B15" s="30" t="s">
        <v>770</v>
      </c>
      <c r="C15" s="20" t="s">
        <v>651</v>
      </c>
      <c r="D15" s="20" t="s">
        <v>719</v>
      </c>
      <c r="E15" s="20" t="s">
        <v>2924</v>
      </c>
      <c r="F15" s="20" t="s">
        <v>2925</v>
      </c>
      <c r="G15" s="21">
        <v>10</v>
      </c>
      <c r="H15" s="16">
        <v>16</v>
      </c>
      <c r="I15" s="16"/>
      <c r="J15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160</v>
      </c>
      <c r="K15" s="22"/>
      <c r="L15" s="23"/>
      <c r="M15" s="23">
        <f>SUM(Tabela1746810121422303226816192527313336242101214161824262830384024810121416202226283032343624268101214246101224262442626282626810262862366810121416182022[[#This Row],[Saldo no cartão]:[Recarga Pendente]])</f>
        <v>0</v>
      </c>
      <c r="N15" s="19">
        <f>Tabela1746810121422303226816192527313336242101214161824262830384024810121416202226283032343624268101214246101224262442626282626810262862366810121416182022[[#This Row],[Uso diário]]*2</f>
        <v>20</v>
      </c>
      <c r="O15" s="19">
        <f>Tabela1746810121422303226816192527313336242101214161824262830384024810121416202226283032343624268101214246101224262442626282626810262862366810121416182022[[#This Row],[Total Acumulado]]-P15</f>
        <v>-50</v>
      </c>
      <c r="P15" s="48">
        <f>Tabela1746810121422303226816192527313336242101214161824262830384024810121416202226283032343624268101214246101224262442626282626810262862366810121416182022[[#This Row],[Uso diário]]*5</f>
        <v>50</v>
      </c>
      <c r="Q15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5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160</v>
      </c>
      <c r="S15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5" s="25">
        <v>9</v>
      </c>
    </row>
    <row r="16" spans="1:59" s="26" customFormat="1" x14ac:dyDescent="0.25">
      <c r="A16" s="16">
        <v>234231</v>
      </c>
      <c r="B16" s="30" t="s">
        <v>1201</v>
      </c>
      <c r="C16" s="20" t="s">
        <v>651</v>
      </c>
      <c r="D16" s="20" t="s">
        <v>716</v>
      </c>
      <c r="E16" s="20" t="s">
        <v>2926</v>
      </c>
      <c r="F16" s="20" t="s">
        <v>2927</v>
      </c>
      <c r="G16" s="21">
        <v>10</v>
      </c>
      <c r="H16" s="16">
        <v>16</v>
      </c>
      <c r="I16" s="16"/>
      <c r="J16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160</v>
      </c>
      <c r="K16" s="22"/>
      <c r="L16" s="23"/>
      <c r="M16" s="23">
        <f>SUM(Tabela1746810121422303226816192527313336242101214161824262830384024810121416202226283032343624268101214246101224262442626282626810262862366810121416182022[[#This Row],[Saldo no cartão]:[Recarga Pendente]])</f>
        <v>0</v>
      </c>
      <c r="N16" s="19">
        <f>Tabela1746810121422303226816192527313336242101214161824262830384024810121416202226283032343624268101214246101224262442626282626810262862366810121416182022[[#This Row],[Uso diário]]*2</f>
        <v>20</v>
      </c>
      <c r="O16" s="19">
        <f>Tabela1746810121422303226816192527313336242101214161824262830384024810121416202226283032343624268101214246101224262442626282626810262862366810121416182022[[#This Row],[Total Acumulado]]-P16</f>
        <v>-50</v>
      </c>
      <c r="P16" s="48">
        <f>Tabela1746810121422303226816192527313336242101214161824262830384024810121416202226283032343624268101214246101224262442626282626810262862366810121416182022[[#This Row],[Uso diário]]*5</f>
        <v>50</v>
      </c>
      <c r="Q16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6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160</v>
      </c>
      <c r="S16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6" s="25">
        <v>9</v>
      </c>
    </row>
    <row r="17" spans="1:20" s="26" customFormat="1" x14ac:dyDescent="0.25">
      <c r="A17" s="16">
        <v>234521</v>
      </c>
      <c r="B17" s="30" t="s">
        <v>1320</v>
      </c>
      <c r="C17" s="20" t="s">
        <v>651</v>
      </c>
      <c r="D17" s="20" t="s">
        <v>716</v>
      </c>
      <c r="E17" s="20" t="s">
        <v>2928</v>
      </c>
      <c r="F17" s="20" t="s">
        <v>2929</v>
      </c>
      <c r="G17" s="21">
        <v>10</v>
      </c>
      <c r="H17" s="16">
        <v>16</v>
      </c>
      <c r="I17" s="16">
        <v>1</v>
      </c>
      <c r="J17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150</v>
      </c>
      <c r="K17" s="22"/>
      <c r="L17" s="23"/>
      <c r="M17" s="23">
        <f>SUM(Tabela1746810121422303226816192527313336242101214161824262830384024810121416202226283032343624268101214246101224262442626282626810262862366810121416182022[[#This Row],[Saldo no cartão]:[Recarga Pendente]])</f>
        <v>0</v>
      </c>
      <c r="N17" s="19">
        <f>Tabela1746810121422303226816192527313336242101214161824262830384024810121416202226283032343624268101214246101224262442626282626810262862366810121416182022[[#This Row],[Uso diário]]*2</f>
        <v>20</v>
      </c>
      <c r="O17" s="19">
        <f>Tabela1746810121422303226816192527313336242101214161824262830384024810121416202226283032343624268101214246101224262442626282626810262862366810121416182022[[#This Row],[Total Acumulado]]-P17</f>
        <v>-50</v>
      </c>
      <c r="P17" s="48">
        <f>Tabela1746810121422303226816192527313336242101214161824262830384024810121416202226283032343624268101214246101224262442626282626810262862366810121416182022[[#This Row],[Uso diário]]*5</f>
        <v>50</v>
      </c>
      <c r="Q17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7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150</v>
      </c>
      <c r="S17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7" s="25">
        <v>9</v>
      </c>
    </row>
    <row r="18" spans="1:20" s="26" customFormat="1" x14ac:dyDescent="0.25">
      <c r="A18" s="16">
        <v>234809</v>
      </c>
      <c r="B18" s="30" t="s">
        <v>1368</v>
      </c>
      <c r="C18" s="20" t="s">
        <v>651</v>
      </c>
      <c r="D18" s="20" t="s">
        <v>719</v>
      </c>
      <c r="E18" s="20" t="s">
        <v>2930</v>
      </c>
      <c r="F18" s="20" t="s">
        <v>2931</v>
      </c>
      <c r="G18" s="21">
        <v>10</v>
      </c>
      <c r="H18" s="16">
        <v>16</v>
      </c>
      <c r="I18" s="16"/>
      <c r="J18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160</v>
      </c>
      <c r="K18" s="22"/>
      <c r="L18" s="23"/>
      <c r="M18" s="23">
        <f>SUM(Tabela1746810121422303226816192527313336242101214161824262830384024810121416202226283032343624268101214246101224262442626282626810262862366810121416182022[[#This Row],[Saldo no cartão]:[Recarga Pendente]])</f>
        <v>0</v>
      </c>
      <c r="N18" s="19">
        <f>Tabela1746810121422303226816192527313336242101214161824262830384024810121416202226283032343624268101214246101224262442626282626810262862366810121416182022[[#This Row],[Uso diário]]*2</f>
        <v>20</v>
      </c>
      <c r="O18" s="19">
        <f>Tabela1746810121422303226816192527313336242101214161824262830384024810121416202226283032343624268101214246101224262442626282626810262862366810121416182022[[#This Row],[Total Acumulado]]-P18</f>
        <v>-50</v>
      </c>
      <c r="P18" s="48">
        <f>Tabela1746810121422303226816192527313336242101214161824262830384024810121416202226283032343624268101214246101224262442626282626810262862366810121416182022[[#This Row],[Uso diário]]*5</f>
        <v>50</v>
      </c>
      <c r="Q18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8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160</v>
      </c>
      <c r="S18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8" s="25">
        <v>9</v>
      </c>
    </row>
    <row r="19" spans="1:20" s="26" customFormat="1" x14ac:dyDescent="0.25">
      <c r="A19" s="16">
        <v>212619</v>
      </c>
      <c r="B19" s="30" t="s">
        <v>478</v>
      </c>
      <c r="C19" s="20" t="s">
        <v>652</v>
      </c>
      <c r="D19" s="20" t="s">
        <v>728</v>
      </c>
      <c r="E19" s="20" t="s">
        <v>2934</v>
      </c>
      <c r="F19" s="20" t="s">
        <v>2935</v>
      </c>
      <c r="G19" s="21">
        <v>18.8</v>
      </c>
      <c r="H19" s="16">
        <v>26</v>
      </c>
      <c r="I19" s="16"/>
      <c r="J19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19" s="22"/>
      <c r="L19" s="23"/>
      <c r="M19" s="23">
        <f>SUM(Tabela1746810121422303226816192527313336242101214161824262830384024810121416202226283032343624268101214246101224262442626282626810262862366810121416182022[[#This Row],[Saldo no cartão]:[Recarga Pendente]])</f>
        <v>0</v>
      </c>
      <c r="N19" s="19">
        <f>Tabela1746810121422303226816192527313336242101214161824262830384024810121416202226283032343624268101214246101224262442626282626810262862366810121416182022[[#This Row],[Uso diário]]*2</f>
        <v>37.6</v>
      </c>
      <c r="O19" s="19">
        <f>Tabela1746810121422303226816192527313336242101214161824262830384024810121416202226283032343624268101214246101224262442626282626810262862366810121416182022[[#This Row],[Total Acumulado]]-P19</f>
        <v>-94</v>
      </c>
      <c r="P19" s="48">
        <f>Tabela1746810121422303226816192527313336242101214161824262830384024810121416202226283032343624268101214246101224262442626282626810262862366810121416182022[[#This Row],[Uso diário]]*5</f>
        <v>94</v>
      </c>
      <c r="Q19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19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19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19" s="25">
        <v>9</v>
      </c>
    </row>
    <row r="20" spans="1:20" s="26" customFormat="1" x14ac:dyDescent="0.25">
      <c r="A20" s="16">
        <v>234784</v>
      </c>
      <c r="B20" s="30" t="s">
        <v>1369</v>
      </c>
      <c r="C20" s="20" t="s">
        <v>636</v>
      </c>
      <c r="D20" s="20" t="s">
        <v>729</v>
      </c>
      <c r="E20" s="20" t="s">
        <v>2936</v>
      </c>
      <c r="F20" s="20" t="s">
        <v>2937</v>
      </c>
      <c r="G20" s="21">
        <v>18.8</v>
      </c>
      <c r="H20" s="16">
        <v>22</v>
      </c>
      <c r="I20" s="16"/>
      <c r="J20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413.6</v>
      </c>
      <c r="K20" s="22"/>
      <c r="L20" s="23">
        <v>357.2</v>
      </c>
      <c r="M20" s="23">
        <f>SUM(Tabela1746810121422303226816192527313336242101214161824262830384024810121416202226283032343624268101214246101224262442626282626810262862366810121416182022[[#This Row],[Saldo no cartão]:[Recarga Pendente]])</f>
        <v>357.2</v>
      </c>
      <c r="N20" s="19">
        <f>Tabela1746810121422303226816192527313336242101214161824262830384024810121416202226283032343624268101214246101224262442626282626810262862366810121416182022[[#This Row],[Uso diário]]*2</f>
        <v>37.6</v>
      </c>
      <c r="O20" s="19">
        <f>Tabela1746810121422303226816192527313336242101214161824262830384024810121416202226283032343624268101214246101224262442626282626810262862366810121416182022[[#This Row],[Total Acumulado]]-P20</f>
        <v>263.2</v>
      </c>
      <c r="P20" s="48">
        <f>Tabela1746810121422303226816192527313336242101214161824262830384024810121416202226283032343624268101214246101224262442626282626810262862366810121416182022[[#This Row],[Uso diário]]*5</f>
        <v>94</v>
      </c>
      <c r="Q20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263.2</v>
      </c>
      <c r="R20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150.40000000000003</v>
      </c>
      <c r="S20" s="18" t="s">
        <v>11</v>
      </c>
      <c r="T20" s="25">
        <v>9</v>
      </c>
    </row>
    <row r="21" spans="1:20" s="26" customFormat="1" x14ac:dyDescent="0.25">
      <c r="A21" s="16">
        <v>6547</v>
      </c>
      <c r="B21" s="30" t="s">
        <v>352</v>
      </c>
      <c r="C21" s="20" t="s">
        <v>653</v>
      </c>
      <c r="D21" s="20" t="s">
        <v>891</v>
      </c>
      <c r="E21" s="20" t="s">
        <v>2938</v>
      </c>
      <c r="F21" s="20" t="s">
        <v>2939</v>
      </c>
      <c r="G21" s="21">
        <v>18.8</v>
      </c>
      <c r="H21" s="16">
        <v>26</v>
      </c>
      <c r="I21" s="16"/>
      <c r="J21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21" s="22"/>
      <c r="L21" s="23">
        <v>141.80000000000001</v>
      </c>
      <c r="M21" s="23">
        <f>SUM(Tabela1746810121422303226816192527313336242101214161824262830384024810121416202226283032343624268101214246101224262442626282626810262862366810121416182022[[#This Row],[Saldo no cartão]:[Recarga Pendente]])</f>
        <v>141.80000000000001</v>
      </c>
      <c r="N21" s="19">
        <f>Tabela1746810121422303226816192527313336242101214161824262830384024810121416202226283032343624268101214246101224262442626282626810262862366810121416182022[[#This Row],[Uso diário]]*2</f>
        <v>37.6</v>
      </c>
      <c r="O21" s="19">
        <f>Tabela1746810121422303226816192527313336242101214161824262830384024810121416202226283032343624268101214246101224262442626282626810262862366810121416182022[[#This Row],[Total Acumulado]]-P21</f>
        <v>47.800000000000011</v>
      </c>
      <c r="P21" s="48">
        <f>Tabela1746810121422303226816192527313336242101214161824262830384024810121416202226283032343624268101214246101224262442626282626810262862366810121416182022[[#This Row],[Uso diário]]*5</f>
        <v>94</v>
      </c>
      <c r="Q21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47.800000000000011</v>
      </c>
      <c r="R21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441</v>
      </c>
      <c r="S21" s="18" t="s">
        <v>11</v>
      </c>
      <c r="T21" s="25">
        <v>9</v>
      </c>
    </row>
    <row r="22" spans="1:20" s="26" customFormat="1" x14ac:dyDescent="0.25">
      <c r="A22" s="16">
        <v>215967</v>
      </c>
      <c r="B22" s="30" t="s">
        <v>353</v>
      </c>
      <c r="C22" s="20" t="s">
        <v>653</v>
      </c>
      <c r="D22" s="20" t="s">
        <v>714</v>
      </c>
      <c r="E22" s="20" t="s">
        <v>2940</v>
      </c>
      <c r="F22" s="20" t="s">
        <v>2941</v>
      </c>
      <c r="G22" s="21">
        <v>18.8</v>
      </c>
      <c r="H22" s="16">
        <v>26</v>
      </c>
      <c r="I22" s="16"/>
      <c r="J22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22" s="22"/>
      <c r="L22" s="23"/>
      <c r="M22" s="23">
        <f>SUM(Tabela1746810121422303226816192527313336242101214161824262830384024810121416202226283032343624268101214246101224262442626282626810262862366810121416182022[[#This Row],[Saldo no cartão]:[Recarga Pendente]])</f>
        <v>0</v>
      </c>
      <c r="N22" s="19">
        <f>Tabela1746810121422303226816192527313336242101214161824262830384024810121416202226283032343624268101214246101224262442626282626810262862366810121416182022[[#This Row],[Uso diário]]*2</f>
        <v>37.6</v>
      </c>
      <c r="O22" s="19">
        <f>Tabela1746810121422303226816192527313336242101214161824262830384024810121416202226283032343624268101214246101224262442626282626810262862366810121416182022[[#This Row],[Total Acumulado]]-P22</f>
        <v>-94</v>
      </c>
      <c r="P22" s="48">
        <f>Tabela1746810121422303226816192527313336242101214161824262830384024810121416202226283032343624268101214246101224262442626282626810262862366810121416182022[[#This Row],[Uso diário]]*5</f>
        <v>94</v>
      </c>
      <c r="Q22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2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22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2" s="25">
        <v>9</v>
      </c>
    </row>
    <row r="23" spans="1:20" s="26" customFormat="1" x14ac:dyDescent="0.25">
      <c r="A23" s="16">
        <v>220115</v>
      </c>
      <c r="B23" s="30" t="s">
        <v>354</v>
      </c>
      <c r="C23" s="20" t="s">
        <v>653</v>
      </c>
      <c r="D23" s="20" t="s">
        <v>891</v>
      </c>
      <c r="E23" s="20" t="s">
        <v>2942</v>
      </c>
      <c r="F23" s="20" t="s">
        <v>2943</v>
      </c>
      <c r="G23" s="21">
        <v>18.8</v>
      </c>
      <c r="H23" s="16">
        <v>26</v>
      </c>
      <c r="I23" s="16"/>
      <c r="J23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23" s="22"/>
      <c r="L23" s="23"/>
      <c r="M23" s="23">
        <f>SUM(Tabela1746810121422303226816192527313336242101214161824262830384024810121416202226283032343624268101214246101224262442626282626810262862366810121416182022[[#This Row],[Saldo no cartão]:[Recarga Pendente]])</f>
        <v>0</v>
      </c>
      <c r="N23" s="19">
        <f>Tabela1746810121422303226816192527313336242101214161824262830384024810121416202226283032343624268101214246101224262442626282626810262862366810121416182022[[#This Row],[Uso diário]]*2</f>
        <v>37.6</v>
      </c>
      <c r="O23" s="19">
        <f>Tabela1746810121422303226816192527313336242101214161824262830384024810121416202226283032343624268101214246101224262442626282626810262862366810121416182022[[#This Row],[Total Acumulado]]-P23</f>
        <v>-94</v>
      </c>
      <c r="P23" s="48">
        <f>Tabela1746810121422303226816192527313336242101214161824262830384024810121416202226283032343624268101214246101224262442626282626810262862366810121416182022[[#This Row],[Uso diário]]*5</f>
        <v>94</v>
      </c>
      <c r="Q23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3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23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3" s="25">
        <v>9</v>
      </c>
    </row>
    <row r="24" spans="1:20" s="26" customFormat="1" x14ac:dyDescent="0.25">
      <c r="A24" s="16">
        <v>224204</v>
      </c>
      <c r="B24" s="30" t="s">
        <v>1290</v>
      </c>
      <c r="C24" s="20" t="s">
        <v>653</v>
      </c>
      <c r="D24" s="20" t="s">
        <v>714</v>
      </c>
      <c r="E24" s="20" t="s">
        <v>2944</v>
      </c>
      <c r="F24" s="20" t="s">
        <v>2945</v>
      </c>
      <c r="G24" s="21">
        <v>18.8</v>
      </c>
      <c r="H24" s="16">
        <v>26</v>
      </c>
      <c r="I24" s="16">
        <v>6</v>
      </c>
      <c r="J24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376</v>
      </c>
      <c r="K24" s="22"/>
      <c r="L24" s="23"/>
      <c r="M24" s="23">
        <f>SUM(Tabela1746810121422303226816192527313336242101214161824262830384024810121416202226283032343624268101214246101224262442626282626810262862366810121416182022[[#This Row],[Saldo no cartão]:[Recarga Pendente]])</f>
        <v>0</v>
      </c>
      <c r="N24" s="19">
        <f>Tabela1746810121422303226816192527313336242101214161824262830384024810121416202226283032343624268101214246101224262442626282626810262862366810121416182022[[#This Row],[Uso diário]]*2</f>
        <v>37.6</v>
      </c>
      <c r="O24" s="19">
        <f>Tabela1746810121422303226816192527313336242101214161824262830384024810121416202226283032343624268101214246101224262442626282626810262862366810121416182022[[#This Row],[Total Acumulado]]-P24</f>
        <v>-94</v>
      </c>
      <c r="P24" s="48">
        <f>Tabela1746810121422303226816192527313336242101214161824262830384024810121416202226283032343624268101214246101224262442626282626810262862366810121416182022[[#This Row],[Uso diário]]*5</f>
        <v>94</v>
      </c>
      <c r="Q24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4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376</v>
      </c>
      <c r="S24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4" s="25">
        <v>9</v>
      </c>
    </row>
    <row r="25" spans="1:20" s="26" customFormat="1" x14ac:dyDescent="0.25">
      <c r="A25" s="16">
        <v>226533</v>
      </c>
      <c r="B25" s="30" t="s">
        <v>1203</v>
      </c>
      <c r="C25" s="20" t="s">
        <v>653</v>
      </c>
      <c r="D25" s="20" t="s">
        <v>891</v>
      </c>
      <c r="E25" s="20" t="s">
        <v>2946</v>
      </c>
      <c r="F25" s="20" t="s">
        <v>2947</v>
      </c>
      <c r="G25" s="21">
        <v>18.8</v>
      </c>
      <c r="H25" s="16">
        <v>26</v>
      </c>
      <c r="I25" s="16"/>
      <c r="J25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25" s="22"/>
      <c r="L25" s="23"/>
      <c r="M25" s="23">
        <f>SUM(Tabela1746810121422303226816192527313336242101214161824262830384024810121416202226283032343624268101214246101224262442626282626810262862366810121416182022[[#This Row],[Saldo no cartão]:[Recarga Pendente]])</f>
        <v>0</v>
      </c>
      <c r="N25" s="19">
        <f>Tabela1746810121422303226816192527313336242101214161824262830384024810121416202226283032343624268101214246101224262442626282626810262862366810121416182022[[#This Row],[Uso diário]]*2</f>
        <v>37.6</v>
      </c>
      <c r="O25" s="19">
        <f>Tabela1746810121422303226816192527313336242101214161824262830384024810121416202226283032343624268101214246101224262442626282626810262862366810121416182022[[#This Row],[Total Acumulado]]-P25</f>
        <v>-94</v>
      </c>
      <c r="P25" s="48">
        <f>Tabela1746810121422303226816192527313336242101214161824262830384024810121416202226283032343624268101214246101224262442626282626810262862366810121416182022[[#This Row],[Uso diário]]*5</f>
        <v>94</v>
      </c>
      <c r="Q25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5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25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5" s="25">
        <v>9</v>
      </c>
    </row>
    <row r="26" spans="1:20" s="26" customFormat="1" x14ac:dyDescent="0.25">
      <c r="A26" s="16">
        <v>231661</v>
      </c>
      <c r="B26" s="30" t="s">
        <v>1321</v>
      </c>
      <c r="C26" s="20" t="s">
        <v>653</v>
      </c>
      <c r="D26" s="20" t="s">
        <v>714</v>
      </c>
      <c r="E26" s="20" t="s">
        <v>2948</v>
      </c>
      <c r="F26" s="20" t="s">
        <v>2949</v>
      </c>
      <c r="G26" s="21">
        <v>18.8</v>
      </c>
      <c r="H26" s="16">
        <v>26</v>
      </c>
      <c r="I26" s="16"/>
      <c r="J26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26" s="22"/>
      <c r="L26" s="23"/>
      <c r="M26" s="23">
        <f>SUM(Tabela1746810121422303226816192527313336242101214161824262830384024810121416202226283032343624268101214246101224262442626282626810262862366810121416182022[[#This Row],[Saldo no cartão]:[Recarga Pendente]])</f>
        <v>0</v>
      </c>
      <c r="N26" s="19">
        <f>Tabela1746810121422303226816192527313336242101214161824262830384024810121416202226283032343624268101214246101224262442626282626810262862366810121416182022[[#This Row],[Uso diário]]*2</f>
        <v>37.6</v>
      </c>
      <c r="O26" s="19">
        <f>Tabela1746810121422303226816192527313336242101214161824262830384024810121416202226283032343624268101214246101224262442626282626810262862366810121416182022[[#This Row],[Total Acumulado]]-P26</f>
        <v>-94</v>
      </c>
      <c r="P26" s="48">
        <f>Tabela1746810121422303226816192527313336242101214161824262830384024810121416202226283032343624268101214246101224262442626282626810262862366810121416182022[[#This Row],[Uso diário]]*5</f>
        <v>94</v>
      </c>
      <c r="Q26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6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26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6" s="25">
        <v>9</v>
      </c>
    </row>
    <row r="27" spans="1:20" s="26" customFormat="1" x14ac:dyDescent="0.25">
      <c r="A27" s="16">
        <v>232980</v>
      </c>
      <c r="B27" s="30" t="s">
        <v>993</v>
      </c>
      <c r="C27" s="20" t="s">
        <v>653</v>
      </c>
      <c r="D27" s="20" t="s">
        <v>714</v>
      </c>
      <c r="E27" s="20" t="s">
        <v>2950</v>
      </c>
      <c r="F27" s="20" t="s">
        <v>2951</v>
      </c>
      <c r="G27" s="21">
        <v>10</v>
      </c>
      <c r="H27" s="16">
        <v>26</v>
      </c>
      <c r="I27" s="16"/>
      <c r="J27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27" s="22"/>
      <c r="L27" s="23"/>
      <c r="M27" s="23">
        <f>SUM(Tabela1746810121422303226816192527313336242101214161824262830384024810121416202226283032343624268101214246101224262442626282626810262862366810121416182022[[#This Row],[Saldo no cartão]:[Recarga Pendente]])</f>
        <v>0</v>
      </c>
      <c r="N27" s="19">
        <f>Tabela1746810121422303226816192527313336242101214161824262830384024810121416202226283032343624268101214246101224262442626282626810262862366810121416182022[[#This Row],[Uso diário]]*2</f>
        <v>20</v>
      </c>
      <c r="O27" s="19">
        <f>Tabela1746810121422303226816192527313336242101214161824262830384024810121416202226283032343624268101214246101224262442626282626810262862366810121416182022[[#This Row],[Total Acumulado]]-P27</f>
        <v>-50</v>
      </c>
      <c r="P27" s="48">
        <f>Tabela1746810121422303226816192527313336242101214161824262830384024810121416202226283032343624268101214246101224262442626282626810262862366810121416182022[[#This Row],[Uso diário]]*5</f>
        <v>50</v>
      </c>
      <c r="Q27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7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27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7" s="25">
        <v>9</v>
      </c>
    </row>
    <row r="28" spans="1:20" s="26" customFormat="1" x14ac:dyDescent="0.25">
      <c r="A28" s="16">
        <v>234345</v>
      </c>
      <c r="B28" s="30" t="s">
        <v>1291</v>
      </c>
      <c r="C28" s="20" t="s">
        <v>653</v>
      </c>
      <c r="D28" s="20" t="s">
        <v>714</v>
      </c>
      <c r="E28" s="20" t="s">
        <v>2952</v>
      </c>
      <c r="F28" s="20" t="s">
        <v>2953</v>
      </c>
      <c r="G28" s="21">
        <v>10</v>
      </c>
      <c r="H28" s="16">
        <v>26</v>
      </c>
      <c r="I28" s="16"/>
      <c r="J28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28" s="22"/>
      <c r="L28" s="23"/>
      <c r="M28" s="23">
        <f>SUM(Tabela1746810121422303226816192527313336242101214161824262830384024810121416202226283032343624268101214246101224262442626282626810262862366810121416182022[[#This Row],[Saldo no cartão]:[Recarga Pendente]])</f>
        <v>0</v>
      </c>
      <c r="N28" s="19">
        <f>Tabela1746810121422303226816192527313336242101214161824262830384024810121416202226283032343624268101214246101224262442626282626810262862366810121416182022[[#This Row],[Uso diário]]*2</f>
        <v>20</v>
      </c>
      <c r="O28" s="19">
        <f>Tabela1746810121422303226816192527313336242101214161824262830384024810121416202226283032343624268101214246101224262442626282626810262862366810121416182022[[#This Row],[Total Acumulado]]-P28</f>
        <v>-50</v>
      </c>
      <c r="P28" s="48">
        <f>Tabela1746810121422303226816192527313336242101214161824262830384024810121416202226283032343624268101214246101224262442626282626810262862366810121416182022[[#This Row],[Uso diário]]*5</f>
        <v>50</v>
      </c>
      <c r="Q28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8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28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8" s="25">
        <v>9</v>
      </c>
    </row>
    <row r="29" spans="1:20" s="26" customFormat="1" x14ac:dyDescent="0.25">
      <c r="A29" s="16">
        <v>216299</v>
      </c>
      <c r="B29" s="30" t="s">
        <v>1079</v>
      </c>
      <c r="C29" s="20" t="s">
        <v>654</v>
      </c>
      <c r="D29" s="20" t="s">
        <v>715</v>
      </c>
      <c r="E29" s="20" t="s">
        <v>2954</v>
      </c>
      <c r="F29" s="20" t="s">
        <v>2955</v>
      </c>
      <c r="G29" s="21">
        <v>10</v>
      </c>
      <c r="H29" s="16">
        <v>26</v>
      </c>
      <c r="I29" s="16"/>
      <c r="J29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29" s="22"/>
      <c r="L29" s="23"/>
      <c r="M29" s="23">
        <f>SUM(Tabela1746810121422303226816192527313336242101214161824262830384024810121416202226283032343624268101214246101224262442626282626810262862366810121416182022[[#This Row],[Saldo no cartão]:[Recarga Pendente]])</f>
        <v>0</v>
      </c>
      <c r="N29" s="19">
        <f>Tabela1746810121422303226816192527313336242101214161824262830384024810121416202226283032343624268101214246101224262442626282626810262862366810121416182022[[#This Row],[Uso diário]]*2</f>
        <v>20</v>
      </c>
      <c r="O29" s="19">
        <f>Tabela1746810121422303226816192527313336242101214161824262830384024810121416202226283032343624268101214246101224262442626282626810262862366810121416182022[[#This Row],[Total Acumulado]]-P29</f>
        <v>-50</v>
      </c>
      <c r="P29" s="48">
        <f>Tabela1746810121422303226816192527313336242101214161824262830384024810121416202226283032343624268101214246101224262442626282626810262862366810121416182022[[#This Row],[Uso diário]]*5</f>
        <v>50</v>
      </c>
      <c r="Q29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29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29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29" s="25">
        <v>9</v>
      </c>
    </row>
    <row r="30" spans="1:20" s="26" customFormat="1" x14ac:dyDescent="0.25">
      <c r="A30" s="16">
        <v>222480</v>
      </c>
      <c r="B30" s="30" t="s">
        <v>1322</v>
      </c>
      <c r="C30" s="20" t="s">
        <v>654</v>
      </c>
      <c r="D30" s="20" t="s">
        <v>745</v>
      </c>
      <c r="E30" s="20" t="s">
        <v>2956</v>
      </c>
      <c r="F30" s="20" t="s">
        <v>2957</v>
      </c>
      <c r="G30" s="21">
        <v>18.8</v>
      </c>
      <c r="H30" s="16">
        <v>26</v>
      </c>
      <c r="I30" s="16">
        <v>1</v>
      </c>
      <c r="J30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470</v>
      </c>
      <c r="K30" s="22"/>
      <c r="L30" s="23"/>
      <c r="M30" s="23">
        <f>SUM(Tabela1746810121422303226816192527313336242101214161824262830384024810121416202226283032343624268101214246101224262442626282626810262862366810121416182022[[#This Row],[Saldo no cartão]:[Recarga Pendente]])</f>
        <v>0</v>
      </c>
      <c r="N30" s="19">
        <f>Tabela1746810121422303226816192527313336242101214161824262830384024810121416202226283032343624268101214246101224262442626282626810262862366810121416182022[[#This Row],[Uso diário]]*2</f>
        <v>37.6</v>
      </c>
      <c r="O30" s="19">
        <f>Tabela1746810121422303226816192527313336242101214161824262830384024810121416202226283032343624268101214246101224262442626282626810262862366810121416182022[[#This Row],[Total Acumulado]]-P30</f>
        <v>-94</v>
      </c>
      <c r="P30" s="48">
        <f>Tabela1746810121422303226816192527313336242101214161824262830384024810121416202226283032343624268101214246101224262442626282626810262862366810121416182022[[#This Row],[Uso diário]]*5</f>
        <v>94</v>
      </c>
      <c r="Q30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0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470</v>
      </c>
      <c r="S30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0" s="25">
        <v>9</v>
      </c>
    </row>
    <row r="31" spans="1:20" s="26" customFormat="1" x14ac:dyDescent="0.25">
      <c r="A31" s="16">
        <v>228668</v>
      </c>
      <c r="B31" s="30" t="s">
        <v>1080</v>
      </c>
      <c r="C31" s="20" t="s">
        <v>654</v>
      </c>
      <c r="D31" s="20" t="s">
        <v>715</v>
      </c>
      <c r="E31" s="20" t="s">
        <v>2958</v>
      </c>
      <c r="F31" s="20" t="s">
        <v>2959</v>
      </c>
      <c r="G31" s="21">
        <v>10</v>
      </c>
      <c r="H31" s="16">
        <v>26</v>
      </c>
      <c r="I31" s="16"/>
      <c r="J31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31" s="22"/>
      <c r="L31" s="23"/>
      <c r="M31" s="23">
        <f>SUM(Tabela1746810121422303226816192527313336242101214161824262830384024810121416202226283032343624268101214246101224262442626282626810262862366810121416182022[[#This Row],[Saldo no cartão]:[Recarga Pendente]])</f>
        <v>0</v>
      </c>
      <c r="N31" s="19">
        <f>Tabela1746810121422303226816192527313336242101214161824262830384024810121416202226283032343624268101214246101224262442626282626810262862366810121416182022[[#This Row],[Uso diário]]*2</f>
        <v>20</v>
      </c>
      <c r="O31" s="19">
        <f>Tabela1746810121422303226816192527313336242101214161824262830384024810121416202226283032343624268101214246101224262442626282626810262862366810121416182022[[#This Row],[Total Acumulado]]-P31</f>
        <v>-50</v>
      </c>
      <c r="P31" s="48">
        <f>Tabela1746810121422303226816192527313336242101214161824262830384024810121416202226283032343624268101214246101224262442626282626810262862366810121416182022[[#This Row],[Uso diário]]*5</f>
        <v>50</v>
      </c>
      <c r="Q31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1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31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1" s="25">
        <v>9</v>
      </c>
    </row>
    <row r="32" spans="1:20" s="26" customFormat="1" x14ac:dyDescent="0.25">
      <c r="A32" s="16">
        <v>215646</v>
      </c>
      <c r="B32" s="30" t="s">
        <v>1467</v>
      </c>
      <c r="C32" s="20" t="s">
        <v>640</v>
      </c>
      <c r="D32" s="20" t="s">
        <v>702</v>
      </c>
      <c r="E32" s="20" t="s">
        <v>2960</v>
      </c>
      <c r="F32" s="20" t="s">
        <v>2961</v>
      </c>
      <c r="G32" s="21">
        <v>18.8</v>
      </c>
      <c r="H32" s="16">
        <v>26</v>
      </c>
      <c r="I32" s="16"/>
      <c r="J32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488.8</v>
      </c>
      <c r="K32" s="22"/>
      <c r="L32" s="23"/>
      <c r="M32" s="23">
        <f>SUM(Tabela1746810121422303226816192527313336242101214161824262830384024810121416202226283032343624268101214246101224262442626282626810262862366810121416182022[[#This Row],[Saldo no cartão]:[Recarga Pendente]])</f>
        <v>0</v>
      </c>
      <c r="N32" s="19">
        <f>Tabela1746810121422303226816192527313336242101214161824262830384024810121416202226283032343624268101214246101224262442626282626810262862366810121416182022[[#This Row],[Uso diário]]*2</f>
        <v>37.6</v>
      </c>
      <c r="O32" s="19">
        <f>Tabela1746810121422303226816192527313336242101214161824262830384024810121416202226283032343624268101214246101224262442626282626810262862366810121416182022[[#This Row],[Total Acumulado]]-P32</f>
        <v>-94</v>
      </c>
      <c r="P32" s="48">
        <f>Tabela1746810121422303226816192527313336242101214161824262830384024810121416202226283032343624268101214246101224262442626282626810262862366810121416182022[[#This Row],[Uso diário]]*5</f>
        <v>94</v>
      </c>
      <c r="Q32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2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488.8</v>
      </c>
      <c r="S32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2" s="25">
        <v>9</v>
      </c>
    </row>
    <row r="33" spans="1:20" s="26" customFormat="1" x14ac:dyDescent="0.25">
      <c r="A33" s="16">
        <v>234476</v>
      </c>
      <c r="B33" s="30" t="s">
        <v>1292</v>
      </c>
      <c r="C33" s="20" t="s">
        <v>640</v>
      </c>
      <c r="D33" s="20" t="s">
        <v>701</v>
      </c>
      <c r="E33" s="20" t="s">
        <v>2962</v>
      </c>
      <c r="F33" s="20" t="s">
        <v>2963</v>
      </c>
      <c r="G33" s="21">
        <v>10</v>
      </c>
      <c r="H33" s="16">
        <v>26</v>
      </c>
      <c r="I33" s="16"/>
      <c r="J33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33" s="22"/>
      <c r="L33" s="23"/>
      <c r="M33" s="23">
        <f>SUM(Tabela1746810121422303226816192527313336242101214161824262830384024810121416202226283032343624268101214246101224262442626282626810262862366810121416182022[[#This Row],[Saldo no cartão]:[Recarga Pendente]])</f>
        <v>0</v>
      </c>
      <c r="N33" s="19">
        <f>Tabela1746810121422303226816192527313336242101214161824262830384024810121416202226283032343624268101214246101224262442626282626810262862366810121416182022[[#This Row],[Uso diário]]*2</f>
        <v>20</v>
      </c>
      <c r="O33" s="19">
        <f>Tabela1746810121422303226816192527313336242101214161824262830384024810121416202226283032343624268101214246101224262442626282626810262862366810121416182022[[#This Row],[Total Acumulado]]-P33</f>
        <v>-50</v>
      </c>
      <c r="P33" s="48">
        <f>Tabela1746810121422303226816192527313336242101214161824262830384024810121416202226283032343624268101214246101224262442626282626810262862366810121416182022[[#This Row],[Uso diário]]*5</f>
        <v>50</v>
      </c>
      <c r="Q33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3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33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3" s="25">
        <v>9</v>
      </c>
    </row>
    <row r="34" spans="1:20" s="26" customFormat="1" x14ac:dyDescent="0.25">
      <c r="A34" s="16">
        <v>203709</v>
      </c>
      <c r="B34" s="30" t="s">
        <v>355</v>
      </c>
      <c r="C34" s="20" t="s">
        <v>655</v>
      </c>
      <c r="D34" s="20" t="s">
        <v>749</v>
      </c>
      <c r="E34" s="20" t="s">
        <v>2964</v>
      </c>
      <c r="F34" s="20" t="s">
        <v>2965</v>
      </c>
      <c r="G34" s="21">
        <v>18.8</v>
      </c>
      <c r="H34" s="16">
        <v>26</v>
      </c>
      <c r="I34" s="16">
        <v>1</v>
      </c>
      <c r="J34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470</v>
      </c>
      <c r="K34" s="22"/>
      <c r="L34" s="23"/>
      <c r="M34" s="23">
        <f>SUM(Tabela1746810121422303226816192527313336242101214161824262830384024810121416202226283032343624268101214246101224262442626282626810262862366810121416182022[[#This Row],[Saldo no cartão]:[Recarga Pendente]])</f>
        <v>0</v>
      </c>
      <c r="N34" s="19">
        <f>Tabela1746810121422303226816192527313336242101214161824262830384024810121416202226283032343624268101214246101224262442626282626810262862366810121416182022[[#This Row],[Uso diário]]*2</f>
        <v>37.6</v>
      </c>
      <c r="O34" s="19">
        <f>Tabela1746810121422303226816192527313336242101214161824262830384024810121416202226283032343624268101214246101224262442626282626810262862366810121416182022[[#This Row],[Total Acumulado]]-P34</f>
        <v>-94</v>
      </c>
      <c r="P34" s="48">
        <f>Tabela1746810121422303226816192527313336242101214161824262830384024810121416202226283032343624268101214246101224262442626282626810262862366810121416182022[[#This Row],[Uso diário]]*5</f>
        <v>94</v>
      </c>
      <c r="Q34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4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470</v>
      </c>
      <c r="S34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4" s="25">
        <v>9</v>
      </c>
    </row>
    <row r="35" spans="1:20" s="26" customFormat="1" x14ac:dyDescent="0.25">
      <c r="A35" s="16">
        <v>232385</v>
      </c>
      <c r="B35" s="30" t="s">
        <v>910</v>
      </c>
      <c r="C35" s="20" t="s">
        <v>655</v>
      </c>
      <c r="D35" s="20" t="s">
        <v>713</v>
      </c>
      <c r="E35" s="20" t="s">
        <v>2966</v>
      </c>
      <c r="F35" s="20" t="s">
        <v>2967</v>
      </c>
      <c r="G35" s="21">
        <v>10</v>
      </c>
      <c r="H35" s="16">
        <v>26</v>
      </c>
      <c r="I35" s="16">
        <v>1</v>
      </c>
      <c r="J35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250</v>
      </c>
      <c r="K35" s="22"/>
      <c r="L35" s="23"/>
      <c r="M35" s="23">
        <f>SUM(Tabela1746810121422303226816192527313336242101214161824262830384024810121416202226283032343624268101214246101224262442626282626810262862366810121416182022[[#This Row],[Saldo no cartão]:[Recarga Pendente]])</f>
        <v>0</v>
      </c>
      <c r="N35" s="19">
        <f>Tabela1746810121422303226816192527313336242101214161824262830384024810121416202226283032343624268101214246101224262442626282626810262862366810121416182022[[#This Row],[Uso diário]]*2</f>
        <v>20</v>
      </c>
      <c r="O35" s="19">
        <f>Tabela1746810121422303226816192527313336242101214161824262830384024810121416202226283032343624268101214246101224262442626282626810262862366810121416182022[[#This Row],[Total Acumulado]]-P35</f>
        <v>-50</v>
      </c>
      <c r="P35" s="48">
        <f>Tabela1746810121422303226816192527313336242101214161824262830384024810121416202226283032343624268101214246101224262442626282626810262862366810121416182022[[#This Row],[Uso diário]]*5</f>
        <v>50</v>
      </c>
      <c r="Q35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5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250</v>
      </c>
      <c r="S35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5" s="25">
        <v>9</v>
      </c>
    </row>
    <row r="36" spans="1:20" s="26" customFormat="1" x14ac:dyDescent="0.25">
      <c r="A36" s="16">
        <v>224262</v>
      </c>
      <c r="B36" s="30" t="s">
        <v>356</v>
      </c>
      <c r="C36" s="20" t="s">
        <v>641</v>
      </c>
      <c r="D36" s="20" t="s">
        <v>704</v>
      </c>
      <c r="E36" s="20" t="s">
        <v>2968</v>
      </c>
      <c r="F36" s="20" t="s">
        <v>2969</v>
      </c>
      <c r="G36" s="21">
        <v>10</v>
      </c>
      <c r="H36" s="16">
        <v>26</v>
      </c>
      <c r="I36" s="16"/>
      <c r="J36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36" s="22"/>
      <c r="L36" s="23"/>
      <c r="M36" s="23">
        <f>SUM(Tabela1746810121422303226816192527313336242101214161824262830384024810121416202226283032343624268101214246101224262442626282626810262862366810121416182022[[#This Row],[Saldo no cartão]:[Recarga Pendente]])</f>
        <v>0</v>
      </c>
      <c r="N36" s="19">
        <f>Tabela1746810121422303226816192527313336242101214161824262830384024810121416202226283032343624268101214246101224262442626282626810262862366810121416182022[[#This Row],[Uso diário]]*2</f>
        <v>20</v>
      </c>
      <c r="O36" s="19">
        <f>Tabela1746810121422303226816192527313336242101214161824262830384024810121416202226283032343624268101214246101224262442626282626810262862366810121416182022[[#This Row],[Total Acumulado]]-P36</f>
        <v>-50</v>
      </c>
      <c r="P36" s="48">
        <f>Tabela1746810121422303226816192527313336242101214161824262830384024810121416202226283032343624268101214246101224262442626282626810262862366810121416182022[[#This Row],[Uso diário]]*5</f>
        <v>50</v>
      </c>
      <c r="Q36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6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36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6" s="25">
        <v>9</v>
      </c>
    </row>
    <row r="37" spans="1:20" s="26" customFormat="1" x14ac:dyDescent="0.25">
      <c r="A37" s="16">
        <v>230434</v>
      </c>
      <c r="B37" s="30" t="s">
        <v>357</v>
      </c>
      <c r="C37" s="20" t="s">
        <v>641</v>
      </c>
      <c r="D37" s="20" t="s">
        <v>704</v>
      </c>
      <c r="E37" s="20" t="s">
        <v>2970</v>
      </c>
      <c r="F37" s="20" t="s">
        <v>2971</v>
      </c>
      <c r="G37" s="21">
        <v>10</v>
      </c>
      <c r="H37" s="16">
        <v>26</v>
      </c>
      <c r="I37" s="16"/>
      <c r="J37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37" s="22"/>
      <c r="L37" s="23"/>
      <c r="M37" s="23">
        <f>SUM(Tabela1746810121422303226816192527313336242101214161824262830384024810121416202226283032343624268101214246101224262442626282626810262862366810121416182022[[#This Row],[Saldo no cartão]:[Recarga Pendente]])</f>
        <v>0</v>
      </c>
      <c r="N37" s="19">
        <f>Tabela1746810121422303226816192527313336242101214161824262830384024810121416202226283032343624268101214246101224262442626282626810262862366810121416182022[[#This Row],[Uso diário]]*2</f>
        <v>20</v>
      </c>
      <c r="O37" s="19">
        <f>Tabela1746810121422303226816192527313336242101214161824262830384024810121416202226283032343624268101214246101224262442626282626810262862366810121416182022[[#This Row],[Total Acumulado]]-P37</f>
        <v>-50</v>
      </c>
      <c r="P37" s="48">
        <f>Tabela1746810121422303226816192527313336242101214161824262830384024810121416202226283032343624268101214246101224262442626282626810262862366810121416182022[[#This Row],[Uso diário]]*5</f>
        <v>50</v>
      </c>
      <c r="Q37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7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37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7" s="25">
        <v>9</v>
      </c>
    </row>
    <row r="38" spans="1:20" s="26" customFormat="1" x14ac:dyDescent="0.25">
      <c r="A38" s="16">
        <v>232594</v>
      </c>
      <c r="B38" s="30" t="s">
        <v>942</v>
      </c>
      <c r="C38" s="20" t="s">
        <v>641</v>
      </c>
      <c r="D38" s="20" t="s">
        <v>704</v>
      </c>
      <c r="E38" s="20" t="s">
        <v>2972</v>
      </c>
      <c r="F38" s="20" t="s">
        <v>2973</v>
      </c>
      <c r="G38" s="21">
        <v>10</v>
      </c>
      <c r="H38" s="16">
        <v>26</v>
      </c>
      <c r="I38" s="16"/>
      <c r="J38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38" s="22"/>
      <c r="L38" s="23"/>
      <c r="M38" s="23">
        <f>SUM(Tabela1746810121422303226816192527313336242101214161824262830384024810121416202226283032343624268101214246101224262442626282626810262862366810121416182022[[#This Row],[Saldo no cartão]:[Recarga Pendente]])</f>
        <v>0</v>
      </c>
      <c r="N38" s="19">
        <f>Tabela1746810121422303226816192527313336242101214161824262830384024810121416202226283032343624268101214246101224262442626282626810262862366810121416182022[[#This Row],[Uso diário]]*2</f>
        <v>20</v>
      </c>
      <c r="O38" s="19">
        <f>Tabela1746810121422303226816192527313336242101214161824262830384024810121416202226283032343624268101214246101224262442626282626810262862366810121416182022[[#This Row],[Total Acumulado]]-P38</f>
        <v>-50</v>
      </c>
      <c r="P38" s="48">
        <f>Tabela1746810121422303226816192527313336242101214161824262830384024810121416202226283032343624268101214246101224262442626282626810262862366810121416182022[[#This Row],[Uso diário]]*5</f>
        <v>50</v>
      </c>
      <c r="Q38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8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38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8" s="25">
        <v>9</v>
      </c>
    </row>
    <row r="39" spans="1:20" s="26" customFormat="1" x14ac:dyDescent="0.25">
      <c r="A39" s="16">
        <v>234599</v>
      </c>
      <c r="B39" s="30" t="s">
        <v>1370</v>
      </c>
      <c r="C39" s="20" t="s">
        <v>641</v>
      </c>
      <c r="D39" s="20" t="s">
        <v>704</v>
      </c>
      <c r="E39" s="20" t="s">
        <v>2974</v>
      </c>
      <c r="F39" s="20" t="s">
        <v>2975</v>
      </c>
      <c r="G39" s="21">
        <v>10</v>
      </c>
      <c r="H39" s="16">
        <v>26</v>
      </c>
      <c r="I39" s="16"/>
      <c r="J39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39" s="22"/>
      <c r="L39" s="23"/>
      <c r="M39" s="23">
        <f>SUM(Tabela1746810121422303226816192527313336242101214161824262830384024810121416202226283032343624268101214246101224262442626282626810262862366810121416182022[[#This Row],[Saldo no cartão]:[Recarga Pendente]])</f>
        <v>0</v>
      </c>
      <c r="N39" s="19">
        <f>Tabela1746810121422303226816192527313336242101214161824262830384024810121416202226283032343624268101214246101224262442626282626810262862366810121416182022[[#This Row],[Uso diário]]*2</f>
        <v>20</v>
      </c>
      <c r="O39" s="19">
        <f>Tabela1746810121422303226816192527313336242101214161824262830384024810121416202226283032343624268101214246101224262442626282626810262862366810121416182022[[#This Row],[Total Acumulado]]-P39</f>
        <v>-50</v>
      </c>
      <c r="P39" s="48">
        <f>Tabela1746810121422303226816192527313336242101214161824262830384024810121416202226283032343624268101214246101224262442626282626810262862366810121416182022[[#This Row],[Uso diário]]*5</f>
        <v>50</v>
      </c>
      <c r="Q39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39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39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39" s="25">
        <v>9</v>
      </c>
    </row>
    <row r="40" spans="1:20" s="26" customFormat="1" x14ac:dyDescent="0.25">
      <c r="A40" s="16">
        <v>231112</v>
      </c>
      <c r="B40" s="30" t="s">
        <v>1468</v>
      </c>
      <c r="C40" s="20" t="s">
        <v>645</v>
      </c>
      <c r="D40" s="20" t="s">
        <v>711</v>
      </c>
      <c r="E40" s="20" t="s">
        <v>2976</v>
      </c>
      <c r="F40" s="20" t="s">
        <v>2977</v>
      </c>
      <c r="G40" s="21">
        <v>10</v>
      </c>
      <c r="H40" s="16">
        <v>26</v>
      </c>
      <c r="I40" s="16"/>
      <c r="J40" s="17">
        <f>(Tabela1746810121422303226816192527313336242101214161824262830384024810121416202226283032343624268101214246101224262442626282626810262862366810121416182022[[#This Row],[D]]-Tabela1746810121422303226816192527313336242101214161824262830384024810121416202226283032343624268101214246101224262442626282626810262862366810121416182022[[#This Row],[F]])*Tabela1746810121422303226816192527313336242101214161824262830384024810121416202226283032343624268101214246101224262442626282626810262862366810121416182022[[#This Row],[Uso diário]]</f>
        <v>260</v>
      </c>
      <c r="K40" s="22"/>
      <c r="L40" s="23"/>
      <c r="M40" s="23">
        <f>SUM(Tabela1746810121422303226816192527313336242101214161824262830384024810121416202226283032343624268101214246101224262442626282626810262862366810121416182022[[#This Row],[Saldo no cartão]:[Recarga Pendente]])</f>
        <v>0</v>
      </c>
      <c r="N40" s="19">
        <f>Tabela1746810121422303226816192527313336242101214161824262830384024810121416202226283032343624268101214246101224262442626282626810262862366810121416182022[[#This Row],[Uso diário]]*2</f>
        <v>20</v>
      </c>
      <c r="O40" s="19">
        <f>Tabela1746810121422303226816192527313336242101214161824262830384024810121416202226283032343624268101214246101224262442626282626810262862366810121416182022[[#This Row],[Total Acumulado]]-P40</f>
        <v>-50</v>
      </c>
      <c r="P40" s="48">
        <f>Tabela1746810121422303226816192527313336242101214161824262830384024810121416202226283032343624268101214246101224262442626282626810262862366810121416182022[[#This Row],[Uso diário]]*5</f>
        <v>50</v>
      </c>
      <c r="Q40" s="17">
        <f>IF(Tabela1746810121422303226816192527313336242101214161824262830384024810121416202226283032343624268101214246101224262442626282626810262862366810121416182022[[#This Row],[acumulo]]&lt;Tabela1746810121422303226816192527313336242101214161824262830384024810121416202226283032343624268101214246101224262442626282626810262862366810121416182022[[#This Row],[acumulo minimo]],0,Tabela1746810121422303226816192527313336242101214161824262830384024810121416202226283032343624268101214246101224262442626282626810262862366810121416182022[[#This Row],[acumulo]])</f>
        <v>0</v>
      </c>
      <c r="R40" s="24">
        <f>IF(Tabela1746810121422303226816192527313336242101214161824262830384024810121416202226283032343624268101214246101224262442626282626810262862366810121416182022[[#This Row],[Valor economizado]]&gt;Tabela1746810121422303226816192527313336242101214161824262830384024810121416202226283032343624268101214246101224262442626282626810262862366810121416182022[[#This Row],[Pedido Inicial]],0,Tabela1746810121422303226816192527313336242101214161824262830384024810121416202226283032343624268101214246101224262442626282626810262862366810121416182022[[#This Row],[Pedido Inicial]]-Tabela1746810121422303226816192527313336242101214161824262830384024810121416202226283032343624268101214246101224262442626282626810262862366810121416182022[[#This Row],[Valor economizado]])</f>
        <v>260</v>
      </c>
      <c r="S40" s="18" t="str">
        <f>IF(Tabela1746810121422303226816192527313336242101214161824262830384024810121416202226283032343624268101214246101224262442626282626810262862366810121416182022[[#This Row],[Pedido Final]]=0,"NÃO EFETUAR RECARGA","RECARGA NORMAL")</f>
        <v>RECARGA NORMAL</v>
      </c>
      <c r="T40" s="25">
        <v>9</v>
      </c>
    </row>
    <row r="41" spans="1:20" s="8" customFormat="1" x14ac:dyDescent="0.25">
      <c r="A41" s="13" t="s">
        <v>13</v>
      </c>
      <c r="B41" s="13"/>
      <c r="C41" s="13"/>
      <c r="D41" s="13"/>
      <c r="E41" s="20"/>
      <c r="F41" s="20"/>
      <c r="G41" s="33"/>
      <c r="H41" s="13"/>
      <c r="I41" s="13"/>
      <c r="J41" s="14">
        <f>SUBTOTAL(109,Tabela1746810121422303226816192527313336242101214161824262830384024810121416202226283032343624268101214246101224262442626282626810262862366810121416182022[Pedido Inicial])</f>
        <v>11380.8</v>
      </c>
      <c r="K41" s="15"/>
      <c r="L41" s="15"/>
      <c r="M41" s="15"/>
      <c r="N41" s="15"/>
      <c r="O41" s="15"/>
      <c r="P41" s="15"/>
      <c r="Q41" s="15"/>
      <c r="R41" s="14">
        <f>SUBTOTAL(109,Tabela1746810121422303226816192527313336242101214161824262830384024810121416202226283032343624268101214246101224262442626282626810262862366810121416182022[Pedido Final])</f>
        <v>11069.8</v>
      </c>
      <c r="S41" s="31">
        <f>SUBTOTAL(103,Tabela1746810121422303226816192527313336242101214161824262830384024810121416202226283032343624268101214246101224262442626282626810262862366810121416182022[Status])</f>
        <v>37</v>
      </c>
      <c r="T41" s="13"/>
    </row>
    <row r="42" spans="1:20" s="8" customFormat="1" x14ac:dyDescent="0.25">
      <c r="A42" s="13"/>
      <c r="B42" s="13"/>
      <c r="C42" s="13"/>
      <c r="D42" s="13"/>
      <c r="E42" s="20"/>
      <c r="F42" s="20"/>
      <c r="G42" s="33"/>
      <c r="H42" s="13"/>
      <c r="I42" s="13"/>
      <c r="J42" s="14"/>
      <c r="K42" s="15"/>
      <c r="L42" s="15"/>
      <c r="M42" s="15"/>
      <c r="N42" s="15"/>
      <c r="O42" s="15"/>
      <c r="P42" s="15"/>
      <c r="Q42" s="15"/>
      <c r="R42" s="14"/>
      <c r="S42" s="31"/>
      <c r="T42" s="13"/>
    </row>
    <row r="43" spans="1:20" s="8" customFormat="1" x14ac:dyDescent="0.25">
      <c r="A43" s="13"/>
      <c r="B43" s="13"/>
      <c r="C43" s="13"/>
      <c r="D43" s="13"/>
      <c r="E43" s="20"/>
      <c r="F43" s="20"/>
      <c r="G43" s="33"/>
      <c r="H43" s="13"/>
      <c r="I43" s="13"/>
      <c r="J43" s="14"/>
      <c r="K43" s="15"/>
      <c r="L43" s="15"/>
      <c r="M43" s="15"/>
      <c r="N43" s="15"/>
      <c r="O43" s="15"/>
      <c r="P43" s="15"/>
      <c r="Q43" s="15"/>
      <c r="R43" s="14"/>
      <c r="S43" s="31"/>
      <c r="T43" s="13"/>
    </row>
    <row r="44" spans="1:20" s="8" customFormat="1" x14ac:dyDescent="0.25">
      <c r="A44" s="1"/>
      <c r="B44" s="54" t="s">
        <v>14</v>
      </c>
      <c r="C44" s="55"/>
      <c r="D44" s="13"/>
      <c r="F44" s="37"/>
      <c r="G44" s="37"/>
      <c r="H44" s="37"/>
      <c r="I44" s="37"/>
      <c r="J44" s="28"/>
      <c r="K44" s="3"/>
      <c r="L44" s="1"/>
      <c r="M44" s="1"/>
      <c r="N44" s="1"/>
      <c r="O44" s="1"/>
      <c r="P44" s="1"/>
      <c r="Q44" s="1"/>
      <c r="R44" s="4" t="s">
        <v>26</v>
      </c>
      <c r="S44" s="39" t="s">
        <v>15</v>
      </c>
    </row>
    <row r="45" spans="1:20" s="8" customFormat="1" x14ac:dyDescent="0.25">
      <c r="A45" s="1"/>
      <c r="B45" s="50" t="s">
        <v>24</v>
      </c>
      <c r="C45" s="45">
        <f>Tabela1746810121422303226816192527313336242101214161824262830384024810121416202226283032343624268101214246101224262442626282626810262862366810121416182022[[#Totals],[Pedido Inicial]]</f>
        <v>11380.8</v>
      </c>
      <c r="D45" s="13"/>
      <c r="F45" s="41"/>
      <c r="G45" s="41"/>
      <c r="H45" s="34"/>
      <c r="I45" s="34"/>
      <c r="J45" s="34"/>
      <c r="K45" s="5"/>
      <c r="L45" s="1"/>
      <c r="M45" s="1"/>
      <c r="N45" s="1"/>
      <c r="O45" s="1"/>
      <c r="P45" s="1"/>
      <c r="Q45" s="1"/>
      <c r="R45" s="58" t="s">
        <v>28</v>
      </c>
      <c r="S45" s="59">
        <f>COUNTIF(Tabela1746810121422303226816192527313336242101214161824262830384024810121416202226283032343624268101214246101224262442626282626810262862366810121416182022[Status],Tabela257911131523313337917202628323437353111315171925272931394135911131517212327293133353735379111315357111335373453737393737911373973377911131517192123[[#This Row],[STATUS]])</f>
        <v>34</v>
      </c>
    </row>
    <row r="46" spans="1:20" s="8" customFormat="1" x14ac:dyDescent="0.25">
      <c r="A46" s="1"/>
      <c r="B46" s="50" t="s">
        <v>25</v>
      </c>
      <c r="C46" s="45">
        <f>Tabela1746810121422303226816192527313336242101214161824262830384024810121416202226283032343624268101214246101224262442626282626810262862366810121416182022[[#Totals],[Pedido Final]]</f>
        <v>11069.8</v>
      </c>
      <c r="D46" s="13"/>
      <c r="F46" s="41"/>
      <c r="G46" s="41"/>
      <c r="H46" s="34"/>
      <c r="I46" s="34"/>
      <c r="J46" s="34"/>
      <c r="K46" s="5"/>
      <c r="L46" s="1"/>
      <c r="M46" s="1"/>
      <c r="N46" s="1"/>
      <c r="O46" s="1"/>
      <c r="P46" s="1"/>
      <c r="R46" s="58" t="s">
        <v>11</v>
      </c>
      <c r="S46" s="59">
        <f>COUNTIF(Tabela1746810121422303226816192527313336242101214161824262830384024810121416202226283032343624268101214246101224262442626282626810262862366810121416182022[Status],Tabela257911131523313337917202628323437353111315171925272931394135911131517212327293133353735379111315357111335373453737393737911373973377911131517192123[[#This Row],[STATUS]])</f>
        <v>2</v>
      </c>
    </row>
    <row r="47" spans="1:20" s="8" customFormat="1" x14ac:dyDescent="0.25">
      <c r="A47" s="1"/>
      <c r="B47" s="51" t="str">
        <f>_xlfn.CONCAT("ECONOMIA"," ",ROUND(C47/C45,2)*100,"%")</f>
        <v>ECONOMIA 3%</v>
      </c>
      <c r="C47" s="46">
        <f>SUM(C45-C46)</f>
        <v>311</v>
      </c>
      <c r="D47" s="13"/>
      <c r="F47" s="41"/>
      <c r="G47" s="41"/>
      <c r="H47" s="36"/>
      <c r="I47" s="36"/>
      <c r="J47" s="38"/>
      <c r="K47" s="36"/>
      <c r="L47" s="1"/>
      <c r="M47" s="1"/>
      <c r="N47" s="1"/>
      <c r="O47" s="1"/>
      <c r="P47" s="1"/>
      <c r="Q47" s="35"/>
      <c r="R47" s="58" t="s">
        <v>12</v>
      </c>
      <c r="S47" s="59">
        <f>COUNTIF(Tabela1746810121422303226816192527313336242101214161824262830384024810121416202226283032343624268101214246101224262442626282626810262862366810121416182022[Status],Tabela257911131523313337917202628323437353111315171925272931394135911131517212327293133353735379111315357111335373453737393737911373973377911131517192123[[#This Row],[STATUS]])</f>
        <v>1</v>
      </c>
    </row>
    <row r="48" spans="1:20" s="8" customFormat="1" x14ac:dyDescent="0.25">
      <c r="A48" s="1"/>
      <c r="B48" s="51" t="str">
        <f>_xlfn.CONCAT("HPOD"," ",ROUND(C48/C47,2)*100,"%")</f>
        <v>HPOD 12%</v>
      </c>
      <c r="C48" s="46">
        <f>C47*12%</f>
        <v>37.32</v>
      </c>
      <c r="D48" s="13"/>
      <c r="F48" s="41"/>
      <c r="G48" s="41"/>
      <c r="H48" s="36"/>
      <c r="I48" s="36"/>
      <c r="J48" s="38"/>
      <c r="K48" s="36"/>
      <c r="L48" s="1"/>
      <c r="M48" s="1"/>
      <c r="N48" s="1"/>
      <c r="O48" s="1"/>
      <c r="P48" s="1"/>
      <c r="Q48" s="1"/>
      <c r="R48" s="6" t="s">
        <v>27</v>
      </c>
      <c r="S48" s="40">
        <f>SUBTOTAL(109,Tabela257911131523313337917202628323437353111315171925272931394135911131517212327293133353735379111315357111335373453737393737911373973377911131517192123[Coluna1])</f>
        <v>37</v>
      </c>
    </row>
    <row r="49" spans="1:20" s="8" customFormat="1" x14ac:dyDescent="0.25">
      <c r="A49" s="1"/>
      <c r="B49" s="3"/>
      <c r="C49" s="47"/>
      <c r="D49" s="1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6"/>
    </row>
    <row r="50" spans="1:20" s="8" customFormat="1" x14ac:dyDescent="0.25">
      <c r="A50" s="1"/>
      <c r="B50" s="3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35"/>
      <c r="P50" s="1"/>
      <c r="Q50" s="1"/>
      <c r="R50" s="1"/>
      <c r="S50" s="1"/>
      <c r="T50" s="1"/>
    </row>
    <row r="51" spans="1:20" s="8" customFormat="1" x14ac:dyDescent="0.25">
      <c r="A51" s="26"/>
      <c r="B51" s="12"/>
      <c r="C51" s="12"/>
      <c r="D51" s="12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1"/>
    </row>
    <row r="52" spans="1:20" s="8" customFormat="1" x14ac:dyDescent="0.25">
      <c r="A52" s="26"/>
      <c r="B52" s="12"/>
      <c r="C52" s="12"/>
      <c r="D52" s="12"/>
      <c r="E52" s="27"/>
      <c r="F52" s="27"/>
      <c r="G52" s="27"/>
      <c r="H52" s="27"/>
      <c r="I52" s="27"/>
      <c r="J52" s="27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s="8" customFormat="1" x14ac:dyDescent="0.25">
      <c r="A53" s="26"/>
      <c r="B53" s="12"/>
      <c r="C53" s="12"/>
      <c r="D53" s="12"/>
      <c r="E53" s="28"/>
      <c r="F53" s="28"/>
      <c r="G53" s="28"/>
      <c r="H53" s="28"/>
      <c r="I53" s="28"/>
      <c r="J53" s="28"/>
      <c r="K53" s="27"/>
      <c r="L53" s="26"/>
      <c r="M53" s="26"/>
      <c r="N53" s="26"/>
      <c r="O53" s="26"/>
      <c r="P53" s="26"/>
      <c r="Q53" s="26"/>
      <c r="R53" s="26"/>
      <c r="S53" s="26"/>
      <c r="T53" s="26"/>
    </row>
    <row r="54" spans="1:20" s="8" customFormat="1" x14ac:dyDescent="0.25">
      <c r="A54" s="26"/>
      <c r="B54" s="12"/>
      <c r="C54" s="12"/>
      <c r="D54" s="12"/>
      <c r="E54" s="28"/>
      <c r="F54" s="28"/>
      <c r="G54" s="28"/>
      <c r="H54" s="28"/>
      <c r="I54" s="28"/>
      <c r="J54" s="28"/>
      <c r="K54" s="27"/>
      <c r="L54" s="26"/>
      <c r="M54" s="26"/>
      <c r="N54" s="26"/>
      <c r="O54" s="26"/>
      <c r="P54" s="26"/>
      <c r="Q54" s="26"/>
      <c r="R54" s="26"/>
      <c r="S54" s="26"/>
      <c r="T54" s="26"/>
    </row>
    <row r="55" spans="1:20" s="8" customFormat="1" x14ac:dyDescent="0.25">
      <c r="A55" s="26"/>
      <c r="B55" s="12"/>
      <c r="C55" s="12"/>
      <c r="D55" s="12"/>
      <c r="E55" s="28"/>
      <c r="F55" s="28"/>
      <c r="G55" s="28"/>
      <c r="H55" s="28"/>
      <c r="I55" s="28"/>
      <c r="J55" s="28"/>
      <c r="K55" s="27"/>
      <c r="L55" s="26"/>
      <c r="M55" s="26"/>
      <c r="N55" s="26"/>
      <c r="O55" s="26"/>
      <c r="P55" s="29"/>
      <c r="Q55" s="26"/>
      <c r="R55" s="26"/>
      <c r="S55" s="26"/>
      <c r="T55" s="26"/>
    </row>
    <row r="56" spans="1:20" s="8" customFormat="1" x14ac:dyDescent="0.25">
      <c r="A56" s="26"/>
      <c r="B56" s="12"/>
      <c r="C56" s="12"/>
      <c r="D56" s="12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6"/>
      <c r="S56" s="26"/>
      <c r="T56" s="26"/>
    </row>
    <row r="57" spans="1:20" s="8" customFormat="1" x14ac:dyDescent="0.25">
      <c r="A57" s="26"/>
      <c r="B57" s="12"/>
      <c r="C57" s="12"/>
      <c r="D57" s="12"/>
      <c r="E57" s="28"/>
      <c r="F57" s="28"/>
      <c r="G57" s="28"/>
      <c r="H57" s="28"/>
      <c r="I57" s="28"/>
      <c r="J57" s="28"/>
      <c r="K57" s="29"/>
      <c r="L57" s="26"/>
      <c r="M57" s="26"/>
      <c r="N57" s="26"/>
      <c r="O57" s="26"/>
      <c r="P57" s="26"/>
      <c r="Q57" s="26"/>
      <c r="R57" s="26"/>
      <c r="S57" s="26"/>
      <c r="T57" s="26"/>
    </row>
    <row r="58" spans="1:20" s="8" customFormat="1" x14ac:dyDescent="0.25">
      <c r="A58" s="26"/>
      <c r="B58" s="12"/>
      <c r="C58" s="12"/>
      <c r="D58" s="12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spans="1:20" s="8" customFormat="1" x14ac:dyDescent="0.25">
      <c r="A59" s="26"/>
      <c r="B59" s="12"/>
      <c r="C59" s="12"/>
      <c r="D59" s="12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9"/>
    </row>
    <row r="60" spans="1:20" s="8" customFormat="1" x14ac:dyDescent="0.25">
      <c r="A60" s="26"/>
      <c r="B60" s="12"/>
      <c r="C60" s="12"/>
      <c r="D60" s="12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 s="8" customFormat="1" x14ac:dyDescent="0.25">
      <c r="A61" s="26"/>
      <c r="B61" s="12"/>
      <c r="C61" s="12"/>
      <c r="D61" s="12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 s="8" customFormat="1" x14ac:dyDescent="0.25">
      <c r="A62" s="26"/>
      <c r="B62" s="12"/>
      <c r="C62" s="12"/>
      <c r="D62" s="12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s="8" customFormat="1" x14ac:dyDescent="0.25">
      <c r="A63" s="26"/>
      <c r="B63" s="12"/>
      <c r="C63" s="12"/>
      <c r="D63" s="12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s="8" customFormat="1" x14ac:dyDescent="0.25">
      <c r="A64" s="26"/>
      <c r="B64" s="12"/>
      <c r="C64" s="12"/>
      <c r="D64" s="12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 s="8" customFormat="1" x14ac:dyDescent="0.25">
      <c r="A65" s="1"/>
      <c r="B65" s="3"/>
      <c r="C65" s="3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6"/>
    </row>
    <row r="66" spans="1:20" s="8" customFormat="1" x14ac:dyDescent="0.25">
      <c r="A66" s="1"/>
      <c r="B66" s="3"/>
      <c r="C66" s="3"/>
      <c r="D66" s="3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s="8" customFormat="1" x14ac:dyDescent="0.25">
      <c r="A67" s="1"/>
      <c r="B67" s="3"/>
      <c r="C67" s="3"/>
      <c r="D67" s="3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</row>
  </sheetData>
  <mergeCells count="1">
    <mergeCell ref="A2:T2"/>
  </mergeCells>
  <conditionalFormatting sqref="A1:A1048576">
    <cfRule type="duplicateValues" dxfId="47" priority="4"/>
    <cfRule type="duplicateValues" dxfId="46" priority="5"/>
  </conditionalFormatting>
  <conditionalFormatting sqref="B1:B1048576">
    <cfRule type="duplicateValues" dxfId="45" priority="6"/>
  </conditionalFormatting>
  <conditionalFormatting sqref="B45:C4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{D26267AA-1CE1-4038-BBA2-067E9A20EED6}</x14:id>
        </ext>
      </extLst>
    </cfRule>
  </conditionalFormatting>
  <conditionalFormatting sqref="H45:J46 F45:G4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{6384BE5A-4D4B-4F87-B33F-FC2269B232B2}</x14:id>
        </ext>
      </extLst>
    </cfRule>
  </conditionalFormatting>
  <conditionalFormatting sqref="R45:S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{895D19C3-BADF-4E67-BDE7-5D852C63311C}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6267AA-1CE1-4038-BBA2-067E9A20EE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B45:C48</xm:sqref>
        </x14:conditionalFormatting>
        <x14:conditionalFormatting xmlns:xm="http://schemas.microsoft.com/office/excel/2006/main">
          <x14:cfRule type="dataBar" id="{6384BE5A-4D4B-4F87-B33F-FC2269B232B2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H45:J46 F45:G48</xm:sqref>
        </x14:conditionalFormatting>
        <x14:conditionalFormatting xmlns:xm="http://schemas.microsoft.com/office/excel/2006/main">
          <x14:cfRule type="dataBar" id="{895D19C3-BADF-4E67-BDE7-5D852C633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R45:S47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78F2-0B8B-4967-ACB7-918B8D64D1F5}">
  <sheetPr>
    <pageSetUpPr fitToPage="1"/>
  </sheetPr>
  <dimension ref="A1:BG41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7.5703125" style="3" bestFit="1" customWidth="1"/>
    <col min="3" max="3" width="11.140625" style="3" bestFit="1" customWidth="1"/>
    <col min="4" max="4" width="21.855468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226297</v>
      </c>
      <c r="B4" s="30" t="s">
        <v>406</v>
      </c>
      <c r="C4" s="20" t="s">
        <v>649</v>
      </c>
      <c r="D4" s="20" t="s">
        <v>750</v>
      </c>
      <c r="E4" s="20" t="s">
        <v>2978</v>
      </c>
      <c r="F4" s="20" t="s">
        <v>2979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SUM(Tabela174681012142230322681619252731333624210121416182426283038402481012141620222628303234362426810121424610122426244262628262681026286236681012141618202224[[#This Row],[Saldo no cartão]:[Recarga Pendente]])</f>
        <v>0</v>
      </c>
      <c r="N4" s="19">
        <f>Tabela174681012142230322681619252731333624210121416182426283038402481012141620222628303234362426810121424610122426244262628262681026286236681012141618202224[[#This Row],[Uso diário]]*2</f>
        <v>37.6</v>
      </c>
      <c r="O4" s="19">
        <f>Tabela174681012142230322681619252731333624210121416182426283038402481012141620222628303234362426810121424610122426244262628262681026286236681012141618202224[[#This Row],[Total Acumulado]]-P4</f>
        <v>-94</v>
      </c>
      <c r="P4" s="48">
        <f>Tabela174681012142230322681619252731333624210121416182426283038402481012141620222628303234362426810121424610122426244262628262681026286236681012141618202224[[#This Row],[Uso diário]]*5</f>
        <v>94</v>
      </c>
      <c r="Q4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4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488.8</v>
      </c>
      <c r="S4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4" s="25">
        <v>10</v>
      </c>
    </row>
    <row r="5" spans="1:59" s="26" customFormat="1" x14ac:dyDescent="0.25">
      <c r="A5" s="16">
        <v>220582</v>
      </c>
      <c r="B5" s="30" t="s">
        <v>1469</v>
      </c>
      <c r="C5" s="20" t="s">
        <v>651</v>
      </c>
      <c r="D5" s="20" t="s">
        <v>719</v>
      </c>
      <c r="E5" s="20" t="s">
        <v>2980</v>
      </c>
      <c r="F5" s="20" t="s">
        <v>2981</v>
      </c>
      <c r="G5" s="21">
        <v>13.4</v>
      </c>
      <c r="H5" s="16">
        <v>16</v>
      </c>
      <c r="I5" s="16"/>
      <c r="J5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214.4</v>
      </c>
      <c r="K5" s="22"/>
      <c r="L5" s="23"/>
      <c r="M5" s="23">
        <f>SUM(Tabela174681012142230322681619252731333624210121416182426283038402481012141620222628303234362426810121424610122426244262628262681026286236681012141618202224[[#This Row],[Saldo no cartão]:[Recarga Pendente]])</f>
        <v>0</v>
      </c>
      <c r="N5" s="19">
        <f>Tabela174681012142230322681619252731333624210121416182426283038402481012141620222628303234362426810121424610122426244262628262681026286236681012141618202224[[#This Row],[Uso diário]]*2</f>
        <v>26.8</v>
      </c>
      <c r="O5" s="19">
        <f>Tabela174681012142230322681619252731333624210121416182426283038402481012141620222628303234362426810121424610122426244262628262681026286236681012141618202224[[#This Row],[Total Acumulado]]-P5</f>
        <v>-67</v>
      </c>
      <c r="P5" s="48">
        <f>Tabela174681012142230322681619252731333624210121416182426283038402481012141620222628303234362426810121424610122426244262628262681026286236681012141618202224[[#This Row],[Uso diário]]*5</f>
        <v>67</v>
      </c>
      <c r="Q5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5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214.4</v>
      </c>
      <c r="S5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5" s="25">
        <v>10</v>
      </c>
    </row>
    <row r="6" spans="1:59" s="26" customFormat="1" x14ac:dyDescent="0.25">
      <c r="A6" s="16">
        <v>232597</v>
      </c>
      <c r="B6" s="30" t="s">
        <v>943</v>
      </c>
      <c r="C6" s="20" t="s">
        <v>651</v>
      </c>
      <c r="D6" s="20" t="s">
        <v>719</v>
      </c>
      <c r="E6" s="20" t="s">
        <v>2982</v>
      </c>
      <c r="F6" s="20" t="s">
        <v>2983</v>
      </c>
      <c r="G6" s="21">
        <v>13.4</v>
      </c>
      <c r="H6" s="16">
        <v>16</v>
      </c>
      <c r="I6" s="16">
        <v>1</v>
      </c>
      <c r="J6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201</v>
      </c>
      <c r="K6" s="22"/>
      <c r="L6" s="23"/>
      <c r="M6" s="23">
        <f>SUM(Tabela174681012142230322681619252731333624210121416182426283038402481012141620222628303234362426810121424610122426244262628262681026286236681012141618202224[[#This Row],[Saldo no cartão]:[Recarga Pendente]])</f>
        <v>0</v>
      </c>
      <c r="N6" s="19">
        <f>Tabela174681012142230322681619252731333624210121416182426283038402481012141620222628303234362426810121424610122426244262628262681026286236681012141618202224[[#This Row],[Uso diário]]*2</f>
        <v>26.8</v>
      </c>
      <c r="O6" s="19">
        <f>Tabela174681012142230322681619252731333624210121416182426283038402481012141620222628303234362426810121424610122426244262628262681026286236681012141618202224[[#This Row],[Total Acumulado]]-P6</f>
        <v>-67</v>
      </c>
      <c r="P6" s="48">
        <f>Tabela174681012142230322681619252731333624210121416182426283038402481012141620222628303234362426810121424610122426244262628262681026286236681012141618202224[[#This Row],[Uso diário]]*5</f>
        <v>67</v>
      </c>
      <c r="Q6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6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201</v>
      </c>
      <c r="S6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6" s="25">
        <v>10</v>
      </c>
    </row>
    <row r="7" spans="1:59" s="26" customFormat="1" x14ac:dyDescent="0.25">
      <c r="A7" s="16">
        <v>231903</v>
      </c>
      <c r="B7" s="30" t="s">
        <v>832</v>
      </c>
      <c r="C7" s="20" t="s">
        <v>636</v>
      </c>
      <c r="D7" s="20" t="s">
        <v>729</v>
      </c>
      <c r="E7" s="20" t="s">
        <v>2984</v>
      </c>
      <c r="F7" s="20" t="s">
        <v>2985</v>
      </c>
      <c r="G7" s="21">
        <v>9.4</v>
      </c>
      <c r="H7" s="16">
        <v>22</v>
      </c>
      <c r="I7" s="16">
        <v>4</v>
      </c>
      <c r="J7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169.20000000000002</v>
      </c>
      <c r="K7" s="22"/>
      <c r="L7" s="23"/>
      <c r="M7" s="23">
        <f>SUM(Tabela174681012142230322681619252731333624210121416182426283038402481012141620222628303234362426810121424610122426244262628262681026286236681012141618202224[[#This Row],[Saldo no cartão]:[Recarga Pendente]])</f>
        <v>0</v>
      </c>
      <c r="N7" s="19">
        <f>Tabela174681012142230322681619252731333624210121416182426283038402481012141620222628303234362426810121424610122426244262628262681026286236681012141618202224[[#This Row],[Uso diário]]*2</f>
        <v>18.8</v>
      </c>
      <c r="O7" s="19">
        <f>Tabela174681012142230322681619252731333624210121416182426283038402481012141620222628303234362426810121424610122426244262628262681026286236681012141618202224[[#This Row],[Total Acumulado]]-P7</f>
        <v>-47</v>
      </c>
      <c r="P7" s="48">
        <f>Tabela174681012142230322681619252731333624210121416182426283038402481012141620222628303234362426810121424610122426244262628262681026286236681012141618202224[[#This Row],[Uso diário]]*5</f>
        <v>47</v>
      </c>
      <c r="Q7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7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169.20000000000002</v>
      </c>
      <c r="S7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7" s="25">
        <v>10</v>
      </c>
    </row>
    <row r="8" spans="1:59" s="26" customFormat="1" x14ac:dyDescent="0.25">
      <c r="A8" s="16">
        <v>232412</v>
      </c>
      <c r="B8" s="30" t="s">
        <v>911</v>
      </c>
      <c r="C8" s="20" t="s">
        <v>636</v>
      </c>
      <c r="D8" s="20" t="s">
        <v>729</v>
      </c>
      <c r="E8" s="20" t="s">
        <v>2986</v>
      </c>
      <c r="F8" s="20" t="s">
        <v>2987</v>
      </c>
      <c r="G8" s="21">
        <v>18.8</v>
      </c>
      <c r="H8" s="16">
        <v>22</v>
      </c>
      <c r="I8" s="16"/>
      <c r="J8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413.6</v>
      </c>
      <c r="K8" s="22"/>
      <c r="L8" s="23"/>
      <c r="M8" s="23">
        <f>SUM(Tabela174681012142230322681619252731333624210121416182426283038402481012141620222628303234362426810121424610122426244262628262681026286236681012141618202224[[#This Row],[Saldo no cartão]:[Recarga Pendente]])</f>
        <v>0</v>
      </c>
      <c r="N8" s="19">
        <f>Tabela174681012142230322681619252731333624210121416182426283038402481012141620222628303234362426810121424610122426244262628262681026286236681012141618202224[[#This Row],[Uso diário]]*2</f>
        <v>37.6</v>
      </c>
      <c r="O8" s="19">
        <f>Tabela174681012142230322681619252731333624210121416182426283038402481012141620222628303234362426810121424610122426244262628262681026286236681012141618202224[[#This Row],[Total Acumulado]]-P8</f>
        <v>-94</v>
      </c>
      <c r="P8" s="48">
        <f>Tabela174681012142230322681619252731333624210121416182426283038402481012141620222628303234362426810121424610122426244262628262681026286236681012141618202224[[#This Row],[Uso diário]]*5</f>
        <v>94</v>
      </c>
      <c r="Q8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8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413.6</v>
      </c>
      <c r="S8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8" s="25">
        <v>10</v>
      </c>
    </row>
    <row r="9" spans="1:59" s="26" customFormat="1" x14ac:dyDescent="0.25">
      <c r="A9" s="16">
        <v>232413</v>
      </c>
      <c r="B9" s="30" t="s">
        <v>912</v>
      </c>
      <c r="C9" s="20" t="s">
        <v>636</v>
      </c>
      <c r="D9" s="20" t="s">
        <v>729</v>
      </c>
      <c r="E9" s="20" t="s">
        <v>2988</v>
      </c>
      <c r="F9" s="20" t="s">
        <v>2989</v>
      </c>
      <c r="G9" s="21">
        <v>9.4</v>
      </c>
      <c r="H9" s="16">
        <v>22</v>
      </c>
      <c r="I9" s="16">
        <v>1</v>
      </c>
      <c r="J9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197.4</v>
      </c>
      <c r="K9" s="22"/>
      <c r="L9" s="23"/>
      <c r="M9" s="23">
        <f>SUM(Tabela174681012142230322681619252731333624210121416182426283038402481012141620222628303234362426810121424610122426244262628262681026286236681012141618202224[[#This Row],[Saldo no cartão]:[Recarga Pendente]])</f>
        <v>0</v>
      </c>
      <c r="N9" s="19">
        <f>Tabela174681012142230322681619252731333624210121416182426283038402481012141620222628303234362426810121424610122426244262628262681026286236681012141618202224[[#This Row],[Uso diário]]*2</f>
        <v>18.8</v>
      </c>
      <c r="O9" s="19">
        <f>Tabela174681012142230322681619252731333624210121416182426283038402481012141620222628303234362426810121424610122426244262628262681026286236681012141618202224[[#This Row],[Total Acumulado]]-P9</f>
        <v>-47</v>
      </c>
      <c r="P9" s="48">
        <f>Tabela174681012142230322681619252731333624210121416182426283038402481012141620222628303234362426810121424610122426244262628262681026286236681012141618202224[[#This Row],[Uso diário]]*5</f>
        <v>47</v>
      </c>
      <c r="Q9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9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197.4</v>
      </c>
      <c r="S9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9" s="25">
        <v>10</v>
      </c>
    </row>
    <row r="10" spans="1:59" s="26" customFormat="1" x14ac:dyDescent="0.25">
      <c r="A10" s="16">
        <v>233021</v>
      </c>
      <c r="B10" s="30" t="s">
        <v>994</v>
      </c>
      <c r="C10" s="20" t="s">
        <v>636</v>
      </c>
      <c r="D10" s="20" t="s">
        <v>729</v>
      </c>
      <c r="E10" s="20" t="s">
        <v>2990</v>
      </c>
      <c r="F10" s="20" t="s">
        <v>2991</v>
      </c>
      <c r="G10" s="21">
        <v>9.4</v>
      </c>
      <c r="H10" s="16">
        <v>22</v>
      </c>
      <c r="I10" s="16">
        <v>1</v>
      </c>
      <c r="J10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197.4</v>
      </c>
      <c r="K10" s="22"/>
      <c r="L10" s="23"/>
      <c r="M10" s="23">
        <f>SUM(Tabela174681012142230322681619252731333624210121416182426283038402481012141620222628303234362426810121424610122426244262628262681026286236681012141618202224[[#This Row],[Saldo no cartão]:[Recarga Pendente]])</f>
        <v>0</v>
      </c>
      <c r="N10" s="19">
        <f>Tabela174681012142230322681619252731333624210121416182426283038402481012141620222628303234362426810121424610122426244262628262681026286236681012141618202224[[#This Row],[Uso diário]]*2</f>
        <v>18.8</v>
      </c>
      <c r="O10" s="19">
        <f>Tabela174681012142230322681619252731333624210121416182426283038402481012141620222628303234362426810121424610122426244262628262681026286236681012141618202224[[#This Row],[Total Acumulado]]-P10</f>
        <v>-47</v>
      </c>
      <c r="P10" s="48">
        <f>Tabela174681012142230322681619252731333624210121416182426283038402481012141620222628303234362426810121424610122426244262628262681026286236681012141618202224[[#This Row],[Uso diário]]*5</f>
        <v>47</v>
      </c>
      <c r="Q10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10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197.4</v>
      </c>
      <c r="S10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10" s="25">
        <v>10</v>
      </c>
    </row>
    <row r="11" spans="1:59" s="26" customFormat="1" x14ac:dyDescent="0.25">
      <c r="A11" s="16">
        <v>233022</v>
      </c>
      <c r="B11" s="30" t="s">
        <v>995</v>
      </c>
      <c r="C11" s="20" t="s">
        <v>636</v>
      </c>
      <c r="D11" s="20" t="s">
        <v>729</v>
      </c>
      <c r="E11" s="20" t="s">
        <v>2992</v>
      </c>
      <c r="F11" s="20" t="s">
        <v>2993</v>
      </c>
      <c r="G11" s="21">
        <v>9.4</v>
      </c>
      <c r="H11" s="16">
        <v>22</v>
      </c>
      <c r="I11" s="16"/>
      <c r="J11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206.8</v>
      </c>
      <c r="K11" s="22"/>
      <c r="L11" s="23"/>
      <c r="M11" s="23">
        <f>SUM(Tabela174681012142230322681619252731333624210121416182426283038402481012141620222628303234362426810121424610122426244262628262681026286236681012141618202224[[#This Row],[Saldo no cartão]:[Recarga Pendente]])</f>
        <v>0</v>
      </c>
      <c r="N11" s="19">
        <f>Tabela174681012142230322681619252731333624210121416182426283038402481012141620222628303234362426810121424610122426244262628262681026286236681012141618202224[[#This Row],[Uso diário]]*2</f>
        <v>18.8</v>
      </c>
      <c r="O11" s="19">
        <f>Tabela174681012142230322681619252731333624210121416182426283038402481012141620222628303234362426810121424610122426244262628262681026286236681012141618202224[[#This Row],[Total Acumulado]]-P11</f>
        <v>-47</v>
      </c>
      <c r="P11" s="48">
        <f>Tabela174681012142230322681619252731333624210121416182426283038402481012141620222628303234362426810121424610122426244262628262681026286236681012141618202224[[#This Row],[Uso diário]]*5</f>
        <v>47</v>
      </c>
      <c r="Q11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11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206.8</v>
      </c>
      <c r="S11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11" s="25">
        <v>10</v>
      </c>
    </row>
    <row r="12" spans="1:59" s="26" customFormat="1" x14ac:dyDescent="0.25">
      <c r="A12" s="16">
        <v>233403</v>
      </c>
      <c r="B12" s="30" t="s">
        <v>1082</v>
      </c>
      <c r="C12" s="20" t="s">
        <v>654</v>
      </c>
      <c r="D12" s="20" t="s">
        <v>715</v>
      </c>
      <c r="E12" s="20" t="s">
        <v>2994</v>
      </c>
      <c r="F12" s="20" t="s">
        <v>2995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SUM(Tabela174681012142230322681619252731333624210121416182426283038402481012141620222628303234362426810121424610122426244262628262681026286236681012141618202224[[#This Row],[Saldo no cartão]:[Recarga Pendente]])</f>
        <v>0</v>
      </c>
      <c r="N12" s="19">
        <f>Tabela174681012142230322681619252731333624210121416182426283038402481012141620222628303234362426810121424610122426244262628262681026286236681012141618202224[[#This Row],[Uso diário]]*2</f>
        <v>26.8</v>
      </c>
      <c r="O12" s="19">
        <f>Tabela174681012142230322681619252731333624210121416182426283038402481012141620222628303234362426810121424610122426244262628262681026286236681012141618202224[[#This Row],[Total Acumulado]]-P12</f>
        <v>-67</v>
      </c>
      <c r="P12" s="48">
        <f>Tabela174681012142230322681619252731333624210121416182426283038402481012141620222628303234362426810121424610122426244262628262681026286236681012141618202224[[#This Row],[Uso diário]]*5</f>
        <v>67</v>
      </c>
      <c r="Q12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12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348.40000000000003</v>
      </c>
      <c r="S12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12" s="25">
        <v>10</v>
      </c>
    </row>
    <row r="13" spans="1:59" s="26" customFormat="1" x14ac:dyDescent="0.25">
      <c r="A13" s="16">
        <v>213280</v>
      </c>
      <c r="B13" s="30" t="s">
        <v>360</v>
      </c>
      <c r="C13" s="20" t="s">
        <v>641</v>
      </c>
      <c r="D13" s="20" t="s">
        <v>744</v>
      </c>
      <c r="E13" s="20" t="s">
        <v>2996</v>
      </c>
      <c r="F13" s="20" t="s">
        <v>2997</v>
      </c>
      <c r="G13" s="21">
        <v>18.8</v>
      </c>
      <c r="H13" s="16">
        <v>26</v>
      </c>
      <c r="I13" s="16"/>
      <c r="J13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488.8</v>
      </c>
      <c r="K13" s="22"/>
      <c r="L13" s="23"/>
      <c r="M13" s="23">
        <f>SUM(Tabela174681012142230322681619252731333624210121416182426283038402481012141620222628303234362426810121424610122426244262628262681026286236681012141618202224[[#This Row],[Saldo no cartão]:[Recarga Pendente]])</f>
        <v>0</v>
      </c>
      <c r="N13" s="19">
        <f>Tabela174681012142230322681619252731333624210121416182426283038402481012141620222628303234362426810121424610122426244262628262681026286236681012141618202224[[#This Row],[Uso diário]]*2</f>
        <v>37.6</v>
      </c>
      <c r="O13" s="19">
        <f>Tabela174681012142230322681619252731333624210121416182426283038402481012141620222628303234362426810121424610122426244262628262681026286236681012141618202224[[#This Row],[Total Acumulado]]-P13</f>
        <v>-94</v>
      </c>
      <c r="P13" s="48">
        <f>Tabela174681012142230322681619252731333624210121416182426283038402481012141620222628303234362426810121424610122426244262628262681026286236681012141618202224[[#This Row],[Uso diário]]*5</f>
        <v>94</v>
      </c>
      <c r="Q13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13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488.8</v>
      </c>
      <c r="S13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13" s="25">
        <v>10</v>
      </c>
    </row>
    <row r="14" spans="1:59" s="26" customFormat="1" x14ac:dyDescent="0.25">
      <c r="A14" s="16">
        <v>223671</v>
      </c>
      <c r="B14" s="30" t="s">
        <v>361</v>
      </c>
      <c r="C14" s="20" t="s">
        <v>641</v>
      </c>
      <c r="D14" s="20" t="s">
        <v>705</v>
      </c>
      <c r="E14" s="20" t="s">
        <v>2998</v>
      </c>
      <c r="F14" s="20" t="s">
        <v>2999</v>
      </c>
      <c r="G14" s="21">
        <v>13.4</v>
      </c>
      <c r="H14" s="16">
        <v>26</v>
      </c>
      <c r="I14" s="16"/>
      <c r="J14" s="17">
        <f>(Tabela174681012142230322681619252731333624210121416182426283038402481012141620222628303234362426810121424610122426244262628262681026286236681012141618202224[[#This Row],[D]]-Tabela174681012142230322681619252731333624210121416182426283038402481012141620222628303234362426810121424610122426244262628262681026286236681012141618202224[[#This Row],[F]])*Tabela174681012142230322681619252731333624210121416182426283038402481012141620222628303234362426810121424610122426244262628262681026286236681012141618202224[[#This Row],[Uso diário]]</f>
        <v>348.40000000000003</v>
      </c>
      <c r="K14" s="22"/>
      <c r="L14" s="23">
        <v>11.9</v>
      </c>
      <c r="M14" s="23">
        <f>SUM(Tabela174681012142230322681619252731333624210121416182426283038402481012141620222628303234362426810121424610122426244262628262681026286236681012141618202224[[#This Row],[Saldo no cartão]:[Recarga Pendente]])</f>
        <v>11.9</v>
      </c>
      <c r="N14" s="19">
        <f>Tabela174681012142230322681619252731333624210121416182426283038402481012141620222628303234362426810121424610122426244262628262681026286236681012141618202224[[#This Row],[Uso diário]]*2</f>
        <v>26.8</v>
      </c>
      <c r="O14" s="19">
        <f>Tabela174681012142230322681619252731333624210121416182426283038402481012141620222628303234362426810121424610122426244262628262681026286236681012141618202224[[#This Row],[Total Acumulado]]-P14</f>
        <v>-55.1</v>
      </c>
      <c r="P14" s="48">
        <f>Tabela174681012142230322681619252731333624210121416182426283038402481012141620222628303234362426810121424610122426244262628262681026286236681012141618202224[[#This Row],[Uso diário]]*5</f>
        <v>67</v>
      </c>
      <c r="Q14" s="17">
        <f>IF(Tabela174681012142230322681619252731333624210121416182426283038402481012141620222628303234362426810121424610122426244262628262681026286236681012141618202224[[#This Row],[acumulo]]&lt;Tabela174681012142230322681619252731333624210121416182426283038402481012141620222628303234362426810121424610122426244262628262681026286236681012141618202224[[#This Row],[acumulo minimo]],0,Tabela174681012142230322681619252731333624210121416182426283038402481012141620222628303234362426810121424610122426244262628262681026286236681012141618202224[[#This Row],[acumulo]])</f>
        <v>0</v>
      </c>
      <c r="R14" s="24">
        <f>IF(Tabela174681012142230322681619252731333624210121416182426283038402481012141620222628303234362426810121424610122426244262628262681026286236681012141618202224[[#This Row],[Valor economizado]]&gt;Tabela174681012142230322681619252731333624210121416182426283038402481012141620222628303234362426810121424610122426244262628262681026286236681012141618202224[[#This Row],[Pedido Inicial]],0,Tabela174681012142230322681619252731333624210121416182426283038402481012141620222628303234362426810121424610122426244262628262681026286236681012141618202224[[#This Row],[Pedido Inicial]]-Tabela174681012142230322681619252731333624210121416182426283038402481012141620222628303234362426810121424610122426244262628262681026286236681012141618202224[[#This Row],[Valor economizado]])</f>
        <v>348.40000000000003</v>
      </c>
      <c r="S14" s="18" t="str">
        <f>IF(Tabela174681012142230322681619252731333624210121416182426283038402481012141620222628303234362426810121424610122426244262628262681026286236681012141618202224[[#This Row],[Pedido Final]]=0,"NÃO EFETUAR RECARGA","RECARGA NORMAL")</f>
        <v>RECARGA NORMAL</v>
      </c>
      <c r="T14" s="25">
        <v>10</v>
      </c>
    </row>
    <row r="15" spans="1:59" s="8" customFormat="1" x14ac:dyDescent="0.25">
      <c r="A15" s="13" t="s">
        <v>13</v>
      </c>
      <c r="B15" s="13"/>
      <c r="C15" s="13"/>
      <c r="D15" s="13"/>
      <c r="E15" s="20"/>
      <c r="F15" s="20"/>
      <c r="G15" s="33"/>
      <c r="H15" s="13"/>
      <c r="I15" s="13"/>
      <c r="J15" s="14">
        <f>SUBTOTAL(109,Tabela174681012142230322681619252731333624210121416182426283038402481012141620222628303234362426810121424610122426244262628262681026286236681012141618202224[Pedido Inicial])</f>
        <v>3274.2000000000007</v>
      </c>
      <c r="K15" s="15"/>
      <c r="L15" s="15"/>
      <c r="M15" s="15"/>
      <c r="N15" s="15"/>
      <c r="O15" s="15"/>
      <c r="P15" s="15"/>
      <c r="Q15" s="15"/>
      <c r="R15" s="14">
        <f>SUBTOTAL(109,Tabela174681012142230322681619252731333624210121416182426283038402481012141620222628303234362426810121424610122426244262628262681026286236681012141618202224[Pedido Final])</f>
        <v>3274.2000000000007</v>
      </c>
      <c r="S15" s="31">
        <f>SUBTOTAL(103,Tabela174681012142230322681619252731333624210121416182426283038402481012141620222628303234362426810121424610122426244262628262681026286236681012141618202224[Status])</f>
        <v>11</v>
      </c>
      <c r="T15" s="13"/>
    </row>
    <row r="16" spans="1:59" s="8" customFormat="1" x14ac:dyDescent="0.25">
      <c r="A16" s="13"/>
      <c r="B16" s="13"/>
      <c r="C16" s="13"/>
      <c r="D16" s="13"/>
      <c r="E16" s="20"/>
      <c r="F16" s="20"/>
      <c r="G16" s="33"/>
      <c r="H16" s="13"/>
      <c r="I16" s="13"/>
      <c r="J16" s="14"/>
      <c r="K16" s="15"/>
      <c r="L16" s="15"/>
      <c r="M16" s="15"/>
      <c r="N16" s="15"/>
      <c r="O16" s="15"/>
      <c r="P16" s="15"/>
      <c r="Q16" s="15"/>
      <c r="R16" s="14"/>
      <c r="S16" s="31"/>
      <c r="T16" s="13"/>
    </row>
    <row r="17" spans="1:20" s="8" customFormat="1" x14ac:dyDescent="0.25">
      <c r="A17" s="13"/>
      <c r="B17" s="13"/>
      <c r="C17" s="13"/>
      <c r="D17" s="13"/>
      <c r="E17" s="20"/>
      <c r="F17" s="20"/>
      <c r="G17" s="33"/>
      <c r="H17" s="13"/>
      <c r="I17" s="13"/>
      <c r="J17" s="14"/>
      <c r="K17" s="15"/>
      <c r="L17" s="15"/>
      <c r="M17" s="15"/>
      <c r="N17" s="15"/>
      <c r="O17" s="15"/>
      <c r="P17" s="15"/>
      <c r="Q17" s="15"/>
      <c r="R17" s="14"/>
      <c r="S17" s="31"/>
      <c r="T17" s="13"/>
    </row>
    <row r="18" spans="1:20" s="8" customFormat="1" x14ac:dyDescent="0.25">
      <c r="A18" s="1"/>
      <c r="B18" s="54" t="s">
        <v>14</v>
      </c>
      <c r="C18" s="55"/>
      <c r="D18" s="13"/>
      <c r="F18" s="37"/>
      <c r="G18" s="37"/>
      <c r="H18" s="37"/>
      <c r="I18" s="37"/>
      <c r="J18" s="28"/>
      <c r="K18" s="3"/>
      <c r="L18" s="1"/>
      <c r="M18" s="1"/>
      <c r="N18" s="1"/>
      <c r="O18" s="1"/>
      <c r="P18" s="1"/>
      <c r="Q18" s="1"/>
      <c r="R18" s="4" t="s">
        <v>26</v>
      </c>
      <c r="S18" s="39" t="s">
        <v>15</v>
      </c>
    </row>
    <row r="19" spans="1:20" s="8" customFormat="1" x14ac:dyDescent="0.25">
      <c r="A19" s="1"/>
      <c r="B19" s="50" t="s">
        <v>24</v>
      </c>
      <c r="C19" s="45">
        <f>Tabela174681012142230322681619252731333624210121416182426283038402481012141620222628303234362426810121424610122426244262628262681026286236681012141618202224[[#Totals],[Pedido Inicial]]</f>
        <v>3274.2000000000007</v>
      </c>
      <c r="D19" s="13"/>
      <c r="F19" s="41"/>
      <c r="G19" s="41"/>
      <c r="H19" s="34"/>
      <c r="I19" s="34"/>
      <c r="J19" s="34"/>
      <c r="K19" s="5"/>
      <c r="L19" s="1"/>
      <c r="M19" s="1"/>
      <c r="N19" s="1"/>
      <c r="O19" s="1"/>
      <c r="P19" s="1"/>
      <c r="Q19" s="1"/>
      <c r="R19" s="58" t="s">
        <v>28</v>
      </c>
      <c r="S19" s="59">
        <f>COUNTIF(Tabela174681012142230322681619252731333624210121416182426283038402481012141620222628303234362426810121424610122426244262628262681026286236681012141618202224[Status],Tabela25791113152331333791720262832343735311131517192527293139413591113151721232729313335373537911131535711133537345373739373791137397337791113151719212325[[#This Row],[STATUS]])</f>
        <v>11</v>
      </c>
    </row>
    <row r="20" spans="1:20" s="8" customFormat="1" x14ac:dyDescent="0.25">
      <c r="A20" s="1"/>
      <c r="B20" s="50" t="s">
        <v>25</v>
      </c>
      <c r="C20" s="45">
        <f>Tabela174681012142230322681619252731333624210121416182426283038402481012141620222628303234362426810121424610122426244262628262681026286236681012141618202224[[#Totals],[Pedido Final]]</f>
        <v>3274.2000000000007</v>
      </c>
      <c r="D20" s="13"/>
      <c r="F20" s="41"/>
      <c r="G20" s="41"/>
      <c r="H20" s="34"/>
      <c r="I20" s="34"/>
      <c r="J20" s="34"/>
      <c r="K20" s="5"/>
      <c r="L20" s="1"/>
      <c r="M20" s="1"/>
      <c r="N20" s="1"/>
      <c r="O20" s="1"/>
      <c r="P20" s="1"/>
      <c r="R20" s="58" t="s">
        <v>11</v>
      </c>
      <c r="S20" s="59">
        <f>COUNTIF(Tabela174681012142230322681619252731333624210121416182426283038402481012141620222628303234362426810121424610122426244262628262681026286236681012141618202224[Status],Tabela25791113152331333791720262832343735311131517192527293139413591113151721232729313335373537911131535711133537345373739373791137397337791113151719212325[[#This Row],[STATUS]])</f>
        <v>0</v>
      </c>
    </row>
    <row r="21" spans="1:20" s="8" customFormat="1" x14ac:dyDescent="0.25">
      <c r="A21" s="1"/>
      <c r="B21" s="51" t="str">
        <f>_xlfn.CONCAT("ECONOMIA"," ",ROUND(C21/C19,2)*100,"%")</f>
        <v>ECONOMIA 0%</v>
      </c>
      <c r="C21" s="46">
        <f>SUM(C19-C20)</f>
        <v>0</v>
      </c>
      <c r="D21" s="13"/>
      <c r="F21" s="41"/>
      <c r="G21" s="41"/>
      <c r="H21" s="36"/>
      <c r="I21" s="36"/>
      <c r="J21" s="38"/>
      <c r="K21" s="36"/>
      <c r="L21" s="1"/>
      <c r="M21" s="1"/>
      <c r="N21" s="1"/>
      <c r="O21" s="1"/>
      <c r="P21" s="1"/>
      <c r="Q21" s="35"/>
      <c r="R21" s="58" t="s">
        <v>12</v>
      </c>
      <c r="S21" s="59">
        <f>COUNTIF(Tabela174681012142230322681619252731333624210121416182426283038402481012141620222628303234362426810121424610122426244262628262681026286236681012141618202224[Status],Tabela25791113152331333791720262832343735311131517192527293139413591113151721232729313335373537911131535711133537345373739373791137397337791113151719212325[[#This Row],[STATUS]])</f>
        <v>0</v>
      </c>
    </row>
    <row r="22" spans="1:20" s="8" customFormat="1" x14ac:dyDescent="0.25">
      <c r="A22" s="1"/>
      <c r="B22" s="51" t="e">
        <f>_xlfn.CONCAT("HPOD"," ",ROUND(C22/C21,2)*100,"%")</f>
        <v>#DIV/0!</v>
      </c>
      <c r="C22" s="46">
        <f>C21*12%</f>
        <v>0</v>
      </c>
      <c r="D22" s="13"/>
      <c r="F22" s="41"/>
      <c r="G22" s="41"/>
      <c r="H22" s="36"/>
      <c r="I22" s="36"/>
      <c r="J22" s="38"/>
      <c r="K22" s="36"/>
      <c r="L22" s="1"/>
      <c r="M22" s="1"/>
      <c r="N22" s="1"/>
      <c r="O22" s="1"/>
      <c r="P22" s="1"/>
      <c r="Q22" s="1"/>
      <c r="R22" s="6" t="s">
        <v>27</v>
      </c>
      <c r="S22" s="40">
        <f>SUBTOTAL(109,Tabela25791113152331333791720262832343735311131517192527293139413591113151721232729313335373537911131535711133537345373739373791137397337791113151719212325[Coluna1])</f>
        <v>11</v>
      </c>
    </row>
    <row r="23" spans="1:20" s="8" customFormat="1" x14ac:dyDescent="0.25">
      <c r="A23" s="1"/>
      <c r="B23" s="3"/>
      <c r="C23" s="47"/>
      <c r="D23" s="1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6"/>
    </row>
    <row r="24" spans="1:20" s="8" customFormat="1" x14ac:dyDescent="0.25">
      <c r="A24" s="1"/>
      <c r="B24" s="3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35"/>
      <c r="P24" s="1"/>
      <c r="Q24" s="1"/>
      <c r="R24" s="1"/>
      <c r="S24" s="1"/>
      <c r="T24" s="1"/>
    </row>
    <row r="25" spans="1:20" s="8" customFormat="1" x14ac:dyDescent="0.25">
      <c r="A25" s="26"/>
      <c r="B25" s="12"/>
      <c r="C25" s="12"/>
      <c r="D25" s="12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1"/>
    </row>
    <row r="26" spans="1:20" s="8" customFormat="1" x14ac:dyDescent="0.25">
      <c r="A26" s="26"/>
      <c r="B26" s="12"/>
      <c r="C26" s="12"/>
      <c r="D26" s="12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7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8"/>
      <c r="F28" s="28"/>
      <c r="G28" s="28"/>
      <c r="H28" s="28"/>
      <c r="I28" s="28"/>
      <c r="J28" s="28"/>
      <c r="K28" s="27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8"/>
      <c r="F29" s="28"/>
      <c r="G29" s="28"/>
      <c r="H29" s="28"/>
      <c r="I29" s="28"/>
      <c r="J29" s="28"/>
      <c r="K29" s="27"/>
      <c r="L29" s="26"/>
      <c r="M29" s="26"/>
      <c r="N29" s="26"/>
      <c r="O29" s="26"/>
      <c r="P29" s="29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8"/>
      <c r="F31" s="28"/>
      <c r="G31" s="28"/>
      <c r="H31" s="28"/>
      <c r="I31" s="28"/>
      <c r="J31" s="28"/>
      <c r="K31" s="29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9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26"/>
      <c r="B38" s="12"/>
      <c r="C38" s="12"/>
      <c r="D38" s="12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8" customFormat="1" x14ac:dyDescent="0.25">
      <c r="A39" s="1"/>
      <c r="B39" s="3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6"/>
    </row>
    <row r="40" spans="1:20" s="8" customFormat="1" x14ac:dyDescent="0.25">
      <c r="A40" s="1"/>
      <c r="B40" s="3"/>
      <c r="C40" s="3"/>
      <c r="D40" s="3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8" customFormat="1" x14ac:dyDescent="0.25">
      <c r="A41" s="1"/>
      <c r="B41" s="3"/>
      <c r="C41" s="3"/>
      <c r="D41" s="3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</row>
  </sheetData>
  <mergeCells count="1">
    <mergeCell ref="A2:T2"/>
  </mergeCells>
  <conditionalFormatting sqref="A1:A1048576">
    <cfRule type="duplicateValues" dxfId="44" priority="4"/>
    <cfRule type="duplicateValues" dxfId="43" priority="5"/>
  </conditionalFormatting>
  <conditionalFormatting sqref="B1:B1048576">
    <cfRule type="duplicateValues" dxfId="42" priority="6"/>
  </conditionalFormatting>
  <conditionalFormatting sqref="B19:C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{312B18B1-5D6A-4744-90A3-0A2F85771902}</x14:id>
        </ext>
      </extLst>
    </cfRule>
  </conditionalFormatting>
  <conditionalFormatting sqref="H19:J20 F19:G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{E504090C-4BC8-4E55-BB55-15CC94B11411}</x14:id>
        </ext>
      </extLst>
    </cfRule>
  </conditionalFormatting>
  <conditionalFormatting sqref="R19:S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{80C18062-6FD8-46BA-99DE-C87CCA647D07}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2B18B1-5D6A-4744-90A3-0A2F857719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B19:C22</xm:sqref>
        </x14:conditionalFormatting>
        <x14:conditionalFormatting xmlns:xm="http://schemas.microsoft.com/office/excel/2006/main">
          <x14:cfRule type="dataBar" id="{E504090C-4BC8-4E55-BB55-15CC94B11411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H19:J20 F19:G22</xm:sqref>
        </x14:conditionalFormatting>
        <x14:conditionalFormatting xmlns:xm="http://schemas.microsoft.com/office/excel/2006/main">
          <x14:cfRule type="dataBar" id="{80C18062-6FD8-46BA-99DE-C87CCA647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R19:S21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BF77-24B8-4E24-896D-CB66AE157DB6}">
  <sheetPr>
    <pageSetUpPr fitToPage="1"/>
  </sheetPr>
  <dimension ref="A1:BG40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8.7109375" style="3" bestFit="1" customWidth="1"/>
    <col min="3" max="3" width="16.140625" style="3" bestFit="1" customWidth="1"/>
    <col min="4" max="4" width="23.855468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80036</v>
      </c>
      <c r="B4" s="30" t="s">
        <v>1204</v>
      </c>
      <c r="C4" s="20" t="s">
        <v>647</v>
      </c>
      <c r="D4" s="20" t="s">
        <v>722</v>
      </c>
      <c r="E4" s="20" t="s">
        <v>3000</v>
      </c>
      <c r="F4" s="20" t="s">
        <v>3001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4" s="19">
        <f>Tabela1746810121422303226816192527313336242101214161824262830384024810121416202226283032343624268101214246101224262442626282626810262862366810121416182022242[[#This Row],[Uso diário]]*2</f>
        <v>37.6</v>
      </c>
      <c r="O4" s="19">
        <f>Tabela1746810121422303226816192527313336242101214161824262830384024810121416202226283032343624268101214246101224262442626282626810262862366810121416182022242[[#This Row],[Total Acumulado]]-P4</f>
        <v>-94</v>
      </c>
      <c r="P4" s="48">
        <f>Tabela1746810121422303226816192527313336242101214161824262830384024810121416202226283032343624268101214246101224262442626282626810262862366810121416182022242[[#This Row],[Uso diário]]*5</f>
        <v>94</v>
      </c>
      <c r="Q4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4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488.8</v>
      </c>
      <c r="S4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4" s="25">
        <v>11</v>
      </c>
    </row>
    <row r="5" spans="1:59" s="26" customFormat="1" x14ac:dyDescent="0.25">
      <c r="A5" s="16">
        <v>223368</v>
      </c>
      <c r="B5" s="30" t="s">
        <v>1470</v>
      </c>
      <c r="C5" s="20" t="s">
        <v>630</v>
      </c>
      <c r="D5" s="20" t="s">
        <v>736</v>
      </c>
      <c r="E5" s="20" t="s">
        <v>3002</v>
      </c>
      <c r="F5" s="20" t="s">
        <v>3003</v>
      </c>
      <c r="G5" s="21">
        <v>25.5</v>
      </c>
      <c r="H5" s="16">
        <v>22</v>
      </c>
      <c r="I5" s="16"/>
      <c r="J5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561</v>
      </c>
      <c r="K5" s="22"/>
      <c r="L5" s="23"/>
      <c r="M5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5" s="19">
        <f>Tabela1746810121422303226816192527313336242101214161824262830384024810121416202226283032343624268101214246101224262442626282626810262862366810121416182022242[[#This Row],[Uso diário]]*2</f>
        <v>51</v>
      </c>
      <c r="O5" s="19">
        <f>Tabela1746810121422303226816192527313336242101214161824262830384024810121416202226283032343624268101214246101224262442626282626810262862366810121416182022242[[#This Row],[Total Acumulado]]-P5</f>
        <v>-127.5</v>
      </c>
      <c r="P5" s="48">
        <f>Tabela1746810121422303226816192527313336242101214161824262830384024810121416202226283032343624268101214246101224262442626282626810262862366810121416182022242[[#This Row],[Uso diário]]*5</f>
        <v>127.5</v>
      </c>
      <c r="Q5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5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561</v>
      </c>
      <c r="S5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5" s="25">
        <v>11</v>
      </c>
    </row>
    <row r="6" spans="1:59" s="26" customFormat="1" ht="22.5" x14ac:dyDescent="0.25">
      <c r="A6" s="16">
        <v>235096</v>
      </c>
      <c r="B6" s="30" t="s">
        <v>1471</v>
      </c>
      <c r="C6" s="20" t="s">
        <v>650</v>
      </c>
      <c r="D6" s="20" t="s">
        <v>726</v>
      </c>
      <c r="E6" s="20">
        <v>0</v>
      </c>
      <c r="F6" s="20" t="s">
        <v>4181</v>
      </c>
      <c r="G6" s="21">
        <v>10</v>
      </c>
      <c r="H6" s="16">
        <v>0</v>
      </c>
      <c r="I6" s="16"/>
      <c r="J6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0</v>
      </c>
      <c r="K6" s="22"/>
      <c r="L6" s="23"/>
      <c r="M6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6" s="19">
        <f>Tabela1746810121422303226816192527313336242101214161824262830384024810121416202226283032343624268101214246101224262442626282626810262862366810121416182022242[[#This Row],[Uso diário]]*2</f>
        <v>20</v>
      </c>
      <c r="O6" s="19">
        <f>Tabela1746810121422303226816192527313336242101214161824262830384024810121416202226283032343624268101214246101224262442626282626810262862366810121416182022242[[#This Row],[Total Acumulado]]-P6</f>
        <v>-50</v>
      </c>
      <c r="P6" s="48">
        <f>Tabela1746810121422303226816192527313336242101214161824262830384024810121416202226283032343624268101214246101224262442626282626810262862366810121416182022242[[#This Row],[Uso diário]]*5</f>
        <v>50</v>
      </c>
      <c r="Q6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6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0</v>
      </c>
      <c r="S6" s="18" t="str">
        <f>IF(Tabela1746810121422303226816192527313336242101214161824262830384024810121416202226283032343624268101214246101224262442626282626810262862366810121416182022242[[#This Row],[Pedido Final]]=0,"NÃO EFETUAR RECARGA","RECARGA NORMAL")</f>
        <v>NÃO EFETUAR RECARGA</v>
      </c>
      <c r="T6" s="25">
        <v>11</v>
      </c>
    </row>
    <row r="7" spans="1:59" s="26" customFormat="1" x14ac:dyDescent="0.25">
      <c r="A7" s="16">
        <v>223943</v>
      </c>
      <c r="B7" s="30" t="s">
        <v>363</v>
      </c>
      <c r="C7" s="20" t="s">
        <v>651</v>
      </c>
      <c r="D7" s="20" t="s">
        <v>719</v>
      </c>
      <c r="E7" s="20" t="s">
        <v>3004</v>
      </c>
      <c r="F7" s="20" t="s">
        <v>3005</v>
      </c>
      <c r="G7" s="21">
        <v>10</v>
      </c>
      <c r="H7" s="16">
        <v>16</v>
      </c>
      <c r="I7" s="16"/>
      <c r="J7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160</v>
      </c>
      <c r="K7" s="22"/>
      <c r="L7" s="23"/>
      <c r="M7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7" s="19">
        <f>Tabela1746810121422303226816192527313336242101214161824262830384024810121416202226283032343624268101214246101224262442626282626810262862366810121416182022242[[#This Row],[Uso diário]]*2</f>
        <v>20</v>
      </c>
      <c r="O7" s="19">
        <f>Tabela1746810121422303226816192527313336242101214161824262830384024810121416202226283032343624268101214246101224262442626282626810262862366810121416182022242[[#This Row],[Total Acumulado]]-P7</f>
        <v>-50</v>
      </c>
      <c r="P7" s="48">
        <f>Tabela1746810121422303226816192527313336242101214161824262830384024810121416202226283032343624268101214246101224262442626282626810262862366810121416182022242[[#This Row],[Uso diário]]*5</f>
        <v>50</v>
      </c>
      <c r="Q7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7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160</v>
      </c>
      <c r="S7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7" s="25">
        <v>11</v>
      </c>
    </row>
    <row r="8" spans="1:59" s="26" customFormat="1" x14ac:dyDescent="0.25">
      <c r="A8" s="16">
        <v>232086</v>
      </c>
      <c r="B8" s="30" t="s">
        <v>833</v>
      </c>
      <c r="C8" s="20" t="s">
        <v>651</v>
      </c>
      <c r="D8" s="20" t="s">
        <v>716</v>
      </c>
      <c r="E8" s="20" t="s">
        <v>3006</v>
      </c>
      <c r="F8" s="20" t="s">
        <v>3007</v>
      </c>
      <c r="G8" s="21">
        <v>10</v>
      </c>
      <c r="H8" s="16">
        <v>16</v>
      </c>
      <c r="I8" s="16">
        <v>1</v>
      </c>
      <c r="J8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150</v>
      </c>
      <c r="K8" s="22"/>
      <c r="L8" s="23"/>
      <c r="M8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8" s="19">
        <f>Tabela1746810121422303226816192527313336242101214161824262830384024810121416202226283032343624268101214246101224262442626282626810262862366810121416182022242[[#This Row],[Uso diário]]*2</f>
        <v>20</v>
      </c>
      <c r="O8" s="19">
        <f>Tabela1746810121422303226816192527313336242101214161824262830384024810121416202226283032343624268101214246101224262442626282626810262862366810121416182022242[[#This Row],[Total Acumulado]]-P8</f>
        <v>-50</v>
      </c>
      <c r="P8" s="48">
        <f>Tabela1746810121422303226816192527313336242101214161824262830384024810121416202226283032343624268101214246101224262442626282626810262862366810121416182022242[[#This Row],[Uso diário]]*5</f>
        <v>50</v>
      </c>
      <c r="Q8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8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150</v>
      </c>
      <c r="S8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8" s="25">
        <v>11</v>
      </c>
    </row>
    <row r="9" spans="1:59" s="26" customFormat="1" x14ac:dyDescent="0.25">
      <c r="A9" s="16">
        <v>214801</v>
      </c>
      <c r="B9" s="30" t="s">
        <v>792</v>
      </c>
      <c r="C9" s="20" t="s">
        <v>652</v>
      </c>
      <c r="D9" s="20" t="s">
        <v>728</v>
      </c>
      <c r="E9" s="20" t="s">
        <v>3008</v>
      </c>
      <c r="F9" s="20" t="s">
        <v>3009</v>
      </c>
      <c r="G9" s="21">
        <v>44.1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1146.6000000000001</v>
      </c>
      <c r="K9" s="22"/>
      <c r="L9" s="23"/>
      <c r="M9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9" s="19">
        <f>Tabela1746810121422303226816192527313336242101214161824262830384024810121416202226283032343624268101214246101224262442626282626810262862366810121416182022242[[#This Row],[Uso diário]]*2</f>
        <v>88.2</v>
      </c>
      <c r="O9" s="19">
        <f>Tabela1746810121422303226816192527313336242101214161824262830384024810121416202226283032343624268101214246101224262442626282626810262862366810121416182022242[[#This Row],[Total Acumulado]]-P9</f>
        <v>-220.5</v>
      </c>
      <c r="P9" s="48">
        <f>Tabela1746810121422303226816192527313336242101214161824262830384024810121416202226283032343624268101214246101224262442626282626810262862366810121416182022242[[#This Row],[Uso diário]]*5</f>
        <v>220.5</v>
      </c>
      <c r="Q9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9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1146.6000000000001</v>
      </c>
      <c r="S9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9" s="25">
        <v>11</v>
      </c>
    </row>
    <row r="10" spans="1:59" s="26" customFormat="1" x14ac:dyDescent="0.25">
      <c r="A10" s="16">
        <v>218636</v>
      </c>
      <c r="B10" s="30" t="s">
        <v>1323</v>
      </c>
      <c r="C10" s="20" t="s">
        <v>635</v>
      </c>
      <c r="D10" s="20" t="s">
        <v>689</v>
      </c>
      <c r="E10" s="20" t="s">
        <v>3010</v>
      </c>
      <c r="F10" s="20" t="s">
        <v>3011</v>
      </c>
      <c r="G10" s="21">
        <v>18.8</v>
      </c>
      <c r="H10" s="16">
        <v>22</v>
      </c>
      <c r="I10" s="16"/>
      <c r="J10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413.6</v>
      </c>
      <c r="K10" s="22"/>
      <c r="L10" s="23"/>
      <c r="M10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10" s="19">
        <f>Tabela1746810121422303226816192527313336242101214161824262830384024810121416202226283032343624268101214246101224262442626282626810262862366810121416182022242[[#This Row],[Uso diário]]*2</f>
        <v>37.6</v>
      </c>
      <c r="O10" s="19">
        <f>Tabela1746810121422303226816192527313336242101214161824262830384024810121416202226283032343624268101214246101224262442626282626810262862366810121416182022242[[#This Row],[Total Acumulado]]-P10</f>
        <v>-94</v>
      </c>
      <c r="P10" s="48">
        <f>Tabela1746810121422303226816192527313336242101214161824262830384024810121416202226283032343624268101214246101224262442626282626810262862366810121416182022242[[#This Row],[Uso diário]]*5</f>
        <v>94</v>
      </c>
      <c r="Q10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10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413.6</v>
      </c>
      <c r="S10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10" s="25">
        <v>11</v>
      </c>
    </row>
    <row r="11" spans="1:59" s="26" customFormat="1" x14ac:dyDescent="0.25">
      <c r="A11" s="16">
        <v>221555</v>
      </c>
      <c r="B11" s="30" t="s">
        <v>1088</v>
      </c>
      <c r="C11" s="20" t="s">
        <v>654</v>
      </c>
      <c r="D11" s="20" t="s">
        <v>745</v>
      </c>
      <c r="E11" s="20" t="s">
        <v>3012</v>
      </c>
      <c r="F11" s="20" t="s">
        <v>3013</v>
      </c>
      <c r="G11" s="21">
        <v>10</v>
      </c>
      <c r="H11" s="16">
        <v>29</v>
      </c>
      <c r="I11" s="16"/>
      <c r="J11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290</v>
      </c>
      <c r="K11" s="22"/>
      <c r="L11" s="23"/>
      <c r="M11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11" s="19">
        <f>Tabela1746810121422303226816192527313336242101214161824262830384024810121416202226283032343624268101214246101224262442626282626810262862366810121416182022242[[#This Row],[Uso diário]]*2</f>
        <v>20</v>
      </c>
      <c r="O11" s="19">
        <f>Tabela1746810121422303226816192527313336242101214161824262830384024810121416202226283032343624268101214246101224262442626282626810262862366810121416182022242[[#This Row],[Total Acumulado]]-P11</f>
        <v>-50</v>
      </c>
      <c r="P11" s="48">
        <f>Tabela1746810121422303226816192527313336242101214161824262830384024810121416202226283032343624268101214246101224262442626282626810262862366810121416182022242[[#This Row],[Uso diário]]*5</f>
        <v>50</v>
      </c>
      <c r="Q11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11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290</v>
      </c>
      <c r="S11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11" s="25">
        <v>11</v>
      </c>
    </row>
    <row r="12" spans="1:59" s="26" customFormat="1" x14ac:dyDescent="0.25">
      <c r="A12" s="16">
        <v>234854</v>
      </c>
      <c r="B12" s="30" t="s">
        <v>1472</v>
      </c>
      <c r="C12" s="20" t="s">
        <v>641</v>
      </c>
      <c r="D12" s="20" t="s">
        <v>704</v>
      </c>
      <c r="E12" s="20" t="s">
        <v>3014</v>
      </c>
      <c r="F12" s="20" t="s">
        <v>3015</v>
      </c>
      <c r="G12" s="21">
        <v>10</v>
      </c>
      <c r="H12" s="16">
        <v>26</v>
      </c>
      <c r="I12" s="16">
        <v>2</v>
      </c>
      <c r="J12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240</v>
      </c>
      <c r="K12" s="22"/>
      <c r="L12" s="23">
        <v>50</v>
      </c>
      <c r="M12" s="23">
        <f>SUM(Tabela1746810121422303226816192527313336242101214161824262830384024810121416202226283032343624268101214246101224262442626282626810262862366810121416182022242[[#This Row],[Saldo no cartão]:[Recarga Pendente]])</f>
        <v>50</v>
      </c>
      <c r="N12" s="19">
        <f>Tabela1746810121422303226816192527313336242101214161824262830384024810121416202226283032343624268101214246101224262442626282626810262862366810121416182022242[[#This Row],[Uso diário]]*2</f>
        <v>20</v>
      </c>
      <c r="O12" s="19">
        <f>Tabela1746810121422303226816192527313336242101214161824262830384024810121416202226283032343624268101214246101224262442626282626810262862366810121416182022242[[#This Row],[Total Acumulado]]-P12</f>
        <v>0</v>
      </c>
      <c r="P12" s="48">
        <f>Tabela1746810121422303226816192527313336242101214161824262830384024810121416202226283032343624268101214246101224262442626282626810262862366810121416182022242[[#This Row],[Uso diário]]*5</f>
        <v>50</v>
      </c>
      <c r="Q12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12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240</v>
      </c>
      <c r="S12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12" s="25">
        <v>11</v>
      </c>
    </row>
    <row r="13" spans="1:59" s="26" customFormat="1" x14ac:dyDescent="0.25">
      <c r="A13" s="16">
        <v>234855</v>
      </c>
      <c r="B13" s="30" t="s">
        <v>1473</v>
      </c>
      <c r="C13" s="20" t="s">
        <v>641</v>
      </c>
      <c r="D13" s="20" t="s">
        <v>704</v>
      </c>
      <c r="E13" s="20" t="s">
        <v>3016</v>
      </c>
      <c r="F13" s="20" t="s">
        <v>3017</v>
      </c>
      <c r="G13" s="21">
        <v>10</v>
      </c>
      <c r="H13" s="16">
        <v>26</v>
      </c>
      <c r="I13" s="16">
        <v>1</v>
      </c>
      <c r="J13" s="17">
        <f>(Tabela1746810121422303226816192527313336242101214161824262830384024810121416202226283032343624268101214246101224262442626282626810262862366810121416182022242[[#This Row],[D]]-Tabela1746810121422303226816192527313336242101214161824262830384024810121416202226283032343624268101214246101224262442626282626810262862366810121416182022242[[#This Row],[F]])*Tabela1746810121422303226816192527313336242101214161824262830384024810121416202226283032343624268101214246101224262442626282626810262862366810121416182022242[[#This Row],[Uso diário]]</f>
        <v>250</v>
      </c>
      <c r="K13" s="22"/>
      <c r="L13" s="23"/>
      <c r="M13" s="23">
        <f>SUM(Tabela1746810121422303226816192527313336242101214161824262830384024810121416202226283032343624268101214246101224262442626282626810262862366810121416182022242[[#This Row],[Saldo no cartão]:[Recarga Pendente]])</f>
        <v>0</v>
      </c>
      <c r="N13" s="19">
        <f>Tabela1746810121422303226816192527313336242101214161824262830384024810121416202226283032343624268101214246101224262442626282626810262862366810121416182022242[[#This Row],[Uso diário]]*2</f>
        <v>20</v>
      </c>
      <c r="O13" s="19">
        <f>Tabela1746810121422303226816192527313336242101214161824262830384024810121416202226283032343624268101214246101224262442626282626810262862366810121416182022242[[#This Row],[Total Acumulado]]-P13</f>
        <v>-50</v>
      </c>
      <c r="P13" s="48">
        <f>Tabela1746810121422303226816192527313336242101214161824262830384024810121416202226283032343624268101214246101224262442626282626810262862366810121416182022242[[#This Row],[Uso diário]]*5</f>
        <v>50</v>
      </c>
      <c r="Q13" s="17">
        <f>IF(Tabela1746810121422303226816192527313336242101214161824262830384024810121416202226283032343624268101214246101224262442626282626810262862366810121416182022242[[#This Row],[acumulo]]&lt;Tabela1746810121422303226816192527313336242101214161824262830384024810121416202226283032343624268101214246101224262442626282626810262862366810121416182022242[[#This Row],[acumulo minimo]],0,Tabela1746810121422303226816192527313336242101214161824262830384024810121416202226283032343624268101214246101224262442626282626810262862366810121416182022242[[#This Row],[acumulo]])</f>
        <v>0</v>
      </c>
      <c r="R13" s="24">
        <f>IF(Tabela1746810121422303226816192527313336242101214161824262830384024810121416202226283032343624268101214246101224262442626282626810262862366810121416182022242[[#This Row],[Valor economizado]]&gt;Tabela1746810121422303226816192527313336242101214161824262830384024810121416202226283032343624268101214246101224262442626282626810262862366810121416182022242[[#This Row],[Pedido Inicial]],0,Tabela1746810121422303226816192527313336242101214161824262830384024810121416202226283032343624268101214246101224262442626282626810262862366810121416182022242[[#This Row],[Pedido Inicial]]-Tabela1746810121422303226816192527313336242101214161824262830384024810121416202226283032343624268101214246101224262442626282626810262862366810121416182022242[[#This Row],[Valor economizado]])</f>
        <v>250</v>
      </c>
      <c r="S13" s="18" t="str">
        <f>IF(Tabela1746810121422303226816192527313336242101214161824262830384024810121416202226283032343624268101214246101224262442626282626810262862366810121416182022242[[#This Row],[Pedido Final]]=0,"NÃO EFETUAR RECARGA","RECARGA NORMAL")</f>
        <v>RECARGA NORMAL</v>
      </c>
      <c r="T13" s="25">
        <v>11</v>
      </c>
    </row>
    <row r="14" spans="1:59" s="8" customFormat="1" x14ac:dyDescent="0.25">
      <c r="A14" s="13" t="s">
        <v>13</v>
      </c>
      <c r="B14" s="13"/>
      <c r="C14" s="13"/>
      <c r="D14" s="13"/>
      <c r="E14" s="20"/>
      <c r="F14" s="20"/>
      <c r="G14" s="33"/>
      <c r="H14" s="13"/>
      <c r="I14" s="13"/>
      <c r="J14" s="14">
        <f>SUBTOTAL(109,Tabela1746810121422303226816192527313336242101214161824262830384024810121416202226283032343624268101214246101224262442626282626810262862366810121416182022242[Pedido Inicial])</f>
        <v>3700</v>
      </c>
      <c r="K14" s="15"/>
      <c r="L14" s="15"/>
      <c r="M14" s="15"/>
      <c r="N14" s="15"/>
      <c r="O14" s="15"/>
      <c r="P14" s="15"/>
      <c r="Q14" s="15"/>
      <c r="R14" s="14">
        <f>SUBTOTAL(109,Tabela1746810121422303226816192527313336242101214161824262830384024810121416202226283032343624268101214246101224262442626282626810262862366810121416182022242[Pedido Final])</f>
        <v>3700</v>
      </c>
      <c r="S14" s="31">
        <f>SUBTOTAL(103,Tabela1746810121422303226816192527313336242101214161824262830384024810121416202226283032343624268101214246101224262442626282626810262862366810121416182022242[Status])</f>
        <v>10</v>
      </c>
      <c r="T14" s="13"/>
    </row>
    <row r="15" spans="1:59" s="8" customFormat="1" x14ac:dyDescent="0.25">
      <c r="A15" s="13"/>
      <c r="B15" s="13"/>
      <c r="C15" s="13"/>
      <c r="D15" s="13"/>
      <c r="E15" s="20"/>
      <c r="F15" s="20"/>
      <c r="G15" s="33"/>
      <c r="H15" s="13"/>
      <c r="I15" s="13"/>
      <c r="J15" s="14"/>
      <c r="K15" s="15"/>
      <c r="L15" s="15"/>
      <c r="M15" s="15"/>
      <c r="N15" s="15"/>
      <c r="O15" s="15"/>
      <c r="P15" s="15"/>
      <c r="Q15" s="15"/>
      <c r="R15" s="14"/>
      <c r="S15" s="31"/>
      <c r="T15" s="13"/>
    </row>
    <row r="16" spans="1:59" s="8" customFormat="1" x14ac:dyDescent="0.25">
      <c r="A16" s="13"/>
      <c r="B16" s="13"/>
      <c r="C16" s="13"/>
      <c r="D16" s="13"/>
      <c r="E16" s="20"/>
      <c r="F16" s="20"/>
      <c r="G16" s="33"/>
      <c r="H16" s="13"/>
      <c r="I16" s="13"/>
      <c r="J16" s="14"/>
      <c r="K16" s="15"/>
      <c r="L16" s="15"/>
      <c r="M16" s="15"/>
      <c r="N16" s="15"/>
      <c r="O16" s="15"/>
      <c r="P16" s="15"/>
      <c r="Q16" s="15"/>
      <c r="R16" s="14"/>
      <c r="S16" s="31"/>
      <c r="T16" s="13"/>
    </row>
    <row r="17" spans="1:20" s="8" customFormat="1" x14ac:dyDescent="0.25">
      <c r="A17" s="1"/>
      <c r="B17" s="54" t="s">
        <v>14</v>
      </c>
      <c r="C17" s="55"/>
      <c r="D17" s="13"/>
      <c r="F17" s="37"/>
      <c r="G17" s="37"/>
      <c r="H17" s="37"/>
      <c r="I17" s="37"/>
      <c r="J17" s="28"/>
      <c r="K17" s="3"/>
      <c r="L17" s="1"/>
      <c r="M17" s="1"/>
      <c r="N17" s="1"/>
      <c r="O17" s="1"/>
      <c r="P17" s="1"/>
      <c r="Q17" s="1"/>
      <c r="R17" s="4" t="s">
        <v>26</v>
      </c>
      <c r="S17" s="39" t="s">
        <v>15</v>
      </c>
    </row>
    <row r="18" spans="1:20" s="8" customFormat="1" x14ac:dyDescent="0.25">
      <c r="A18" s="1"/>
      <c r="B18" s="50" t="s">
        <v>24</v>
      </c>
      <c r="C18" s="45">
        <f>Tabela1746810121422303226816192527313336242101214161824262830384024810121416202226283032343624268101214246101224262442626282626810262862366810121416182022242[[#Totals],[Pedido Inicial]]</f>
        <v>3700</v>
      </c>
      <c r="D18" s="13"/>
      <c r="F18" s="41"/>
      <c r="G18" s="41"/>
      <c r="H18" s="34"/>
      <c r="I18" s="34"/>
      <c r="J18" s="34"/>
      <c r="K18" s="5"/>
      <c r="L18" s="1"/>
      <c r="M18" s="1"/>
      <c r="N18" s="1"/>
      <c r="O18" s="1"/>
      <c r="P18" s="1"/>
      <c r="Q18" s="1"/>
      <c r="R18" s="58" t="s">
        <v>28</v>
      </c>
      <c r="S18" s="59">
        <f>COUNTIF(Tabela1746810121422303226816192527313336242101214161824262830384024810121416202226283032343624268101214246101224262442626282626810262862366810121416182022242[Status],Tabela257911131523313337917202628323437353111315171925272931394135911131517212327293133353735379111315357111335373453737393737911373973377911131517192123253[[#This Row],[STATUS]])</f>
        <v>9</v>
      </c>
    </row>
    <row r="19" spans="1:20" s="8" customFormat="1" x14ac:dyDescent="0.25">
      <c r="A19" s="1"/>
      <c r="B19" s="50" t="s">
        <v>25</v>
      </c>
      <c r="C19" s="45">
        <f>Tabela1746810121422303226816192527313336242101214161824262830384024810121416202226283032343624268101214246101224262442626282626810262862366810121416182022242[[#Totals],[Pedido Final]]</f>
        <v>3700</v>
      </c>
      <c r="D19" s="13"/>
      <c r="F19" s="41"/>
      <c r="G19" s="41"/>
      <c r="H19" s="34"/>
      <c r="I19" s="34"/>
      <c r="J19" s="34"/>
      <c r="K19" s="5"/>
      <c r="L19" s="1"/>
      <c r="M19" s="1"/>
      <c r="N19" s="1"/>
      <c r="O19" s="1"/>
      <c r="P19" s="1"/>
      <c r="R19" s="58" t="s">
        <v>11</v>
      </c>
      <c r="S19" s="59">
        <f>COUNTIF(Tabela1746810121422303226816192527313336242101214161824262830384024810121416202226283032343624268101214246101224262442626282626810262862366810121416182022242[Status],Tabela257911131523313337917202628323437353111315171925272931394135911131517212327293133353735379111315357111335373453737393737911373973377911131517192123253[[#This Row],[STATUS]])</f>
        <v>0</v>
      </c>
    </row>
    <row r="20" spans="1:20" s="8" customFormat="1" x14ac:dyDescent="0.25">
      <c r="A20" s="1"/>
      <c r="B20" s="51" t="str">
        <f>_xlfn.CONCAT("ECONOMIA"," ",ROUND(C20/C18,2)*100,"%")</f>
        <v>ECONOMIA 0%</v>
      </c>
      <c r="C20" s="46">
        <f>SUM(C18-C19)</f>
        <v>0</v>
      </c>
      <c r="D20" s="13"/>
      <c r="F20" s="41"/>
      <c r="G20" s="41"/>
      <c r="H20" s="36"/>
      <c r="I20" s="36"/>
      <c r="J20" s="38"/>
      <c r="K20" s="36"/>
      <c r="L20" s="1"/>
      <c r="M20" s="1"/>
      <c r="N20" s="1"/>
      <c r="O20" s="1"/>
      <c r="P20" s="1"/>
      <c r="Q20" s="35"/>
      <c r="R20" s="58" t="s">
        <v>12</v>
      </c>
      <c r="S20" s="59">
        <f>COUNTIF(Tabela1746810121422303226816192527313336242101214161824262830384024810121416202226283032343624268101214246101224262442626282626810262862366810121416182022242[Status],Tabela257911131523313337917202628323437353111315171925272931394135911131517212327293133353735379111315357111335373453737393737911373973377911131517192123253[[#This Row],[STATUS]])</f>
        <v>1</v>
      </c>
    </row>
    <row r="21" spans="1:20" s="8" customFormat="1" x14ac:dyDescent="0.25">
      <c r="A21" s="1"/>
      <c r="B21" s="51" t="e">
        <f>_xlfn.CONCAT("HPOD"," ",ROUND(C21/C20,2)*100,"%")</f>
        <v>#DIV/0!</v>
      </c>
      <c r="C21" s="46">
        <f>C20*12%</f>
        <v>0</v>
      </c>
      <c r="D21" s="13"/>
      <c r="F21" s="41"/>
      <c r="G21" s="41"/>
      <c r="H21" s="36"/>
      <c r="I21" s="36"/>
      <c r="J21" s="38"/>
      <c r="K21" s="36"/>
      <c r="L21" s="1"/>
      <c r="M21" s="1"/>
      <c r="N21" s="1"/>
      <c r="O21" s="1"/>
      <c r="P21" s="1"/>
      <c r="Q21" s="1"/>
      <c r="R21" s="6" t="s">
        <v>27</v>
      </c>
      <c r="S21" s="40">
        <f>SUBTOTAL(109,Tabela257911131523313337917202628323437353111315171925272931394135911131517212327293133353735379111315357111335373453737393737911373973377911131517192123253[Coluna1])</f>
        <v>10</v>
      </c>
    </row>
    <row r="22" spans="1:20" s="8" customFormat="1" x14ac:dyDescent="0.25">
      <c r="A22" s="1"/>
      <c r="B22" s="3"/>
      <c r="C22" s="47"/>
      <c r="D22" s="1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6"/>
    </row>
    <row r="23" spans="1:20" s="8" customFormat="1" x14ac:dyDescent="0.25">
      <c r="A23" s="1"/>
      <c r="B23" s="3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35"/>
      <c r="P23" s="1"/>
      <c r="Q23" s="1"/>
      <c r="R23" s="1"/>
      <c r="S23" s="1"/>
      <c r="T23" s="1"/>
    </row>
    <row r="24" spans="1:20" s="8" customFormat="1" x14ac:dyDescent="0.25">
      <c r="A24" s="26"/>
      <c r="B24" s="12"/>
      <c r="C24" s="12"/>
      <c r="D24" s="12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1"/>
    </row>
    <row r="25" spans="1:20" s="8" customFormat="1" x14ac:dyDescent="0.25">
      <c r="A25" s="26"/>
      <c r="B25" s="12"/>
      <c r="C25" s="12"/>
      <c r="D25" s="12"/>
      <c r="E25" s="27"/>
      <c r="F25" s="27"/>
      <c r="G25" s="27"/>
      <c r="H25" s="27"/>
      <c r="I25" s="27"/>
      <c r="J25" s="27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8"/>
      <c r="F26" s="28"/>
      <c r="G26" s="28"/>
      <c r="H26" s="28"/>
      <c r="I26" s="28"/>
      <c r="J26" s="28"/>
      <c r="K26" s="27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7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8"/>
      <c r="F28" s="28"/>
      <c r="G28" s="28"/>
      <c r="H28" s="28"/>
      <c r="I28" s="28"/>
      <c r="J28" s="28"/>
      <c r="K28" s="27"/>
      <c r="L28" s="26"/>
      <c r="M28" s="26"/>
      <c r="N28" s="26"/>
      <c r="O28" s="26"/>
      <c r="P28" s="29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6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8"/>
      <c r="F30" s="28"/>
      <c r="G30" s="28"/>
      <c r="H30" s="28"/>
      <c r="I30" s="28"/>
      <c r="J30" s="28"/>
      <c r="K30" s="29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9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1"/>
      <c r="B38" s="3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6"/>
    </row>
    <row r="39" spans="1:20" s="8" customFormat="1" x14ac:dyDescent="0.25">
      <c r="A39" s="1"/>
      <c r="B39" s="3"/>
      <c r="C39" s="3"/>
      <c r="D39" s="3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8" customFormat="1" x14ac:dyDescent="0.25">
      <c r="A40" s="1"/>
      <c r="B40" s="3"/>
      <c r="C40" s="3"/>
      <c r="D40" s="3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</row>
  </sheetData>
  <mergeCells count="1">
    <mergeCell ref="A2:T2"/>
  </mergeCells>
  <conditionalFormatting sqref="A1:A1048576">
    <cfRule type="duplicateValues" dxfId="41" priority="4"/>
    <cfRule type="duplicateValues" dxfId="40" priority="5"/>
  </conditionalFormatting>
  <conditionalFormatting sqref="B1:B1048576">
    <cfRule type="duplicateValues" dxfId="39" priority="6"/>
  </conditionalFormatting>
  <conditionalFormatting sqref="B18:C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{5C77B3C2-C2A9-418F-BDBA-C6C463689F14}</x14:id>
        </ext>
      </extLst>
    </cfRule>
  </conditionalFormatting>
  <conditionalFormatting sqref="H18:J19 F18:G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{878801B9-AD86-4CF2-954E-496EA14A9BB6}</x14:id>
        </ext>
      </extLst>
    </cfRule>
  </conditionalFormatting>
  <conditionalFormatting sqref="R18:S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{04EE8A8C-DA28-4865-B194-EC6452BB167F}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77B3C2-C2A9-418F-BDBA-C6C463689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B18:C21</xm:sqref>
        </x14:conditionalFormatting>
        <x14:conditionalFormatting xmlns:xm="http://schemas.microsoft.com/office/excel/2006/main">
          <x14:cfRule type="dataBar" id="{878801B9-AD86-4CF2-954E-496EA14A9BB6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H18:J19 F18:G21</xm:sqref>
        </x14:conditionalFormatting>
        <x14:conditionalFormatting xmlns:xm="http://schemas.microsoft.com/office/excel/2006/main">
          <x14:cfRule type="dataBar" id="{04EE8A8C-DA28-4865-B194-EC6452BB16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R18:S20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A098-B21A-4832-8854-E2ED475D1132}">
  <sheetPr>
    <pageSetUpPr fitToPage="1"/>
  </sheetPr>
  <dimension ref="A1:BG38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9.140625" style="3" bestFit="1" customWidth="1"/>
    <col min="3" max="3" width="9.7109375" style="3" bestFit="1" customWidth="1"/>
    <col min="4" max="4" width="19.855468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211129</v>
      </c>
      <c r="B4" s="30" t="s">
        <v>364</v>
      </c>
      <c r="C4" s="20" t="s">
        <v>629</v>
      </c>
      <c r="D4" s="20" t="s">
        <v>682</v>
      </c>
      <c r="E4" s="20" t="s">
        <v>3018</v>
      </c>
      <c r="F4" s="20" t="s">
        <v>3019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4" s="19">
        <f>Tabela17468101214223032268161925273133362421012141618242628303840248101214162022262830323436242681012142461012242624426262826268102628623668101214161820222424[[#This Row],[Uso diário]]*2</f>
        <v>37.6</v>
      </c>
      <c r="O4" s="19">
        <f>Tabela17468101214223032268161925273133362421012141618242628303840248101214162022262830323436242681012142461012242624426262826268102628623668101214161820222424[[#This Row],[Total Acumulado]]-P4</f>
        <v>-94</v>
      </c>
      <c r="P4" s="48">
        <f>Tabela17468101214223032268161925273133362421012141618242628303840248101214162022262830323436242681012142461012242624426262826268102628623668101214161820222424[[#This Row],[Uso diário]]*5</f>
        <v>94</v>
      </c>
      <c r="Q4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4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488.8</v>
      </c>
      <c r="S4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4" s="25">
        <v>12</v>
      </c>
    </row>
    <row r="5" spans="1:59" s="26" customFormat="1" x14ac:dyDescent="0.25">
      <c r="A5" s="16">
        <v>211835</v>
      </c>
      <c r="B5" s="30" t="s">
        <v>366</v>
      </c>
      <c r="C5" s="20" t="s">
        <v>648</v>
      </c>
      <c r="D5" s="20" t="s">
        <v>718</v>
      </c>
      <c r="E5" s="20" t="s">
        <v>3020</v>
      </c>
      <c r="F5" s="20" t="s">
        <v>3021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5" s="19">
        <f>Tabela17468101214223032268161925273133362421012141618242628303840248101214162022262830323436242681012142461012242624426262826268102628623668101214161820222424[[#This Row],[Uso diário]]*2</f>
        <v>37.6</v>
      </c>
      <c r="O5" s="19">
        <f>Tabela17468101214223032268161925273133362421012141618242628303840248101214162022262830323436242681012142461012242624426262826268102628623668101214161820222424[[#This Row],[Total Acumulado]]-P5</f>
        <v>-94</v>
      </c>
      <c r="P5" s="48">
        <f>Tabela17468101214223032268161925273133362421012141618242628303840248101214162022262830323436242681012142461012242624426262826268102628623668101214161820222424[[#This Row],[Uso diário]]*5</f>
        <v>94</v>
      </c>
      <c r="Q5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5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488.8</v>
      </c>
      <c r="S5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5" s="25">
        <v>12</v>
      </c>
    </row>
    <row r="6" spans="1:59" s="26" customFormat="1" x14ac:dyDescent="0.25">
      <c r="A6" s="16">
        <v>223410</v>
      </c>
      <c r="B6" s="30" t="s">
        <v>1474</v>
      </c>
      <c r="C6" s="20" t="s">
        <v>650</v>
      </c>
      <c r="D6" s="20" t="s">
        <v>738</v>
      </c>
      <c r="E6" s="20" t="s">
        <v>3022</v>
      </c>
      <c r="F6" s="20" t="s">
        <v>3023</v>
      </c>
      <c r="G6" s="21">
        <v>18.8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488.8</v>
      </c>
      <c r="K6" s="22"/>
      <c r="L6" s="23"/>
      <c r="M6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6" s="19">
        <f>Tabela17468101214223032268161925273133362421012141618242628303840248101214162022262830323436242681012142461012242624426262826268102628623668101214161820222424[[#This Row],[Uso diário]]*2</f>
        <v>37.6</v>
      </c>
      <c r="O6" s="19">
        <f>Tabela17468101214223032268161925273133362421012141618242628303840248101214162022262830323436242681012142461012242624426262826268102628623668101214161820222424[[#This Row],[Total Acumulado]]-P6</f>
        <v>-94</v>
      </c>
      <c r="P6" s="48">
        <f>Tabela17468101214223032268161925273133362421012141618242628303840248101214162022262830323436242681012142461012242624426262826268102628623668101214161820222424[[#This Row],[Uso diário]]*5</f>
        <v>94</v>
      </c>
      <c r="Q6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6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488.8</v>
      </c>
      <c r="S6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6" s="25">
        <v>12</v>
      </c>
    </row>
    <row r="7" spans="1:59" s="26" customFormat="1" x14ac:dyDescent="0.25">
      <c r="A7" s="16">
        <v>213382</v>
      </c>
      <c r="B7" s="30" t="s">
        <v>77</v>
      </c>
      <c r="C7" s="20" t="s">
        <v>635</v>
      </c>
      <c r="D7" s="20" t="s">
        <v>689</v>
      </c>
      <c r="E7" s="20" t="s">
        <v>3024</v>
      </c>
      <c r="F7" s="20" t="s">
        <v>3025</v>
      </c>
      <c r="G7" s="21">
        <v>18.8</v>
      </c>
      <c r="H7" s="16">
        <v>22</v>
      </c>
      <c r="I7" s="16"/>
      <c r="J7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413.6</v>
      </c>
      <c r="K7" s="22"/>
      <c r="L7" s="23"/>
      <c r="M7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7" s="19">
        <f>Tabela17468101214223032268161925273133362421012141618242628303840248101214162022262830323436242681012142461012242624426262826268102628623668101214161820222424[[#This Row],[Uso diário]]*2</f>
        <v>37.6</v>
      </c>
      <c r="O7" s="19">
        <f>Tabela17468101214223032268161925273133362421012141618242628303840248101214162022262830323436242681012142461012242624426262826268102628623668101214161820222424[[#This Row],[Total Acumulado]]-P7</f>
        <v>-94</v>
      </c>
      <c r="P7" s="48">
        <f>Tabela17468101214223032268161925273133362421012141618242628303840248101214162022262830323436242681012142461012242624426262826268102628623668101214161820222424[[#This Row],[Uso diário]]*5</f>
        <v>94</v>
      </c>
      <c r="Q7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7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413.6</v>
      </c>
      <c r="S7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7" s="25">
        <v>12</v>
      </c>
    </row>
    <row r="8" spans="1:59" s="26" customFormat="1" x14ac:dyDescent="0.25">
      <c r="A8" s="16">
        <v>218600</v>
      </c>
      <c r="B8" s="30" t="s">
        <v>367</v>
      </c>
      <c r="C8" s="20" t="s">
        <v>635</v>
      </c>
      <c r="D8" s="20" t="s">
        <v>689</v>
      </c>
      <c r="E8" s="20" t="s">
        <v>3026</v>
      </c>
      <c r="F8" s="20" t="s">
        <v>3027</v>
      </c>
      <c r="G8" s="21">
        <v>18.8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488.8</v>
      </c>
      <c r="K8" s="22"/>
      <c r="L8" s="23"/>
      <c r="M8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8" s="19">
        <f>Tabela17468101214223032268161925273133362421012141618242628303840248101214162022262830323436242681012142461012242624426262826268102628623668101214161820222424[[#This Row],[Uso diário]]*2</f>
        <v>37.6</v>
      </c>
      <c r="O8" s="19">
        <f>Tabela17468101214223032268161925273133362421012141618242628303840248101214162022262830323436242681012142461012242624426262826268102628623668101214161820222424[[#This Row],[Total Acumulado]]-P8</f>
        <v>-94</v>
      </c>
      <c r="P8" s="48">
        <f>Tabela17468101214223032268161925273133362421012141618242628303840248101214162022262830323436242681012142461012242624426262826268102628623668101214161820222424[[#This Row],[Uso diário]]*5</f>
        <v>94</v>
      </c>
      <c r="Q8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8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488.8</v>
      </c>
      <c r="S8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8" s="25">
        <v>12</v>
      </c>
    </row>
    <row r="9" spans="1:59" s="26" customFormat="1" x14ac:dyDescent="0.25">
      <c r="A9" s="16">
        <v>206100</v>
      </c>
      <c r="B9" s="30" t="s">
        <v>368</v>
      </c>
      <c r="C9" s="20" t="s">
        <v>654</v>
      </c>
      <c r="D9" s="20" t="s">
        <v>731</v>
      </c>
      <c r="E9" s="20" t="s">
        <v>3028</v>
      </c>
      <c r="F9" s="20" t="s">
        <v>3029</v>
      </c>
      <c r="G9" s="21">
        <v>18.8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488.8</v>
      </c>
      <c r="K9" s="22"/>
      <c r="L9" s="23"/>
      <c r="M9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9" s="19">
        <f>Tabela17468101214223032268161925273133362421012141618242628303840248101214162022262830323436242681012142461012242624426262826268102628623668101214161820222424[[#This Row],[Uso diário]]*2</f>
        <v>37.6</v>
      </c>
      <c r="O9" s="19">
        <f>Tabela17468101214223032268161925273133362421012141618242628303840248101214162022262830323436242681012142461012242624426262826268102628623668101214161820222424[[#This Row],[Total Acumulado]]-P9</f>
        <v>-94</v>
      </c>
      <c r="P9" s="48">
        <f>Tabela17468101214223032268161925273133362421012141618242628303840248101214162022262830323436242681012142461012242624426262826268102628623668101214161820222424[[#This Row],[Uso diário]]*5</f>
        <v>94</v>
      </c>
      <c r="Q9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9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488.8</v>
      </c>
      <c r="S9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9" s="25">
        <v>12</v>
      </c>
    </row>
    <row r="10" spans="1:59" s="26" customFormat="1" x14ac:dyDescent="0.25">
      <c r="A10" s="16">
        <v>210564</v>
      </c>
      <c r="B10" s="30" t="s">
        <v>369</v>
      </c>
      <c r="C10" s="20" t="s">
        <v>654</v>
      </c>
      <c r="D10" s="20" t="s">
        <v>731</v>
      </c>
      <c r="E10" s="20" t="s">
        <v>3030</v>
      </c>
      <c r="F10" s="20" t="s">
        <v>3031</v>
      </c>
      <c r="G10" s="21">
        <v>18.8</v>
      </c>
      <c r="H10" s="16">
        <v>26</v>
      </c>
      <c r="I10" s="16">
        <v>1</v>
      </c>
      <c r="J10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470</v>
      </c>
      <c r="K10" s="22"/>
      <c r="L10" s="23"/>
      <c r="M10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10" s="19">
        <f>Tabela17468101214223032268161925273133362421012141618242628303840248101214162022262830323436242681012142461012242624426262826268102628623668101214161820222424[[#This Row],[Uso diário]]*2</f>
        <v>37.6</v>
      </c>
      <c r="O10" s="19">
        <f>Tabela17468101214223032268161925273133362421012141618242628303840248101214162022262830323436242681012142461012242624426262826268102628623668101214161820222424[[#This Row],[Total Acumulado]]-P10</f>
        <v>-94</v>
      </c>
      <c r="P10" s="48">
        <f>Tabela17468101214223032268161925273133362421012141618242628303840248101214162022262830323436242681012142461012242624426262826268102628623668101214161820222424[[#This Row],[Uso diário]]*5</f>
        <v>94</v>
      </c>
      <c r="Q10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10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470</v>
      </c>
      <c r="S10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10" s="25">
        <v>12</v>
      </c>
    </row>
    <row r="11" spans="1:59" s="26" customFormat="1" x14ac:dyDescent="0.25">
      <c r="A11" s="16">
        <v>206444</v>
      </c>
      <c r="B11" s="30" t="s">
        <v>370</v>
      </c>
      <c r="C11" s="20" t="s">
        <v>641</v>
      </c>
      <c r="D11" s="20" t="s">
        <v>705</v>
      </c>
      <c r="E11" s="20" t="s">
        <v>3032</v>
      </c>
      <c r="F11" s="20" t="s">
        <v>3033</v>
      </c>
      <c r="G11" s="21">
        <v>18.8</v>
      </c>
      <c r="H11" s="16">
        <v>26</v>
      </c>
      <c r="I11" s="16"/>
      <c r="J11" s="17">
        <f>(Tabela17468101214223032268161925273133362421012141618242628303840248101214162022262830323436242681012142461012242624426262826268102628623668101214161820222424[[#This Row],[D]]-Tabela17468101214223032268161925273133362421012141618242628303840248101214162022262830323436242681012142461012242624426262826268102628623668101214161820222424[[#This Row],[F]])*Tabela17468101214223032268161925273133362421012141618242628303840248101214162022262830323436242681012142461012242624426262826268102628623668101214161820222424[[#This Row],[Uso diário]]</f>
        <v>488.8</v>
      </c>
      <c r="K11" s="22"/>
      <c r="L11" s="23"/>
      <c r="M11" s="23">
        <f>SUM(Tabela17468101214223032268161925273133362421012141618242628303840248101214162022262830323436242681012142461012242624426262826268102628623668101214161820222424[[#This Row],[Saldo no cartão]:[Recarga Pendente]])</f>
        <v>0</v>
      </c>
      <c r="N11" s="19">
        <f>Tabela17468101214223032268161925273133362421012141618242628303840248101214162022262830323436242681012142461012242624426262826268102628623668101214161820222424[[#This Row],[Uso diário]]*2</f>
        <v>37.6</v>
      </c>
      <c r="O11" s="19">
        <f>Tabela17468101214223032268161925273133362421012141618242628303840248101214162022262830323436242681012142461012242624426262826268102628623668101214161820222424[[#This Row],[Total Acumulado]]-P11</f>
        <v>-94</v>
      </c>
      <c r="P11" s="48">
        <f>Tabela17468101214223032268161925273133362421012141618242628303840248101214162022262830323436242681012142461012242624426262826268102628623668101214161820222424[[#This Row],[Uso diário]]*5</f>
        <v>94</v>
      </c>
      <c r="Q11" s="17">
        <f>IF(Tabela17468101214223032268161925273133362421012141618242628303840248101214162022262830323436242681012142461012242624426262826268102628623668101214161820222424[[#This Row],[acumulo]]&lt;Tabela17468101214223032268161925273133362421012141618242628303840248101214162022262830323436242681012142461012242624426262826268102628623668101214161820222424[[#This Row],[acumulo minimo]],0,Tabela17468101214223032268161925273133362421012141618242628303840248101214162022262830323436242681012142461012242624426262826268102628623668101214161820222424[[#This Row],[acumulo]])</f>
        <v>0</v>
      </c>
      <c r="R11" s="24">
        <f>IF(Tabela17468101214223032268161925273133362421012141618242628303840248101214162022262830323436242681012142461012242624426262826268102628623668101214161820222424[[#This Row],[Valor economizado]]&gt;Tabela17468101214223032268161925273133362421012141618242628303840248101214162022262830323436242681012142461012242624426262826268102628623668101214161820222424[[#This Row],[Pedido Inicial]],0,Tabela17468101214223032268161925273133362421012141618242628303840248101214162022262830323436242681012142461012242624426262826268102628623668101214161820222424[[#This Row],[Pedido Inicial]]-Tabela17468101214223032268161925273133362421012141618242628303840248101214162022262830323436242681012142461012242624426262826268102628623668101214161820222424[[#This Row],[Valor economizado]])</f>
        <v>488.8</v>
      </c>
      <c r="S11" s="18" t="str">
        <f>IF(Tabela17468101214223032268161925273133362421012141618242628303840248101214162022262830323436242681012142461012242624426262826268102628623668101214161820222424[[#This Row],[Pedido Final]]=0,"NÃO EFETUAR RECARGA","RECARGA NORMAL")</f>
        <v>RECARGA NORMAL</v>
      </c>
      <c r="T11" s="25">
        <v>12</v>
      </c>
    </row>
    <row r="12" spans="1:59" s="8" customFormat="1" x14ac:dyDescent="0.25">
      <c r="A12" s="13" t="s">
        <v>13</v>
      </c>
      <c r="B12" s="13"/>
      <c r="C12" s="13"/>
      <c r="D12" s="13"/>
      <c r="E12" s="20"/>
      <c r="F12" s="20"/>
      <c r="G12" s="33"/>
      <c r="H12" s="13"/>
      <c r="I12" s="13"/>
      <c r="J12" s="14">
        <f>SUBTOTAL(109,Tabela17468101214223032268161925273133362421012141618242628303840248101214162022262830323436242681012142461012242624426262826268102628623668101214161820222424[Pedido Inicial])</f>
        <v>3816.4000000000005</v>
      </c>
      <c r="K12" s="15"/>
      <c r="L12" s="15"/>
      <c r="M12" s="15"/>
      <c r="N12" s="15"/>
      <c r="O12" s="15"/>
      <c r="P12" s="15"/>
      <c r="Q12" s="15"/>
      <c r="R12" s="14">
        <f>SUBTOTAL(109,Tabela17468101214223032268161925273133362421012141618242628303840248101214162022262830323436242681012142461012242624426262826268102628623668101214161820222424[Pedido Final])</f>
        <v>3816.4000000000005</v>
      </c>
      <c r="S12" s="31">
        <f>SUBTOTAL(103,Tabela17468101214223032268161925273133362421012141618242628303840248101214162022262830323436242681012142461012242624426262826268102628623668101214161820222424[Status])</f>
        <v>8</v>
      </c>
      <c r="T12" s="13"/>
    </row>
    <row r="13" spans="1:59" s="8" customFormat="1" x14ac:dyDescent="0.25">
      <c r="A13" s="13"/>
      <c r="B13" s="13"/>
      <c r="C13" s="13"/>
      <c r="D13" s="13"/>
      <c r="E13" s="20"/>
      <c r="F13" s="20"/>
      <c r="G13" s="33"/>
      <c r="H13" s="13"/>
      <c r="I13" s="13"/>
      <c r="J13" s="14"/>
      <c r="K13" s="15"/>
      <c r="L13" s="15"/>
      <c r="M13" s="15"/>
      <c r="N13" s="15"/>
      <c r="O13" s="15"/>
      <c r="P13" s="15"/>
      <c r="Q13" s="15"/>
      <c r="R13" s="14"/>
      <c r="S13" s="31"/>
      <c r="T13" s="13"/>
    </row>
    <row r="14" spans="1:59" s="8" customFormat="1" x14ac:dyDescent="0.25">
      <c r="A14" s="13"/>
      <c r="B14" s="13"/>
      <c r="C14" s="13"/>
      <c r="D14" s="13"/>
      <c r="E14" s="20"/>
      <c r="F14" s="20"/>
      <c r="G14" s="33"/>
      <c r="H14" s="13"/>
      <c r="I14" s="13"/>
      <c r="J14" s="14"/>
      <c r="K14" s="15"/>
      <c r="L14" s="15"/>
      <c r="M14" s="15"/>
      <c r="N14" s="15"/>
      <c r="O14" s="15"/>
      <c r="P14" s="15"/>
      <c r="Q14" s="15"/>
      <c r="R14" s="14"/>
      <c r="S14" s="31"/>
      <c r="T14" s="13"/>
    </row>
    <row r="15" spans="1:59" s="8" customFormat="1" x14ac:dyDescent="0.25">
      <c r="A15" s="1"/>
      <c r="B15" s="54" t="s">
        <v>14</v>
      </c>
      <c r="C15" s="55"/>
      <c r="D15" s="13"/>
      <c r="F15" s="37"/>
      <c r="G15" s="37"/>
      <c r="H15" s="37"/>
      <c r="I15" s="37"/>
      <c r="J15" s="28"/>
      <c r="K15" s="3"/>
      <c r="L15" s="1"/>
      <c r="M15" s="1"/>
      <c r="N15" s="1"/>
      <c r="O15" s="1"/>
      <c r="P15" s="1"/>
      <c r="Q15" s="1"/>
      <c r="R15" s="4" t="s">
        <v>26</v>
      </c>
      <c r="S15" s="39" t="s">
        <v>15</v>
      </c>
    </row>
    <row r="16" spans="1:59" s="8" customFormat="1" x14ac:dyDescent="0.25">
      <c r="A16" s="1"/>
      <c r="B16" s="50" t="s">
        <v>24</v>
      </c>
      <c r="C16" s="45">
        <f>Tabela17468101214223032268161925273133362421012141618242628303840248101214162022262830323436242681012142461012242624426262826268102628623668101214161820222424[[#Totals],[Pedido Inicial]]</f>
        <v>3816.4000000000005</v>
      </c>
      <c r="D16" s="13"/>
      <c r="F16" s="41"/>
      <c r="G16" s="41"/>
      <c r="H16" s="34"/>
      <c r="I16" s="34"/>
      <c r="J16" s="34"/>
      <c r="K16" s="5"/>
      <c r="L16" s="1"/>
      <c r="M16" s="1"/>
      <c r="N16" s="1"/>
      <c r="O16" s="1"/>
      <c r="P16" s="1"/>
      <c r="Q16" s="1"/>
      <c r="R16" s="58" t="s">
        <v>28</v>
      </c>
      <c r="S16" s="59">
        <f>COUNTIF(Tabela17468101214223032268161925273133362421012141618242628303840248101214162022262830323436242681012142461012242624426262826268102628623668101214161820222424[Status],Tabela2579111315233133379172026283234373531113151719252729313941359111315172123272931333537353791113153571113353734537373937379113739733779111315171921232535[[#This Row],[STATUS]])</f>
        <v>8</v>
      </c>
    </row>
    <row r="17" spans="1:20" s="8" customFormat="1" x14ac:dyDescent="0.25">
      <c r="A17" s="1"/>
      <c r="B17" s="50" t="s">
        <v>25</v>
      </c>
      <c r="C17" s="45">
        <f>Tabela17468101214223032268161925273133362421012141618242628303840248101214162022262830323436242681012142461012242624426262826268102628623668101214161820222424[[#Totals],[Pedido Final]]</f>
        <v>3816.4000000000005</v>
      </c>
      <c r="D17" s="13"/>
      <c r="F17" s="41"/>
      <c r="G17" s="41"/>
      <c r="H17" s="34"/>
      <c r="I17" s="34"/>
      <c r="J17" s="34"/>
      <c r="K17" s="5"/>
      <c r="L17" s="1"/>
      <c r="M17" s="1"/>
      <c r="N17" s="1"/>
      <c r="O17" s="1"/>
      <c r="P17" s="1"/>
      <c r="R17" s="58" t="s">
        <v>11</v>
      </c>
      <c r="S17" s="59">
        <f>COUNTIF(Tabela17468101214223032268161925273133362421012141618242628303840248101214162022262830323436242681012142461012242624426262826268102628623668101214161820222424[Status],Tabela2579111315233133379172026283234373531113151719252729313941359111315172123272931333537353791113153571113353734537373937379113739733779111315171921232535[[#This Row],[STATUS]])</f>
        <v>0</v>
      </c>
    </row>
    <row r="18" spans="1:20" s="8" customFormat="1" x14ac:dyDescent="0.25">
      <c r="A18" s="1"/>
      <c r="B18" s="51" t="str">
        <f>_xlfn.CONCAT("ECONOMIA"," ",ROUND(C18/C16,2)*100,"%")</f>
        <v>ECONOMIA 0%</v>
      </c>
      <c r="C18" s="46">
        <f>SUM(C16-C17)</f>
        <v>0</v>
      </c>
      <c r="D18" s="13"/>
      <c r="F18" s="41"/>
      <c r="G18" s="41"/>
      <c r="H18" s="36"/>
      <c r="I18" s="36"/>
      <c r="J18" s="38"/>
      <c r="K18" s="36"/>
      <c r="L18" s="1"/>
      <c r="M18" s="1"/>
      <c r="N18" s="1"/>
      <c r="O18" s="1"/>
      <c r="P18" s="1"/>
      <c r="Q18" s="35"/>
      <c r="R18" s="58" t="s">
        <v>12</v>
      </c>
      <c r="S18" s="59">
        <f>COUNTIF(Tabela17468101214223032268161925273133362421012141618242628303840248101214162022262830323436242681012142461012242624426262826268102628623668101214161820222424[Status],Tabela2579111315233133379172026283234373531113151719252729313941359111315172123272931333537353791113153571113353734537373937379113739733779111315171921232535[[#This Row],[STATUS]])</f>
        <v>0</v>
      </c>
    </row>
    <row r="19" spans="1:20" s="8" customFormat="1" x14ac:dyDescent="0.25">
      <c r="A19" s="1"/>
      <c r="B19" s="51" t="e">
        <f>_xlfn.CONCAT("HPOD"," ",ROUND(C19/C18,2)*100,"%")</f>
        <v>#DIV/0!</v>
      </c>
      <c r="C19" s="46">
        <f>C18*12%</f>
        <v>0</v>
      </c>
      <c r="D19" s="13"/>
      <c r="F19" s="41"/>
      <c r="G19" s="41"/>
      <c r="H19" s="36"/>
      <c r="I19" s="36"/>
      <c r="J19" s="38"/>
      <c r="K19" s="36"/>
      <c r="L19" s="1"/>
      <c r="M19" s="1"/>
      <c r="N19" s="1"/>
      <c r="O19" s="1"/>
      <c r="P19" s="1"/>
      <c r="Q19" s="1"/>
      <c r="R19" s="6" t="s">
        <v>27</v>
      </c>
      <c r="S19" s="40">
        <f>SUBTOTAL(109,Tabela2579111315233133379172026283234373531113151719252729313941359111315172123272931333537353791113153571113353734537373937379113739733779111315171921232535[Coluna1])</f>
        <v>8</v>
      </c>
    </row>
    <row r="20" spans="1:20" s="8" customFormat="1" x14ac:dyDescent="0.25">
      <c r="A20" s="1"/>
      <c r="B20" s="3"/>
      <c r="C20" s="47"/>
      <c r="D20" s="1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6"/>
    </row>
    <row r="21" spans="1:20" s="8" customFormat="1" x14ac:dyDescent="0.25">
      <c r="A21" s="1"/>
      <c r="B21" s="3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35"/>
      <c r="P21" s="1"/>
      <c r="Q21" s="1"/>
      <c r="R21" s="1"/>
      <c r="S21" s="1"/>
      <c r="T21" s="1"/>
    </row>
    <row r="22" spans="1:20" s="8" customFormat="1" x14ac:dyDescent="0.25">
      <c r="A22" s="26"/>
      <c r="B22" s="12"/>
      <c r="C22" s="12"/>
      <c r="D22" s="12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1"/>
    </row>
    <row r="23" spans="1:20" s="8" customFormat="1" x14ac:dyDescent="0.25">
      <c r="A23" s="26"/>
      <c r="B23" s="12"/>
      <c r="C23" s="12"/>
      <c r="D23" s="12"/>
      <c r="E23" s="27"/>
      <c r="F23" s="27"/>
      <c r="G23" s="27"/>
      <c r="H23" s="27"/>
      <c r="I23" s="27"/>
      <c r="J23" s="27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8" customFormat="1" x14ac:dyDescent="0.25">
      <c r="A24" s="26"/>
      <c r="B24" s="12"/>
      <c r="C24" s="12"/>
      <c r="D24" s="12"/>
      <c r="E24" s="28"/>
      <c r="F24" s="28"/>
      <c r="G24" s="28"/>
      <c r="H24" s="28"/>
      <c r="I24" s="28"/>
      <c r="J24" s="28"/>
      <c r="K24" s="27"/>
      <c r="L24" s="26"/>
      <c r="M24" s="26"/>
      <c r="N24" s="26"/>
      <c r="O24" s="26"/>
      <c r="P24" s="26"/>
      <c r="Q24" s="26"/>
      <c r="R24" s="26"/>
      <c r="S24" s="26"/>
      <c r="T24" s="26"/>
    </row>
    <row r="25" spans="1:20" s="8" customFormat="1" x14ac:dyDescent="0.25">
      <c r="A25" s="26"/>
      <c r="B25" s="12"/>
      <c r="C25" s="12"/>
      <c r="D25" s="12"/>
      <c r="E25" s="28"/>
      <c r="F25" s="28"/>
      <c r="G25" s="28"/>
      <c r="H25" s="28"/>
      <c r="I25" s="28"/>
      <c r="J25" s="28"/>
      <c r="K25" s="27"/>
      <c r="L25" s="26"/>
      <c r="M25" s="26"/>
      <c r="N25" s="26"/>
      <c r="O25" s="26"/>
      <c r="P25" s="26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8"/>
      <c r="F26" s="28"/>
      <c r="G26" s="28"/>
      <c r="H26" s="28"/>
      <c r="I26" s="28"/>
      <c r="J26" s="28"/>
      <c r="K26" s="27"/>
      <c r="L26" s="26"/>
      <c r="M26" s="26"/>
      <c r="N26" s="26"/>
      <c r="O26" s="26"/>
      <c r="P26" s="29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6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8"/>
      <c r="F28" s="28"/>
      <c r="G28" s="28"/>
      <c r="H28" s="28"/>
      <c r="I28" s="28"/>
      <c r="J28" s="28"/>
      <c r="K28" s="29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9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1"/>
      <c r="B36" s="3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6"/>
    </row>
    <row r="37" spans="1:20" s="8" customFormat="1" x14ac:dyDescent="0.25">
      <c r="A37" s="1"/>
      <c r="B37" s="3"/>
      <c r="C37" s="3"/>
      <c r="D37" s="3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8" customFormat="1" x14ac:dyDescent="0.25">
      <c r="A38" s="1"/>
      <c r="B38" s="3"/>
      <c r="C38" s="3"/>
      <c r="D38" s="3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</row>
  </sheetData>
  <mergeCells count="1">
    <mergeCell ref="A2:T2"/>
  </mergeCells>
  <conditionalFormatting sqref="A1:A1048576">
    <cfRule type="duplicateValues" dxfId="38" priority="4"/>
    <cfRule type="duplicateValues" dxfId="37" priority="5"/>
  </conditionalFormatting>
  <conditionalFormatting sqref="B1:B1048576">
    <cfRule type="duplicateValues" dxfId="36" priority="6"/>
  </conditionalFormatting>
  <conditionalFormatting sqref="B16:C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{D8EC7711-16B8-417C-B7E2-421C9650F44C}</x14:id>
        </ext>
      </extLst>
    </cfRule>
  </conditionalFormatting>
  <conditionalFormatting sqref="H16:J17 F16:G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{8C3B4DE6-530E-4C65-BC4A-01057E6B1D64}</x14:id>
        </ext>
      </extLst>
    </cfRule>
  </conditionalFormatting>
  <conditionalFormatting sqref="R16:S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{C0FE25E3-BEFD-4B6F-A7DE-325BE3EE23BC}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C7711-16B8-417C-B7E2-421C9650F4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B16:C19</xm:sqref>
        </x14:conditionalFormatting>
        <x14:conditionalFormatting xmlns:xm="http://schemas.microsoft.com/office/excel/2006/main">
          <x14:cfRule type="dataBar" id="{8C3B4DE6-530E-4C65-BC4A-01057E6B1D64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H16:J17 F16:G19</xm:sqref>
        </x14:conditionalFormatting>
        <x14:conditionalFormatting xmlns:xm="http://schemas.microsoft.com/office/excel/2006/main">
          <x14:cfRule type="dataBar" id="{C0FE25E3-BEFD-4B6F-A7DE-325BE3EE2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R16:S18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8C27-58FD-4799-935F-454EA7E54663}">
  <sheetPr>
    <pageSetUpPr fitToPage="1"/>
  </sheetPr>
  <dimension ref="A1:BG67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32.7109375" style="3" bestFit="1" customWidth="1"/>
    <col min="3" max="3" width="11.140625" style="3" customWidth="1"/>
    <col min="4" max="4" width="23.85546875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212568</v>
      </c>
      <c r="B4" s="30" t="s">
        <v>372</v>
      </c>
      <c r="C4" s="20" t="s">
        <v>647</v>
      </c>
      <c r="D4" s="20" t="s">
        <v>722</v>
      </c>
      <c r="E4" s="20" t="s">
        <v>3034</v>
      </c>
      <c r="F4" s="20" t="s">
        <v>3035</v>
      </c>
      <c r="G4" s="21">
        <v>18.8</v>
      </c>
      <c r="H4" s="16">
        <v>26</v>
      </c>
      <c r="I4" s="16">
        <v>3</v>
      </c>
      <c r="J4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432.40000000000003</v>
      </c>
      <c r="K4" s="22"/>
      <c r="L4" s="23">
        <v>18.8</v>
      </c>
      <c r="M4" s="23">
        <f>SUM(Tabela1746810121422303226816192527313336242101214161824262830384024810121416202226283032343624268101214246101224262442626282626810262862366810121416182022242426[[#This Row],[Saldo no cartão]:[Recarga Pendente]])</f>
        <v>18.8</v>
      </c>
      <c r="N4" s="19">
        <f>Tabela1746810121422303226816192527313336242101214161824262830384024810121416202226283032343624268101214246101224262442626282626810262862366810121416182022242426[[#This Row],[Uso diário]]*2</f>
        <v>37.6</v>
      </c>
      <c r="O4" s="19">
        <f>Tabela1746810121422303226816192527313336242101214161824262830384024810121416202226283032343624268101214246101224262442626282626810262862366810121416182022242426[[#This Row],[Total Acumulado]]-P4</f>
        <v>-75.2</v>
      </c>
      <c r="P4" s="48">
        <f>Tabela1746810121422303226816192527313336242101214161824262830384024810121416202226283032343624268101214246101224262442626282626810262862366810121416182022242426[[#This Row],[Uso diário]]*5</f>
        <v>94</v>
      </c>
      <c r="Q4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4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432.40000000000003</v>
      </c>
      <c r="S4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4" s="25">
        <v>13</v>
      </c>
    </row>
    <row r="5" spans="1:59" s="26" customFormat="1" x14ac:dyDescent="0.25">
      <c r="A5" s="16">
        <v>213059</v>
      </c>
      <c r="B5" s="30" t="s">
        <v>373</v>
      </c>
      <c r="C5" s="20" t="s">
        <v>647</v>
      </c>
      <c r="D5" s="20" t="s">
        <v>722</v>
      </c>
      <c r="E5" s="20" t="s">
        <v>3036</v>
      </c>
      <c r="F5" s="20" t="s">
        <v>3037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Tabela1746810121422303226816192527313336242101214161824262830384024810121416202226283032343624268101214246101224262442626282626810262862366810121416182022242426[[#This Row],[Uso diário]]*2</f>
        <v>37.6</v>
      </c>
      <c r="O5" s="19">
        <f>Tabela1746810121422303226816192527313336242101214161824262830384024810121416202226283032343624268101214246101224262442626282626810262862366810121416182022242426[[#This Row],[Total Acumulado]]-P5</f>
        <v>-94</v>
      </c>
      <c r="P5" s="48">
        <f>Tabela1746810121422303226816192527313336242101214161824262830384024810121416202226283032343624268101214246101224262442626282626810262862366810121416182022242426[[#This Row],[Uso diário]]*5</f>
        <v>94</v>
      </c>
      <c r="Q5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5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488.8</v>
      </c>
      <c r="S5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5" s="25">
        <v>13</v>
      </c>
    </row>
    <row r="6" spans="1:59" s="26" customFormat="1" x14ac:dyDescent="0.25">
      <c r="A6" s="16">
        <v>222458</v>
      </c>
      <c r="B6" s="30" t="s">
        <v>375</v>
      </c>
      <c r="C6" s="20" t="s">
        <v>647</v>
      </c>
      <c r="D6" s="20" t="s">
        <v>723</v>
      </c>
      <c r="E6" s="20" t="s">
        <v>3038</v>
      </c>
      <c r="F6" s="20" t="s">
        <v>3039</v>
      </c>
      <c r="G6" s="21">
        <v>10</v>
      </c>
      <c r="H6" s="16">
        <v>26</v>
      </c>
      <c r="I6" s="16">
        <v>1</v>
      </c>
      <c r="J6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250</v>
      </c>
      <c r="K6" s="22"/>
      <c r="L6" s="23"/>
      <c r="M6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Tabela1746810121422303226816192527313336242101214161824262830384024810121416202226283032343624268101214246101224262442626282626810262862366810121416182022242426[[#This Row],[Uso diário]]*2</f>
        <v>20</v>
      </c>
      <c r="O6" s="19">
        <f>Tabela1746810121422303226816192527313336242101214161824262830384024810121416202226283032343624268101214246101224262442626282626810262862366810121416182022242426[[#This Row],[Total Acumulado]]-P6</f>
        <v>-50</v>
      </c>
      <c r="P6" s="48">
        <f>Tabela1746810121422303226816192527313336242101214161824262830384024810121416202226283032343624268101214246101224262442626282626810262862366810121416182022242426[[#This Row],[Uso diário]]*5</f>
        <v>50</v>
      </c>
      <c r="Q6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6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250</v>
      </c>
      <c r="S6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6" s="25">
        <v>13</v>
      </c>
    </row>
    <row r="7" spans="1:59" s="26" customFormat="1" x14ac:dyDescent="0.25">
      <c r="A7" s="16">
        <v>226204</v>
      </c>
      <c r="B7" s="30" t="s">
        <v>376</v>
      </c>
      <c r="C7" s="20" t="s">
        <v>647</v>
      </c>
      <c r="D7" s="20" t="s">
        <v>720</v>
      </c>
      <c r="E7" s="20" t="s">
        <v>3040</v>
      </c>
      <c r="F7" s="20" t="s">
        <v>3041</v>
      </c>
      <c r="G7" s="21">
        <v>10</v>
      </c>
      <c r="H7" s="16">
        <v>26</v>
      </c>
      <c r="I7" s="16"/>
      <c r="J7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7" s="22"/>
      <c r="L7" s="23"/>
      <c r="M7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Tabela1746810121422303226816192527313336242101214161824262830384024810121416202226283032343624268101214246101224262442626282626810262862366810121416182022242426[[#This Row],[Uso diário]]*2</f>
        <v>20</v>
      </c>
      <c r="O7" s="19">
        <f>Tabela1746810121422303226816192527313336242101214161824262830384024810121416202226283032343624268101214246101224262442626282626810262862366810121416182022242426[[#This Row],[Total Acumulado]]-P7</f>
        <v>-50</v>
      </c>
      <c r="P7" s="48">
        <f>Tabela1746810121422303226816192527313336242101214161824262830384024810121416202226283032343624268101214246101224262442626282626810262862366810121416182022242426[[#This Row],[Uso diário]]*5</f>
        <v>50</v>
      </c>
      <c r="Q7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7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7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7" s="25">
        <v>13</v>
      </c>
    </row>
    <row r="8" spans="1:59" s="26" customFormat="1" x14ac:dyDescent="0.25">
      <c r="A8" s="16">
        <v>229835</v>
      </c>
      <c r="B8" s="30" t="s">
        <v>383</v>
      </c>
      <c r="C8" s="20" t="s">
        <v>647</v>
      </c>
      <c r="D8" s="20" t="s">
        <v>720</v>
      </c>
      <c r="E8" s="20" t="s">
        <v>3042</v>
      </c>
      <c r="F8" s="20" t="s">
        <v>3043</v>
      </c>
      <c r="G8" s="21">
        <v>10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8" s="22"/>
      <c r="L8" s="23"/>
      <c r="M8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Tabela1746810121422303226816192527313336242101214161824262830384024810121416202226283032343624268101214246101224262442626282626810262862366810121416182022242426[[#This Row],[Uso diário]]*2</f>
        <v>20</v>
      </c>
      <c r="O8" s="19">
        <f>Tabela1746810121422303226816192527313336242101214161824262830384024810121416202226283032343624268101214246101224262442626282626810262862366810121416182022242426[[#This Row],[Total Acumulado]]-P8</f>
        <v>-50</v>
      </c>
      <c r="P8" s="48">
        <f>Tabela1746810121422303226816192527313336242101214161824262830384024810121416202226283032343624268101214246101224262442626282626810262862366810121416182022242426[[#This Row],[Uso diário]]*5</f>
        <v>50</v>
      </c>
      <c r="Q8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8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8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8" s="25">
        <v>13</v>
      </c>
    </row>
    <row r="9" spans="1:59" s="26" customFormat="1" x14ac:dyDescent="0.25">
      <c r="A9" s="16">
        <v>226016</v>
      </c>
      <c r="B9" s="30" t="s">
        <v>377</v>
      </c>
      <c r="C9" s="20" t="s">
        <v>649</v>
      </c>
      <c r="D9" s="20" t="s">
        <v>725</v>
      </c>
      <c r="E9" s="20" t="s">
        <v>3044</v>
      </c>
      <c r="F9" s="20" t="s">
        <v>3045</v>
      </c>
      <c r="G9" s="21">
        <v>10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9" s="22"/>
      <c r="L9" s="23"/>
      <c r="M9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Tabela1746810121422303226816192527313336242101214161824262830384024810121416202226283032343624268101214246101224262442626282626810262862366810121416182022242426[[#This Row],[Uso diário]]*2</f>
        <v>20</v>
      </c>
      <c r="O9" s="19">
        <f>Tabela1746810121422303226816192527313336242101214161824262830384024810121416202226283032343624268101214246101224262442626282626810262862366810121416182022242426[[#This Row],[Total Acumulado]]-P9</f>
        <v>-50</v>
      </c>
      <c r="P9" s="48">
        <f>Tabela1746810121422303226816192527313336242101214161824262830384024810121416202226283032343624268101214246101224262442626282626810262862366810121416182022242426[[#This Row],[Uso diário]]*5</f>
        <v>50</v>
      </c>
      <c r="Q9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9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9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9" s="25">
        <v>13</v>
      </c>
    </row>
    <row r="10" spans="1:59" s="26" customFormat="1" x14ac:dyDescent="0.25">
      <c r="A10" s="16">
        <v>226203</v>
      </c>
      <c r="B10" s="30" t="s">
        <v>378</v>
      </c>
      <c r="C10" s="20" t="s">
        <v>649</v>
      </c>
      <c r="D10" s="20" t="s">
        <v>725</v>
      </c>
      <c r="E10" s="20" t="s">
        <v>3046</v>
      </c>
      <c r="F10" s="20" t="s">
        <v>3047</v>
      </c>
      <c r="G10" s="21">
        <v>10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10" s="22"/>
      <c r="L10" s="23"/>
      <c r="M10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Tabela1746810121422303226816192527313336242101214161824262830384024810121416202226283032343624268101214246101224262442626282626810262862366810121416182022242426[[#This Row],[Uso diário]]*2</f>
        <v>20</v>
      </c>
      <c r="O10" s="19">
        <f>Tabela1746810121422303226816192527313336242101214161824262830384024810121416202226283032343624268101214246101224262442626282626810262862366810121416182022242426[[#This Row],[Total Acumulado]]-P10</f>
        <v>-50</v>
      </c>
      <c r="P10" s="48">
        <f>Tabela1746810121422303226816192527313336242101214161824262830384024810121416202226283032343624268101214246101224262442626282626810262862366810121416182022242426[[#This Row],[Uso diário]]*5</f>
        <v>50</v>
      </c>
      <c r="Q10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0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10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0" s="25">
        <v>13</v>
      </c>
    </row>
    <row r="11" spans="1:59" s="26" customFormat="1" x14ac:dyDescent="0.25">
      <c r="A11" s="16">
        <v>233276</v>
      </c>
      <c r="B11" s="30" t="s">
        <v>1084</v>
      </c>
      <c r="C11" s="20" t="s">
        <v>649</v>
      </c>
      <c r="D11" s="20" t="s">
        <v>725</v>
      </c>
      <c r="E11" s="20" t="s">
        <v>3048</v>
      </c>
      <c r="F11" s="20" t="s">
        <v>3049</v>
      </c>
      <c r="G11" s="21">
        <v>10</v>
      </c>
      <c r="H11" s="16">
        <v>26</v>
      </c>
      <c r="I11" s="16">
        <v>9</v>
      </c>
      <c r="J11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170</v>
      </c>
      <c r="K11" s="22"/>
      <c r="L11" s="23"/>
      <c r="M11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Tabela1746810121422303226816192527313336242101214161824262830384024810121416202226283032343624268101214246101224262442626282626810262862366810121416182022242426[[#This Row],[Uso diário]]*2</f>
        <v>20</v>
      </c>
      <c r="O11" s="19">
        <f>Tabela1746810121422303226816192527313336242101214161824262830384024810121416202226283032343624268101214246101224262442626282626810262862366810121416182022242426[[#This Row],[Total Acumulado]]-P11</f>
        <v>-50</v>
      </c>
      <c r="P11" s="48">
        <f>Tabela1746810121422303226816192527313336242101214161824262830384024810121416202226283032343624268101214246101224262442626282626810262862366810121416182022242426[[#This Row],[Uso diário]]*5</f>
        <v>50</v>
      </c>
      <c r="Q11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1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170</v>
      </c>
      <c r="S11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1" s="25">
        <v>13</v>
      </c>
    </row>
    <row r="12" spans="1:59" s="26" customFormat="1" x14ac:dyDescent="0.25">
      <c r="A12" s="16">
        <v>219173</v>
      </c>
      <c r="B12" s="30" t="s">
        <v>1475</v>
      </c>
      <c r="C12" s="20" t="s">
        <v>650</v>
      </c>
      <c r="D12" s="20" t="s">
        <v>738</v>
      </c>
      <c r="E12" s="20" t="s">
        <v>3050</v>
      </c>
      <c r="F12" s="20" t="s">
        <v>3051</v>
      </c>
      <c r="G12" s="21">
        <v>18.8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12" s="22"/>
      <c r="L12" s="23">
        <v>18.8</v>
      </c>
      <c r="M12" s="23">
        <f>SUM(Tabela1746810121422303226816192527313336242101214161824262830384024810121416202226283032343624268101214246101224262442626282626810262862366810121416182022242426[[#This Row],[Saldo no cartão]:[Recarga Pendente]])</f>
        <v>18.8</v>
      </c>
      <c r="N12" s="19">
        <f>Tabela1746810121422303226816192527313336242101214161824262830384024810121416202226283032343624268101214246101224262442626282626810262862366810121416182022242426[[#This Row],[Uso diário]]*2</f>
        <v>37.6</v>
      </c>
      <c r="O12" s="19">
        <f>Tabela1746810121422303226816192527313336242101214161824262830384024810121416202226283032343624268101214246101224262442626282626810262862366810121416182022242426[[#This Row],[Total Acumulado]]-P12</f>
        <v>-75.2</v>
      </c>
      <c r="P12" s="48">
        <f>Tabela1746810121422303226816192527313336242101214161824262830384024810121416202226283032343624268101214246101224262442626282626810262862366810121416182022242426[[#This Row],[Uso diário]]*5</f>
        <v>94</v>
      </c>
      <c r="Q12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2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488.8</v>
      </c>
      <c r="S12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2" s="25">
        <v>13</v>
      </c>
    </row>
    <row r="13" spans="1:59" s="26" customFormat="1" x14ac:dyDescent="0.25">
      <c r="A13" s="16">
        <v>200343</v>
      </c>
      <c r="B13" s="30" t="s">
        <v>379</v>
      </c>
      <c r="C13" s="20" t="s">
        <v>651</v>
      </c>
      <c r="D13" s="20" t="s">
        <v>719</v>
      </c>
      <c r="E13" s="20" t="s">
        <v>3052</v>
      </c>
      <c r="F13" s="20" t="s">
        <v>3053</v>
      </c>
      <c r="G13" s="21">
        <v>10</v>
      </c>
      <c r="H13" s="16">
        <v>16</v>
      </c>
      <c r="I13" s="16"/>
      <c r="J13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160</v>
      </c>
      <c r="K13" s="22"/>
      <c r="L13" s="23"/>
      <c r="M13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Tabela1746810121422303226816192527313336242101214161824262830384024810121416202226283032343624268101214246101224262442626282626810262862366810121416182022242426[[#This Row],[Uso diário]]*2</f>
        <v>20</v>
      </c>
      <c r="O13" s="19">
        <f>Tabela1746810121422303226816192527313336242101214161824262830384024810121416202226283032343624268101214246101224262442626282626810262862366810121416182022242426[[#This Row],[Total Acumulado]]-P13</f>
        <v>-50</v>
      </c>
      <c r="P13" s="48">
        <f>Tabela1746810121422303226816192527313336242101214161824262830384024810121416202226283032343624268101214246101224262442626282626810262862366810121416182022242426[[#This Row],[Uso diário]]*5</f>
        <v>50</v>
      </c>
      <c r="Q13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3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160</v>
      </c>
      <c r="S13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3" s="25">
        <v>13</v>
      </c>
    </row>
    <row r="14" spans="1:59" s="26" customFormat="1" x14ac:dyDescent="0.25">
      <c r="A14" s="16">
        <v>210825</v>
      </c>
      <c r="B14" s="30" t="s">
        <v>1476</v>
      </c>
      <c r="C14" s="20" t="s">
        <v>651</v>
      </c>
      <c r="D14" s="20" t="s">
        <v>727</v>
      </c>
      <c r="E14" s="20" t="s">
        <v>3054</v>
      </c>
      <c r="F14" s="20" t="s">
        <v>3055</v>
      </c>
      <c r="G14" s="21">
        <v>10</v>
      </c>
      <c r="H14" s="16">
        <v>26</v>
      </c>
      <c r="I14" s="16"/>
      <c r="J14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14" s="22"/>
      <c r="L14" s="23"/>
      <c r="M14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Tabela1746810121422303226816192527313336242101214161824262830384024810121416202226283032343624268101214246101224262442626282626810262862366810121416182022242426[[#This Row],[Uso diário]]*2</f>
        <v>20</v>
      </c>
      <c r="O14" s="19">
        <f>Tabela1746810121422303226816192527313336242101214161824262830384024810121416202226283032343624268101214246101224262442626282626810262862366810121416182022242426[[#This Row],[Total Acumulado]]-P14</f>
        <v>-50</v>
      </c>
      <c r="P14" s="48">
        <f>Tabela1746810121422303226816192527313336242101214161824262830384024810121416202226283032343624268101214246101224262442626282626810262862366810121416182022242426[[#This Row],[Uso diário]]*5</f>
        <v>50</v>
      </c>
      <c r="Q14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4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14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4" s="25">
        <v>13</v>
      </c>
    </row>
    <row r="15" spans="1:59" s="26" customFormat="1" x14ac:dyDescent="0.25">
      <c r="A15" s="16">
        <v>215404</v>
      </c>
      <c r="B15" s="30" t="s">
        <v>380</v>
      </c>
      <c r="C15" s="20" t="s">
        <v>651</v>
      </c>
      <c r="D15" s="20" t="s">
        <v>719</v>
      </c>
      <c r="E15" s="20" t="s">
        <v>3056</v>
      </c>
      <c r="F15" s="20" t="s">
        <v>3057</v>
      </c>
      <c r="G15" s="21">
        <v>18.8</v>
      </c>
      <c r="H15" s="16">
        <v>16</v>
      </c>
      <c r="I15" s="16"/>
      <c r="J15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300.8</v>
      </c>
      <c r="K15" s="22"/>
      <c r="L15" s="23"/>
      <c r="M15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5" s="19">
        <f>Tabela1746810121422303226816192527313336242101214161824262830384024810121416202226283032343624268101214246101224262442626282626810262862366810121416182022242426[[#This Row],[Uso diário]]*2</f>
        <v>37.6</v>
      </c>
      <c r="O15" s="19">
        <f>Tabela1746810121422303226816192527313336242101214161824262830384024810121416202226283032343624268101214246101224262442626282626810262862366810121416182022242426[[#This Row],[Total Acumulado]]-P15</f>
        <v>-94</v>
      </c>
      <c r="P15" s="48">
        <f>Tabela1746810121422303226816192527313336242101214161824262830384024810121416202226283032343624268101214246101224262442626282626810262862366810121416182022242426[[#This Row],[Uso diário]]*5</f>
        <v>94</v>
      </c>
      <c r="Q15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5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300.8</v>
      </c>
      <c r="S15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5" s="25">
        <v>13</v>
      </c>
    </row>
    <row r="16" spans="1:59" s="26" customFormat="1" x14ac:dyDescent="0.25">
      <c r="A16" s="16">
        <v>218284</v>
      </c>
      <c r="B16" s="30" t="s">
        <v>381</v>
      </c>
      <c r="C16" s="20" t="s">
        <v>651</v>
      </c>
      <c r="D16" s="20" t="s">
        <v>719</v>
      </c>
      <c r="E16" s="20" t="s">
        <v>3058</v>
      </c>
      <c r="F16" s="20" t="s">
        <v>3059</v>
      </c>
      <c r="G16" s="21">
        <v>18.8</v>
      </c>
      <c r="H16" s="16">
        <v>16</v>
      </c>
      <c r="I16" s="16"/>
      <c r="J16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300.8</v>
      </c>
      <c r="K16" s="22"/>
      <c r="L16" s="23"/>
      <c r="M16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6" s="19">
        <f>Tabela1746810121422303226816192527313336242101214161824262830384024810121416202226283032343624268101214246101224262442626282626810262862366810121416182022242426[[#This Row],[Uso diário]]*2</f>
        <v>37.6</v>
      </c>
      <c r="O16" s="19">
        <f>Tabela1746810121422303226816192527313336242101214161824262830384024810121416202226283032343624268101214246101224262442626282626810262862366810121416182022242426[[#This Row],[Total Acumulado]]-P16</f>
        <v>-94</v>
      </c>
      <c r="P16" s="48">
        <f>Tabela1746810121422303226816192527313336242101214161824262830384024810121416202226283032343624268101214246101224262442626282626810262862366810121416182022242426[[#This Row],[Uso diário]]*5</f>
        <v>94</v>
      </c>
      <c r="Q16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6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300.8</v>
      </c>
      <c r="S16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6" s="25">
        <v>13</v>
      </c>
    </row>
    <row r="17" spans="1:20" s="26" customFormat="1" x14ac:dyDescent="0.25">
      <c r="A17" s="16">
        <v>223856</v>
      </c>
      <c r="B17" s="30" t="s">
        <v>1085</v>
      </c>
      <c r="C17" s="20" t="s">
        <v>651</v>
      </c>
      <c r="D17" s="20" t="s">
        <v>719</v>
      </c>
      <c r="E17" s="20" t="s">
        <v>3060</v>
      </c>
      <c r="F17" s="20" t="s">
        <v>3061</v>
      </c>
      <c r="G17" s="21">
        <v>10</v>
      </c>
      <c r="H17" s="16">
        <v>16</v>
      </c>
      <c r="I17" s="16"/>
      <c r="J17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160</v>
      </c>
      <c r="K17" s="22"/>
      <c r="L17" s="23"/>
      <c r="M17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7" s="19">
        <f>Tabela1746810121422303226816192527313336242101214161824262830384024810121416202226283032343624268101214246101224262442626282626810262862366810121416182022242426[[#This Row],[Uso diário]]*2</f>
        <v>20</v>
      </c>
      <c r="O17" s="19">
        <f>Tabela1746810121422303226816192527313336242101214161824262830384024810121416202226283032343624268101214246101224262442626282626810262862366810121416182022242426[[#This Row],[Total Acumulado]]-P17</f>
        <v>-50</v>
      </c>
      <c r="P17" s="48">
        <f>Tabela1746810121422303226816192527313336242101214161824262830384024810121416202226283032343624268101214246101224262442626282626810262862366810121416182022242426[[#This Row],[Uso diário]]*5</f>
        <v>50</v>
      </c>
      <c r="Q17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7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160</v>
      </c>
      <c r="S17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7" s="25">
        <v>13</v>
      </c>
    </row>
    <row r="18" spans="1:20" s="26" customFormat="1" x14ac:dyDescent="0.25">
      <c r="A18" s="16">
        <v>226410</v>
      </c>
      <c r="B18" s="30" t="s">
        <v>1477</v>
      </c>
      <c r="C18" s="20" t="s">
        <v>651</v>
      </c>
      <c r="D18" s="20" t="s">
        <v>719</v>
      </c>
      <c r="E18" s="20" t="s">
        <v>3062</v>
      </c>
      <c r="F18" s="20" t="s">
        <v>3063</v>
      </c>
      <c r="G18" s="21">
        <v>10</v>
      </c>
      <c r="H18" s="16">
        <v>16</v>
      </c>
      <c r="I18" s="16">
        <v>1</v>
      </c>
      <c r="J18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150</v>
      </c>
      <c r="K18" s="22"/>
      <c r="L18" s="23"/>
      <c r="M18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8" s="19">
        <f>Tabela1746810121422303226816192527313336242101214161824262830384024810121416202226283032343624268101214246101224262442626282626810262862366810121416182022242426[[#This Row],[Uso diário]]*2</f>
        <v>20</v>
      </c>
      <c r="O18" s="19">
        <f>Tabela1746810121422303226816192527313336242101214161824262830384024810121416202226283032343624268101214246101224262442626282626810262862366810121416182022242426[[#This Row],[Total Acumulado]]-P18</f>
        <v>-50</v>
      </c>
      <c r="P18" s="48">
        <f>Tabela1746810121422303226816192527313336242101214161824262830384024810121416202226283032343624268101214246101224262442626282626810262862366810121416182022242426[[#This Row],[Uso diário]]*5</f>
        <v>50</v>
      </c>
      <c r="Q18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8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150</v>
      </c>
      <c r="S18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8" s="25">
        <v>13</v>
      </c>
    </row>
    <row r="19" spans="1:20" s="26" customFormat="1" x14ac:dyDescent="0.25">
      <c r="A19" s="16">
        <v>228041</v>
      </c>
      <c r="B19" s="30" t="s">
        <v>382</v>
      </c>
      <c r="C19" s="20" t="s">
        <v>651</v>
      </c>
      <c r="D19" s="20" t="s">
        <v>719</v>
      </c>
      <c r="E19" s="20" t="s">
        <v>3064</v>
      </c>
      <c r="F19" s="20" t="s">
        <v>3065</v>
      </c>
      <c r="G19" s="21">
        <v>10</v>
      </c>
      <c r="H19" s="16">
        <v>16</v>
      </c>
      <c r="I19" s="16"/>
      <c r="J19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160</v>
      </c>
      <c r="K19" s="22"/>
      <c r="L19" s="23"/>
      <c r="M19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19" s="19">
        <f>Tabela1746810121422303226816192527313336242101214161824262830384024810121416202226283032343624268101214246101224262442626282626810262862366810121416182022242426[[#This Row],[Uso diário]]*2</f>
        <v>20</v>
      </c>
      <c r="O19" s="19">
        <f>Tabela1746810121422303226816192527313336242101214161824262830384024810121416202226283032343624268101214246101224262442626282626810262862366810121416182022242426[[#This Row],[Total Acumulado]]-P19</f>
        <v>-50</v>
      </c>
      <c r="P19" s="48">
        <f>Tabela1746810121422303226816192527313336242101214161824262830384024810121416202226283032343624268101214246101224262442626282626810262862366810121416182022242426[[#This Row],[Uso diário]]*5</f>
        <v>50</v>
      </c>
      <c r="Q19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19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160</v>
      </c>
      <c r="S19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19" s="25">
        <v>13</v>
      </c>
    </row>
    <row r="20" spans="1:20" s="26" customFormat="1" x14ac:dyDescent="0.25">
      <c r="A20" s="16">
        <v>229946</v>
      </c>
      <c r="B20" s="30" t="s">
        <v>1205</v>
      </c>
      <c r="C20" s="20" t="s">
        <v>651</v>
      </c>
      <c r="D20" s="20" t="s">
        <v>719</v>
      </c>
      <c r="E20" s="20" t="s">
        <v>3066</v>
      </c>
      <c r="F20" s="20" t="s">
        <v>3067</v>
      </c>
      <c r="G20" s="21">
        <v>10</v>
      </c>
      <c r="H20" s="16">
        <v>16</v>
      </c>
      <c r="I20" s="16">
        <v>1</v>
      </c>
      <c r="J20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150</v>
      </c>
      <c r="K20" s="22"/>
      <c r="L20" s="23"/>
      <c r="M20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0" s="19">
        <f>Tabela1746810121422303226816192527313336242101214161824262830384024810121416202226283032343624268101214246101224262442626282626810262862366810121416182022242426[[#This Row],[Uso diário]]*2</f>
        <v>20</v>
      </c>
      <c r="O20" s="19">
        <f>Tabela1746810121422303226816192527313336242101214161824262830384024810121416202226283032343624268101214246101224262442626282626810262862366810121416182022242426[[#This Row],[Total Acumulado]]-P20</f>
        <v>-50</v>
      </c>
      <c r="P20" s="48">
        <f>Tabela1746810121422303226816192527313336242101214161824262830384024810121416202226283032343624268101214246101224262442626282626810262862366810121416182022242426[[#This Row],[Uso diário]]*5</f>
        <v>50</v>
      </c>
      <c r="Q20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0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150</v>
      </c>
      <c r="S20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0" s="25">
        <v>13</v>
      </c>
    </row>
    <row r="21" spans="1:20" s="26" customFormat="1" x14ac:dyDescent="0.25">
      <c r="A21" s="16">
        <v>231665</v>
      </c>
      <c r="B21" s="30" t="s">
        <v>834</v>
      </c>
      <c r="C21" s="20" t="s">
        <v>651</v>
      </c>
      <c r="D21" s="20" t="s">
        <v>719</v>
      </c>
      <c r="E21" s="20" t="s">
        <v>3068</v>
      </c>
      <c r="F21" s="20" t="s">
        <v>3069</v>
      </c>
      <c r="G21" s="21">
        <v>10</v>
      </c>
      <c r="H21" s="16">
        <v>16</v>
      </c>
      <c r="I21" s="16"/>
      <c r="J21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160</v>
      </c>
      <c r="K21" s="22"/>
      <c r="L21" s="23"/>
      <c r="M21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1" s="19">
        <f>Tabela1746810121422303226816192527313336242101214161824262830384024810121416202226283032343624268101214246101224262442626282626810262862366810121416182022242426[[#This Row],[Uso diário]]*2</f>
        <v>20</v>
      </c>
      <c r="O21" s="19">
        <f>Tabela1746810121422303226816192527313336242101214161824262830384024810121416202226283032343624268101214246101224262442626282626810262862366810121416182022242426[[#This Row],[Total Acumulado]]-P21</f>
        <v>-50</v>
      </c>
      <c r="P21" s="48">
        <f>Tabela1746810121422303226816192527313336242101214161824262830384024810121416202226283032343624268101214246101224262442626282626810262862366810121416182022242426[[#This Row],[Uso diário]]*5</f>
        <v>50</v>
      </c>
      <c r="Q21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1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160</v>
      </c>
      <c r="S21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1" s="25">
        <v>13</v>
      </c>
    </row>
    <row r="22" spans="1:20" s="26" customFormat="1" x14ac:dyDescent="0.25">
      <c r="A22" s="16">
        <v>232392</v>
      </c>
      <c r="B22" s="30" t="s">
        <v>913</v>
      </c>
      <c r="C22" s="20" t="s">
        <v>651</v>
      </c>
      <c r="D22" s="20" t="s">
        <v>719</v>
      </c>
      <c r="E22" s="20" t="s">
        <v>3070</v>
      </c>
      <c r="F22" s="20" t="s">
        <v>3071</v>
      </c>
      <c r="G22" s="21">
        <v>10</v>
      </c>
      <c r="H22" s="16">
        <v>16</v>
      </c>
      <c r="I22" s="16">
        <v>1</v>
      </c>
      <c r="J22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150</v>
      </c>
      <c r="K22" s="22"/>
      <c r="L22" s="23"/>
      <c r="M22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2" s="19">
        <f>Tabela1746810121422303226816192527313336242101214161824262830384024810121416202226283032343624268101214246101224262442626282626810262862366810121416182022242426[[#This Row],[Uso diário]]*2</f>
        <v>20</v>
      </c>
      <c r="O22" s="19">
        <f>Tabela1746810121422303226816192527313336242101214161824262830384024810121416202226283032343624268101214246101224262442626282626810262862366810121416182022242426[[#This Row],[Total Acumulado]]-P22</f>
        <v>-50</v>
      </c>
      <c r="P22" s="48">
        <f>Tabela1746810121422303226816192527313336242101214161824262830384024810121416202226283032343624268101214246101224262442626282626810262862366810121416182022242426[[#This Row],[Uso diário]]*5</f>
        <v>50</v>
      </c>
      <c r="Q22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2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150</v>
      </c>
      <c r="S22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2" s="25">
        <v>13</v>
      </c>
    </row>
    <row r="23" spans="1:20" s="26" customFormat="1" x14ac:dyDescent="0.25">
      <c r="A23" s="16">
        <v>234887</v>
      </c>
      <c r="B23" s="30" t="s">
        <v>1478</v>
      </c>
      <c r="C23" s="20" t="s">
        <v>651</v>
      </c>
      <c r="D23" s="20" t="s">
        <v>716</v>
      </c>
      <c r="E23" s="20" t="s">
        <v>3072</v>
      </c>
      <c r="F23" s="20" t="s">
        <v>3073</v>
      </c>
      <c r="G23" s="21">
        <v>10</v>
      </c>
      <c r="H23" s="16">
        <v>16</v>
      </c>
      <c r="I23" s="16">
        <v>1</v>
      </c>
      <c r="J23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150</v>
      </c>
      <c r="K23" s="22"/>
      <c r="L23" s="23"/>
      <c r="M23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3" s="19">
        <f>Tabela1746810121422303226816192527313336242101214161824262830384024810121416202226283032343624268101214246101224262442626282626810262862366810121416182022242426[[#This Row],[Uso diário]]*2</f>
        <v>20</v>
      </c>
      <c r="O23" s="19">
        <f>Tabela1746810121422303226816192527313336242101214161824262830384024810121416202226283032343624268101214246101224262442626282626810262862366810121416182022242426[[#This Row],[Total Acumulado]]-P23</f>
        <v>-50</v>
      </c>
      <c r="P23" s="48">
        <f>Tabela1746810121422303226816192527313336242101214161824262830384024810121416202226283032343624268101214246101224262442626282626810262862366810121416182022242426[[#This Row],[Uso diário]]*5</f>
        <v>50</v>
      </c>
      <c r="Q23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3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150</v>
      </c>
      <c r="S23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3" s="25">
        <v>13</v>
      </c>
    </row>
    <row r="24" spans="1:20" s="26" customFormat="1" x14ac:dyDescent="0.25">
      <c r="A24" s="16">
        <v>215656</v>
      </c>
      <c r="B24" s="30" t="s">
        <v>1086</v>
      </c>
      <c r="C24" s="20" t="s">
        <v>635</v>
      </c>
      <c r="D24" s="20" t="s">
        <v>689</v>
      </c>
      <c r="E24" s="20" t="s">
        <v>3074</v>
      </c>
      <c r="F24" s="20" t="s">
        <v>3075</v>
      </c>
      <c r="G24" s="21">
        <v>18.8</v>
      </c>
      <c r="H24" s="16">
        <v>22</v>
      </c>
      <c r="I24" s="16">
        <v>1</v>
      </c>
      <c r="J24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394.8</v>
      </c>
      <c r="K24" s="22"/>
      <c r="L24" s="23"/>
      <c r="M24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4" s="19">
        <f>Tabela1746810121422303226816192527313336242101214161824262830384024810121416202226283032343624268101214246101224262442626282626810262862366810121416182022242426[[#This Row],[Uso diário]]*2</f>
        <v>37.6</v>
      </c>
      <c r="O24" s="19">
        <f>Tabela1746810121422303226816192527313336242101214161824262830384024810121416202226283032343624268101214246101224262442626282626810262862366810121416182022242426[[#This Row],[Total Acumulado]]-P24</f>
        <v>-94</v>
      </c>
      <c r="P24" s="48">
        <f>Tabela1746810121422303226816192527313336242101214161824262830384024810121416202226283032343624268101214246101224262442626282626810262862366810121416182022242426[[#This Row],[Uso diário]]*5</f>
        <v>94</v>
      </c>
      <c r="Q24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4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394.8</v>
      </c>
      <c r="S24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4" s="25">
        <v>13</v>
      </c>
    </row>
    <row r="25" spans="1:20" s="26" customFormat="1" x14ac:dyDescent="0.25">
      <c r="A25" s="16">
        <v>233879</v>
      </c>
      <c r="B25" s="30" t="s">
        <v>1087</v>
      </c>
      <c r="C25" s="20" t="s">
        <v>636</v>
      </c>
      <c r="D25" s="20" t="s">
        <v>729</v>
      </c>
      <c r="E25" s="20" t="s">
        <v>3076</v>
      </c>
      <c r="F25" s="20" t="s">
        <v>3077</v>
      </c>
      <c r="G25" s="21">
        <v>10</v>
      </c>
      <c r="H25" s="16">
        <v>22</v>
      </c>
      <c r="I25" s="16">
        <v>1</v>
      </c>
      <c r="J25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210</v>
      </c>
      <c r="K25" s="22"/>
      <c r="L25" s="23"/>
      <c r="M25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5" s="19">
        <f>Tabela1746810121422303226816192527313336242101214161824262830384024810121416202226283032343624268101214246101224262442626282626810262862366810121416182022242426[[#This Row],[Uso diário]]*2</f>
        <v>20</v>
      </c>
      <c r="O25" s="19">
        <f>Tabela1746810121422303226816192527313336242101214161824262830384024810121416202226283032343624268101214246101224262442626282626810262862366810121416182022242426[[#This Row],[Total Acumulado]]-P25</f>
        <v>-50</v>
      </c>
      <c r="P25" s="48">
        <f>Tabela1746810121422303226816192527313336242101214161824262830384024810121416202226283032343624268101214246101224262442626282626810262862366810121416182022242426[[#This Row],[Uso diário]]*5</f>
        <v>50</v>
      </c>
      <c r="Q25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5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210</v>
      </c>
      <c r="S25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5" s="25">
        <v>13</v>
      </c>
    </row>
    <row r="26" spans="1:20" s="26" customFormat="1" x14ac:dyDescent="0.25">
      <c r="A26" s="16">
        <v>206768</v>
      </c>
      <c r="B26" s="30" t="s">
        <v>1202</v>
      </c>
      <c r="C26" s="20" t="s">
        <v>653</v>
      </c>
      <c r="D26" s="20" t="s">
        <v>891</v>
      </c>
      <c r="E26" s="20" t="s">
        <v>3078</v>
      </c>
      <c r="F26" s="20" t="s">
        <v>3079</v>
      </c>
      <c r="G26" s="21">
        <v>18.8</v>
      </c>
      <c r="H26" s="16">
        <v>26</v>
      </c>
      <c r="I26" s="16"/>
      <c r="J26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26" s="22"/>
      <c r="L26" s="23">
        <v>313.8</v>
      </c>
      <c r="M26" s="23">
        <f>SUM(Tabela1746810121422303226816192527313336242101214161824262830384024810121416202226283032343624268101214246101224262442626282626810262862366810121416182022242426[[#This Row],[Saldo no cartão]:[Recarga Pendente]])</f>
        <v>313.8</v>
      </c>
      <c r="N26" s="19">
        <f>Tabela1746810121422303226816192527313336242101214161824262830384024810121416202226283032343624268101214246101224262442626282626810262862366810121416182022242426[[#This Row],[Uso diário]]*2</f>
        <v>37.6</v>
      </c>
      <c r="O26" s="19">
        <f>Tabela1746810121422303226816192527313336242101214161824262830384024810121416202226283032343624268101214246101224262442626282626810262862366810121416182022242426[[#This Row],[Total Acumulado]]-P26</f>
        <v>219.8</v>
      </c>
      <c r="P26" s="48">
        <f>Tabela1746810121422303226816192527313336242101214161824262830384024810121416202226283032343624268101214246101224262442626282626810262862366810121416182022242426[[#This Row],[Uso diário]]*5</f>
        <v>94</v>
      </c>
      <c r="Q26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219.8</v>
      </c>
      <c r="R26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269</v>
      </c>
      <c r="S26" s="18" t="s">
        <v>11</v>
      </c>
      <c r="T26" s="25">
        <v>13</v>
      </c>
    </row>
    <row r="27" spans="1:20" s="26" customFormat="1" x14ac:dyDescent="0.25">
      <c r="A27" s="16">
        <v>212799</v>
      </c>
      <c r="B27" s="30" t="s">
        <v>384</v>
      </c>
      <c r="C27" s="20" t="s">
        <v>653</v>
      </c>
      <c r="D27" s="20" t="s">
        <v>714</v>
      </c>
      <c r="E27" s="20" t="s">
        <v>3080</v>
      </c>
      <c r="F27" s="20" t="s">
        <v>3081</v>
      </c>
      <c r="G27" s="21">
        <v>10</v>
      </c>
      <c r="H27" s="16">
        <v>26</v>
      </c>
      <c r="I27" s="16">
        <v>1</v>
      </c>
      <c r="J27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250</v>
      </c>
      <c r="K27" s="22"/>
      <c r="L27" s="23"/>
      <c r="M27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7" s="19">
        <f>Tabela1746810121422303226816192527313336242101214161824262830384024810121416202226283032343624268101214246101224262442626282626810262862366810121416182022242426[[#This Row],[Uso diário]]*2</f>
        <v>20</v>
      </c>
      <c r="O27" s="19">
        <f>Tabela1746810121422303226816192527313336242101214161824262830384024810121416202226283032343624268101214246101224262442626282626810262862366810121416182022242426[[#This Row],[Total Acumulado]]-P27</f>
        <v>-50</v>
      </c>
      <c r="P27" s="48">
        <f>Tabela1746810121422303226816192527313336242101214161824262830384024810121416202226283032343624268101214246101224262442626282626810262862366810121416182022242426[[#This Row],[Uso diário]]*5</f>
        <v>50</v>
      </c>
      <c r="Q27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7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250</v>
      </c>
      <c r="S27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7" s="25">
        <v>13</v>
      </c>
    </row>
    <row r="28" spans="1:20" s="26" customFormat="1" x14ac:dyDescent="0.25">
      <c r="A28" s="16">
        <v>218129</v>
      </c>
      <c r="B28" s="30" t="s">
        <v>1371</v>
      </c>
      <c r="C28" s="20" t="s">
        <v>653</v>
      </c>
      <c r="D28" s="20" t="s">
        <v>891</v>
      </c>
      <c r="E28" s="20" t="s">
        <v>3082</v>
      </c>
      <c r="F28" s="20" t="s">
        <v>3083</v>
      </c>
      <c r="G28" s="21">
        <v>18.8</v>
      </c>
      <c r="H28" s="16">
        <v>26</v>
      </c>
      <c r="I28" s="16"/>
      <c r="J28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28" s="22"/>
      <c r="L28" s="23"/>
      <c r="M28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8" s="19">
        <f>Tabela1746810121422303226816192527313336242101214161824262830384024810121416202226283032343624268101214246101224262442626282626810262862366810121416182022242426[[#This Row],[Uso diário]]*2</f>
        <v>37.6</v>
      </c>
      <c r="O28" s="19">
        <f>Tabela1746810121422303226816192527313336242101214161824262830384024810121416202226283032343624268101214246101224262442626282626810262862366810121416182022242426[[#This Row],[Total Acumulado]]-P28</f>
        <v>-94</v>
      </c>
      <c r="P28" s="48">
        <f>Tabela1746810121422303226816192527313336242101214161824262830384024810121416202226283032343624268101214246101224262442626282626810262862366810121416182022242426[[#This Row],[Uso diário]]*5</f>
        <v>94</v>
      </c>
      <c r="Q28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8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488.8</v>
      </c>
      <c r="S28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8" s="25">
        <v>13</v>
      </c>
    </row>
    <row r="29" spans="1:20" s="26" customFormat="1" x14ac:dyDescent="0.25">
      <c r="A29" s="16">
        <v>218488</v>
      </c>
      <c r="B29" s="30" t="s">
        <v>325</v>
      </c>
      <c r="C29" s="20" t="s">
        <v>653</v>
      </c>
      <c r="D29" s="20" t="s">
        <v>891</v>
      </c>
      <c r="E29" s="20" t="s">
        <v>3084</v>
      </c>
      <c r="F29" s="20" t="s">
        <v>3085</v>
      </c>
      <c r="G29" s="21">
        <v>18.8</v>
      </c>
      <c r="H29" s="16">
        <v>26</v>
      </c>
      <c r="I29" s="16">
        <v>3</v>
      </c>
      <c r="J29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432.40000000000003</v>
      </c>
      <c r="K29" s="22"/>
      <c r="L29" s="23"/>
      <c r="M29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29" s="19">
        <f>Tabela1746810121422303226816192527313336242101214161824262830384024810121416202226283032343624268101214246101224262442626282626810262862366810121416182022242426[[#This Row],[Uso diário]]*2</f>
        <v>37.6</v>
      </c>
      <c r="O29" s="19">
        <f>Tabela1746810121422303226816192527313336242101214161824262830384024810121416202226283032343624268101214246101224262442626282626810262862366810121416182022242426[[#This Row],[Total Acumulado]]-P29</f>
        <v>-94</v>
      </c>
      <c r="P29" s="48">
        <f>Tabela1746810121422303226816192527313336242101214161824262830384024810121416202226283032343624268101214246101224262442626282626810262862366810121416182022242426[[#This Row],[Uso diário]]*5</f>
        <v>94</v>
      </c>
      <c r="Q29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29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432.40000000000003</v>
      </c>
      <c r="S29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29" s="25">
        <v>13</v>
      </c>
    </row>
    <row r="30" spans="1:20" s="26" customFormat="1" x14ac:dyDescent="0.25">
      <c r="A30" s="16">
        <v>224363</v>
      </c>
      <c r="B30" s="30" t="s">
        <v>385</v>
      </c>
      <c r="C30" s="20" t="s">
        <v>653</v>
      </c>
      <c r="D30" s="20" t="s">
        <v>714</v>
      </c>
      <c r="E30" s="20" t="s">
        <v>3086</v>
      </c>
      <c r="F30" s="20" t="s">
        <v>3087</v>
      </c>
      <c r="G30" s="21">
        <v>10</v>
      </c>
      <c r="H30" s="16">
        <v>26</v>
      </c>
      <c r="I30" s="16"/>
      <c r="J30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0" s="22"/>
      <c r="L30" s="23"/>
      <c r="M30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0" s="19">
        <f>Tabela1746810121422303226816192527313336242101214161824262830384024810121416202226283032343624268101214246101224262442626282626810262862366810121416182022242426[[#This Row],[Uso diário]]*2</f>
        <v>20</v>
      </c>
      <c r="O30" s="19">
        <f>Tabela1746810121422303226816192527313336242101214161824262830384024810121416202226283032343624268101214246101224262442626282626810262862366810121416182022242426[[#This Row],[Total Acumulado]]-P30</f>
        <v>-50</v>
      </c>
      <c r="P30" s="48">
        <f>Tabela1746810121422303226816192527313336242101214161824262830384024810121416202226283032343624268101214246101224262442626282626810262862366810121416182022242426[[#This Row],[Uso diário]]*5</f>
        <v>50</v>
      </c>
      <c r="Q30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0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0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0" s="25">
        <v>13</v>
      </c>
    </row>
    <row r="31" spans="1:20" s="26" customFormat="1" x14ac:dyDescent="0.25">
      <c r="A31" s="16">
        <v>214409</v>
      </c>
      <c r="B31" s="30" t="s">
        <v>386</v>
      </c>
      <c r="C31" s="20" t="s">
        <v>654</v>
      </c>
      <c r="D31" s="20" t="s">
        <v>715</v>
      </c>
      <c r="E31" s="20" t="s">
        <v>3088</v>
      </c>
      <c r="F31" s="20" t="s">
        <v>3089</v>
      </c>
      <c r="G31" s="21">
        <v>10</v>
      </c>
      <c r="H31" s="16">
        <v>26</v>
      </c>
      <c r="I31" s="16"/>
      <c r="J31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1" s="22"/>
      <c r="L31" s="23"/>
      <c r="M31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1" s="19">
        <f>Tabela1746810121422303226816192527313336242101214161824262830384024810121416202226283032343624268101214246101224262442626282626810262862366810121416182022242426[[#This Row],[Uso diário]]*2</f>
        <v>20</v>
      </c>
      <c r="O31" s="19">
        <f>Tabela1746810121422303226816192527313336242101214161824262830384024810121416202226283032343624268101214246101224262442626282626810262862366810121416182022242426[[#This Row],[Total Acumulado]]-P31</f>
        <v>-50</v>
      </c>
      <c r="P31" s="48">
        <f>Tabela1746810121422303226816192527313336242101214161824262830384024810121416202226283032343624268101214246101224262442626282626810262862366810121416182022242426[[#This Row],[Uso diário]]*5</f>
        <v>50</v>
      </c>
      <c r="Q31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1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1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1" s="25">
        <v>13</v>
      </c>
    </row>
    <row r="32" spans="1:20" s="26" customFormat="1" x14ac:dyDescent="0.25">
      <c r="A32" s="16">
        <v>232332</v>
      </c>
      <c r="B32" s="30" t="s">
        <v>887</v>
      </c>
      <c r="C32" s="20" t="s">
        <v>654</v>
      </c>
      <c r="D32" s="20" t="s">
        <v>715</v>
      </c>
      <c r="E32" s="20" t="s">
        <v>3090</v>
      </c>
      <c r="F32" s="20" t="s">
        <v>3091</v>
      </c>
      <c r="G32" s="21">
        <v>10</v>
      </c>
      <c r="H32" s="16">
        <v>26</v>
      </c>
      <c r="I32" s="16"/>
      <c r="J32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2" s="22"/>
      <c r="L32" s="23"/>
      <c r="M32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2" s="19">
        <f>Tabela1746810121422303226816192527313336242101214161824262830384024810121416202226283032343624268101214246101224262442626282626810262862366810121416182022242426[[#This Row],[Uso diário]]*2</f>
        <v>20</v>
      </c>
      <c r="O32" s="19">
        <f>Tabela1746810121422303226816192527313336242101214161824262830384024810121416202226283032343624268101214246101224262442626282626810262862366810121416182022242426[[#This Row],[Total Acumulado]]-P32</f>
        <v>-50</v>
      </c>
      <c r="P32" s="48">
        <f>Tabela1746810121422303226816192527313336242101214161824262830384024810121416202226283032343624268101214246101224262442626282626810262862366810121416182022242426[[#This Row],[Uso diário]]*5</f>
        <v>50</v>
      </c>
      <c r="Q32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2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2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2" s="25">
        <v>13</v>
      </c>
    </row>
    <row r="33" spans="1:20" s="26" customFormat="1" x14ac:dyDescent="0.25">
      <c r="A33" s="16">
        <v>229684</v>
      </c>
      <c r="B33" s="30" t="s">
        <v>390</v>
      </c>
      <c r="C33" s="20" t="s">
        <v>655</v>
      </c>
      <c r="D33" s="20" t="s">
        <v>713</v>
      </c>
      <c r="E33" s="20" t="s">
        <v>3092</v>
      </c>
      <c r="F33" s="20" t="s">
        <v>3093</v>
      </c>
      <c r="G33" s="21">
        <v>10</v>
      </c>
      <c r="H33" s="16">
        <v>26</v>
      </c>
      <c r="I33" s="16"/>
      <c r="J33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3" s="22"/>
      <c r="L33" s="23"/>
      <c r="M33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3" s="19">
        <f>Tabela1746810121422303226816192527313336242101214161824262830384024810121416202226283032343624268101214246101224262442626282626810262862366810121416182022242426[[#This Row],[Uso diário]]*2</f>
        <v>20</v>
      </c>
      <c r="O33" s="19">
        <f>Tabela1746810121422303226816192527313336242101214161824262830384024810121416202226283032343624268101214246101224262442626282626810262862366810121416182022242426[[#This Row],[Total Acumulado]]-P33</f>
        <v>-50</v>
      </c>
      <c r="P33" s="48">
        <f>Tabela1746810121422303226816192527313336242101214161824262830384024810121416202226283032343624268101214246101224262442626282626810262862366810121416182022242426[[#This Row],[Uso diário]]*5</f>
        <v>50</v>
      </c>
      <c r="Q33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3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3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3" s="25">
        <v>13</v>
      </c>
    </row>
    <row r="34" spans="1:20" s="26" customFormat="1" x14ac:dyDescent="0.25">
      <c r="A34" s="16">
        <v>229836</v>
      </c>
      <c r="B34" s="30" t="s">
        <v>388</v>
      </c>
      <c r="C34" s="20" t="s">
        <v>655</v>
      </c>
      <c r="D34" s="20" t="s">
        <v>713</v>
      </c>
      <c r="E34" s="20" t="s">
        <v>3094</v>
      </c>
      <c r="F34" s="20" t="s">
        <v>3095</v>
      </c>
      <c r="G34" s="21">
        <v>10</v>
      </c>
      <c r="H34" s="16">
        <v>26</v>
      </c>
      <c r="I34" s="16"/>
      <c r="J34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4" s="22"/>
      <c r="L34" s="23"/>
      <c r="M34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4" s="19">
        <f>Tabela1746810121422303226816192527313336242101214161824262830384024810121416202226283032343624268101214246101224262442626282626810262862366810121416182022242426[[#This Row],[Uso diário]]*2</f>
        <v>20</v>
      </c>
      <c r="O34" s="19">
        <f>Tabela1746810121422303226816192527313336242101214161824262830384024810121416202226283032343624268101214246101224262442626282626810262862366810121416182022242426[[#This Row],[Total Acumulado]]-P34</f>
        <v>-50</v>
      </c>
      <c r="P34" s="48">
        <f>Tabela1746810121422303226816192527313336242101214161824262830384024810121416202226283032343624268101214246101224262442626282626810262862366810121416182022242426[[#This Row],[Uso diário]]*5</f>
        <v>50</v>
      </c>
      <c r="Q34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4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4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4" s="25">
        <v>13</v>
      </c>
    </row>
    <row r="35" spans="1:20" s="26" customFormat="1" x14ac:dyDescent="0.25">
      <c r="A35" s="16">
        <v>232028</v>
      </c>
      <c r="B35" s="30" t="s">
        <v>835</v>
      </c>
      <c r="C35" s="20" t="s">
        <v>655</v>
      </c>
      <c r="D35" s="20" t="s">
        <v>734</v>
      </c>
      <c r="E35" s="20" t="s">
        <v>3096</v>
      </c>
      <c r="F35" s="20" t="s">
        <v>3097</v>
      </c>
      <c r="G35" s="21">
        <v>10</v>
      </c>
      <c r="H35" s="16">
        <v>26</v>
      </c>
      <c r="I35" s="16"/>
      <c r="J35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5" s="22"/>
      <c r="L35" s="23"/>
      <c r="M35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5" s="19">
        <f>Tabela1746810121422303226816192527313336242101214161824262830384024810121416202226283032343624268101214246101224262442626282626810262862366810121416182022242426[[#This Row],[Uso diário]]*2</f>
        <v>20</v>
      </c>
      <c r="O35" s="19">
        <f>Tabela1746810121422303226816192527313336242101214161824262830384024810121416202226283032343624268101214246101224262442626282626810262862366810121416182022242426[[#This Row],[Total Acumulado]]-P35</f>
        <v>-50</v>
      </c>
      <c r="P35" s="48">
        <f>Tabela1746810121422303226816192527313336242101214161824262830384024810121416202226283032343624268101214246101224262442626282626810262862366810121416182022242426[[#This Row],[Uso diário]]*5</f>
        <v>50</v>
      </c>
      <c r="Q35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5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5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5" s="25">
        <v>13</v>
      </c>
    </row>
    <row r="36" spans="1:20" s="26" customFormat="1" x14ac:dyDescent="0.25">
      <c r="A36" s="16">
        <v>223009</v>
      </c>
      <c r="B36" s="30" t="s">
        <v>329</v>
      </c>
      <c r="C36" s="20" t="s">
        <v>641</v>
      </c>
      <c r="D36" s="20" t="s">
        <v>704</v>
      </c>
      <c r="E36" s="20" t="s">
        <v>3098</v>
      </c>
      <c r="F36" s="20" t="s">
        <v>3099</v>
      </c>
      <c r="G36" s="21">
        <v>18.8</v>
      </c>
      <c r="H36" s="16">
        <v>26</v>
      </c>
      <c r="I36" s="16"/>
      <c r="J36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36" s="22"/>
      <c r="L36" s="23"/>
      <c r="M36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6" s="19">
        <f>Tabela1746810121422303226816192527313336242101214161824262830384024810121416202226283032343624268101214246101224262442626282626810262862366810121416182022242426[[#This Row],[Uso diário]]*2</f>
        <v>37.6</v>
      </c>
      <c r="O36" s="19">
        <f>Tabela1746810121422303226816192527313336242101214161824262830384024810121416202226283032343624268101214246101224262442626282626810262862366810121416182022242426[[#This Row],[Total Acumulado]]-P36</f>
        <v>-94</v>
      </c>
      <c r="P36" s="48">
        <f>Tabela1746810121422303226816192527313336242101214161824262830384024810121416202226283032343624268101214246101224262442626282626810262862366810121416182022242426[[#This Row],[Uso diário]]*5</f>
        <v>94</v>
      </c>
      <c r="Q36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6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488.8</v>
      </c>
      <c r="S36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6" s="25">
        <v>13</v>
      </c>
    </row>
    <row r="37" spans="1:20" s="26" customFormat="1" x14ac:dyDescent="0.25">
      <c r="A37" s="16">
        <v>224403</v>
      </c>
      <c r="B37" s="30" t="s">
        <v>389</v>
      </c>
      <c r="C37" s="20" t="s">
        <v>641</v>
      </c>
      <c r="D37" s="20" t="s">
        <v>704</v>
      </c>
      <c r="E37" s="20" t="s">
        <v>3100</v>
      </c>
      <c r="F37" s="20" t="s">
        <v>3101</v>
      </c>
      <c r="G37" s="21">
        <v>18.8</v>
      </c>
      <c r="H37" s="16">
        <v>26</v>
      </c>
      <c r="I37" s="16"/>
      <c r="J37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37" s="22"/>
      <c r="L37" s="23"/>
      <c r="M37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7" s="19">
        <f>Tabela1746810121422303226816192527313336242101214161824262830384024810121416202226283032343624268101214246101224262442626282626810262862366810121416182022242426[[#This Row],[Uso diário]]*2</f>
        <v>37.6</v>
      </c>
      <c r="O37" s="19">
        <f>Tabela1746810121422303226816192527313336242101214161824262830384024810121416202226283032343624268101214246101224262442626282626810262862366810121416182022242426[[#This Row],[Total Acumulado]]-P37</f>
        <v>-94</v>
      </c>
      <c r="P37" s="48">
        <f>Tabela1746810121422303226816192527313336242101214161824262830384024810121416202226283032343624268101214246101224262442626282626810262862366810121416182022242426[[#This Row],[Uso diário]]*5</f>
        <v>94</v>
      </c>
      <c r="Q37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7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488.8</v>
      </c>
      <c r="S37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7" s="25">
        <v>13</v>
      </c>
    </row>
    <row r="38" spans="1:20" s="26" customFormat="1" x14ac:dyDescent="0.25">
      <c r="A38" s="16">
        <v>230277</v>
      </c>
      <c r="B38" s="30" t="s">
        <v>139</v>
      </c>
      <c r="C38" s="20" t="s">
        <v>641</v>
      </c>
      <c r="D38" s="20" t="s">
        <v>704</v>
      </c>
      <c r="E38" s="20" t="s">
        <v>3102</v>
      </c>
      <c r="F38" s="20" t="s">
        <v>3103</v>
      </c>
      <c r="G38" s="21">
        <v>10</v>
      </c>
      <c r="H38" s="16">
        <v>26</v>
      </c>
      <c r="I38" s="16"/>
      <c r="J38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38" s="22"/>
      <c r="L38" s="23">
        <v>30</v>
      </c>
      <c r="M38" s="23">
        <f>SUM(Tabela1746810121422303226816192527313336242101214161824262830384024810121416202226283032343624268101214246101224262442626282626810262862366810121416182022242426[[#This Row],[Saldo no cartão]:[Recarga Pendente]])</f>
        <v>30</v>
      </c>
      <c r="N38" s="19">
        <f>Tabela1746810121422303226816192527313336242101214161824262830384024810121416202226283032343624268101214246101224262442626282626810262862366810121416182022242426[[#This Row],[Uso diário]]*2</f>
        <v>20</v>
      </c>
      <c r="O38" s="19">
        <f>Tabela1746810121422303226816192527313336242101214161824262830384024810121416202226283032343624268101214246101224262442626282626810262862366810121416182022242426[[#This Row],[Total Acumulado]]-P38</f>
        <v>-20</v>
      </c>
      <c r="P38" s="48">
        <f>Tabela1746810121422303226816192527313336242101214161824262830384024810121416202226283032343624268101214246101224262442626282626810262862366810121416182022242426[[#This Row],[Uso diário]]*5</f>
        <v>50</v>
      </c>
      <c r="Q38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8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38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8" s="25">
        <v>13</v>
      </c>
    </row>
    <row r="39" spans="1:20" s="26" customFormat="1" x14ac:dyDescent="0.25">
      <c r="A39" s="16">
        <v>231998</v>
      </c>
      <c r="B39" s="30" t="s">
        <v>880</v>
      </c>
      <c r="C39" s="20" t="s">
        <v>641</v>
      </c>
      <c r="D39" s="20" t="s">
        <v>705</v>
      </c>
      <c r="E39" s="20" t="s">
        <v>3104</v>
      </c>
      <c r="F39" s="20" t="s">
        <v>3105</v>
      </c>
      <c r="G39" s="21">
        <v>18.8</v>
      </c>
      <c r="H39" s="16">
        <v>26</v>
      </c>
      <c r="I39" s="16"/>
      <c r="J39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488.8</v>
      </c>
      <c r="K39" s="22"/>
      <c r="L39" s="23"/>
      <c r="M39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39" s="19">
        <f>Tabela1746810121422303226816192527313336242101214161824262830384024810121416202226283032343624268101214246101224262442626282626810262862366810121416182022242426[[#This Row],[Uso diário]]*2</f>
        <v>37.6</v>
      </c>
      <c r="O39" s="19">
        <f>Tabela1746810121422303226816192527313336242101214161824262830384024810121416202226283032343624268101214246101224262442626282626810262862366810121416182022242426[[#This Row],[Total Acumulado]]-P39</f>
        <v>-94</v>
      </c>
      <c r="P39" s="48">
        <f>Tabela1746810121422303226816192527313336242101214161824262830384024810121416202226283032343624268101214246101224262442626282626810262862366810121416182022242426[[#This Row],[Uso diário]]*5</f>
        <v>94</v>
      </c>
      <c r="Q39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39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488.8</v>
      </c>
      <c r="S39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39" s="25">
        <v>13</v>
      </c>
    </row>
    <row r="40" spans="1:20" s="26" customFormat="1" x14ac:dyDescent="0.25">
      <c r="A40" s="16">
        <v>233508</v>
      </c>
      <c r="B40" s="30" t="s">
        <v>1089</v>
      </c>
      <c r="C40" s="20" t="s">
        <v>641</v>
      </c>
      <c r="D40" s="20" t="s">
        <v>704</v>
      </c>
      <c r="E40" s="20" t="s">
        <v>3106</v>
      </c>
      <c r="F40" s="20" t="s">
        <v>3107</v>
      </c>
      <c r="G40" s="21">
        <v>10</v>
      </c>
      <c r="H40" s="16">
        <v>26</v>
      </c>
      <c r="I40" s="16"/>
      <c r="J40" s="17">
        <f>(Tabela1746810121422303226816192527313336242101214161824262830384024810121416202226283032343624268101214246101224262442626282626810262862366810121416182022242426[[#This Row],[D]]-Tabela1746810121422303226816192527313336242101214161824262830384024810121416202226283032343624268101214246101224262442626282626810262862366810121416182022242426[[#This Row],[F]])*Tabela1746810121422303226816192527313336242101214161824262830384024810121416202226283032343624268101214246101224262442626282626810262862366810121416182022242426[[#This Row],[Uso diário]]</f>
        <v>260</v>
      </c>
      <c r="K40" s="22"/>
      <c r="L40" s="23"/>
      <c r="M40" s="23">
        <f>SUM(Tabela1746810121422303226816192527313336242101214161824262830384024810121416202226283032343624268101214246101224262442626282626810262862366810121416182022242426[[#This Row],[Saldo no cartão]:[Recarga Pendente]])</f>
        <v>0</v>
      </c>
      <c r="N40" s="19">
        <f>Tabela1746810121422303226816192527313336242101214161824262830384024810121416202226283032343624268101214246101224262442626282626810262862366810121416182022242426[[#This Row],[Uso diário]]*2</f>
        <v>20</v>
      </c>
      <c r="O40" s="19">
        <f>Tabela1746810121422303226816192527313336242101214161824262830384024810121416202226283032343624268101214246101224262442626282626810262862366810121416182022242426[[#This Row],[Total Acumulado]]-P40</f>
        <v>-50</v>
      </c>
      <c r="P40" s="48">
        <f>Tabela1746810121422303226816192527313336242101214161824262830384024810121416202226283032343624268101214246101224262442626282626810262862366810121416182022242426[[#This Row],[Uso diário]]*5</f>
        <v>50</v>
      </c>
      <c r="Q40" s="17">
        <f>IF(Tabela1746810121422303226816192527313336242101214161824262830384024810121416202226283032343624268101214246101224262442626282626810262862366810121416182022242426[[#This Row],[acumulo]]&lt;Tabela1746810121422303226816192527313336242101214161824262830384024810121416202226283032343624268101214246101224262442626282626810262862366810121416182022242426[[#This Row],[acumulo minimo]],0,Tabela1746810121422303226816192527313336242101214161824262830384024810121416202226283032343624268101214246101224262442626282626810262862366810121416182022242426[[#This Row],[acumulo]])</f>
        <v>0</v>
      </c>
      <c r="R40" s="24">
        <f>IF(Tabela1746810121422303226816192527313336242101214161824262830384024810121416202226283032343624268101214246101224262442626282626810262862366810121416182022242426[[#This Row],[Valor economizado]]&gt;Tabela1746810121422303226816192527313336242101214161824262830384024810121416202226283032343624268101214246101224262442626282626810262862366810121416182022242426[[#This Row],[Pedido Inicial]],0,Tabela1746810121422303226816192527313336242101214161824262830384024810121416202226283032343624268101214246101224262442626282626810262862366810121416182022242426[[#This Row],[Pedido Inicial]]-Tabela1746810121422303226816192527313336242101214161824262830384024810121416202226283032343624268101214246101224262442626282626810262862366810121416182022242426[[#This Row],[Valor economizado]])</f>
        <v>260</v>
      </c>
      <c r="S40" s="18" t="str">
        <f>IF(Tabela1746810121422303226816192527313336242101214161824262830384024810121416202226283032343624268101214246101224262442626282626810262862366810121416182022242426[[#This Row],[Pedido Final]]=0,"NÃO EFETUAR RECARGA","RECARGA NORMAL")</f>
        <v>RECARGA NORMAL</v>
      </c>
      <c r="T40" s="25">
        <v>13</v>
      </c>
    </row>
    <row r="41" spans="1:20" s="8" customFormat="1" x14ac:dyDescent="0.25">
      <c r="A41" s="13" t="s">
        <v>13</v>
      </c>
      <c r="B41" s="13"/>
      <c r="C41" s="13"/>
      <c r="D41" s="13"/>
      <c r="E41" s="20"/>
      <c r="F41" s="20"/>
      <c r="G41" s="33"/>
      <c r="H41" s="13"/>
      <c r="I41" s="13"/>
      <c r="J41" s="14">
        <f>SUBTOTAL(109,Tabela1746810121422303226816192527313336242101214161824262830384024810121416202226283032343624268101214246101224262442626282626810262862366810121416182022242426[Pedido Inicial])</f>
        <v>10782.8</v>
      </c>
      <c r="K41" s="15"/>
      <c r="L41" s="15"/>
      <c r="M41" s="15"/>
      <c r="N41" s="15"/>
      <c r="O41" s="15"/>
      <c r="P41" s="15"/>
      <c r="Q41" s="15"/>
      <c r="R41" s="14">
        <f>SUBTOTAL(109,Tabela1746810121422303226816192527313336242101214161824262830384024810121416202226283032343624268101214246101224262442626282626810262862366810121416182022242426[Pedido Final])</f>
        <v>10562.999999999998</v>
      </c>
      <c r="S41" s="31">
        <f>SUBTOTAL(103,Tabela1746810121422303226816192527313336242101214161824262830384024810121416202226283032343624268101214246101224262442626282626810262862366810121416182022242426[Status])</f>
        <v>37</v>
      </c>
      <c r="T41" s="13"/>
    </row>
    <row r="42" spans="1:20" s="8" customFormat="1" x14ac:dyDescent="0.25">
      <c r="A42" s="13"/>
      <c r="B42" s="13"/>
      <c r="C42" s="13"/>
      <c r="D42" s="13"/>
      <c r="E42" s="20"/>
      <c r="F42" s="20"/>
      <c r="G42" s="33"/>
      <c r="H42" s="13"/>
      <c r="I42" s="13"/>
      <c r="J42" s="14"/>
      <c r="K42" s="15"/>
      <c r="L42" s="15"/>
      <c r="M42" s="15"/>
      <c r="N42" s="15"/>
      <c r="O42" s="15"/>
      <c r="P42" s="15"/>
      <c r="Q42" s="15"/>
      <c r="R42" s="14"/>
      <c r="S42" s="31"/>
      <c r="T42" s="13"/>
    </row>
    <row r="43" spans="1:20" s="8" customFormat="1" x14ac:dyDescent="0.25">
      <c r="A43" s="13"/>
      <c r="B43" s="13"/>
      <c r="C43" s="13"/>
      <c r="D43" s="13"/>
      <c r="E43" s="20"/>
      <c r="F43" s="20"/>
      <c r="G43" s="33"/>
      <c r="H43" s="13"/>
      <c r="I43" s="13"/>
      <c r="J43" s="14"/>
      <c r="K43" s="15"/>
      <c r="L43" s="15"/>
      <c r="M43" s="15"/>
      <c r="N43" s="15"/>
      <c r="O43" s="15"/>
      <c r="P43" s="15"/>
      <c r="Q43" s="15"/>
      <c r="R43" s="14"/>
      <c r="S43" s="31"/>
      <c r="T43" s="13"/>
    </row>
    <row r="44" spans="1:20" s="8" customFormat="1" x14ac:dyDescent="0.25">
      <c r="A44" s="1"/>
      <c r="B44" s="54" t="s">
        <v>14</v>
      </c>
      <c r="C44" s="55"/>
      <c r="D44" s="13"/>
      <c r="F44" s="37"/>
      <c r="G44" s="37"/>
      <c r="H44" s="37"/>
      <c r="I44" s="37"/>
      <c r="J44" s="28"/>
      <c r="K44" s="3"/>
      <c r="L44" s="1"/>
      <c r="M44" s="1"/>
      <c r="N44" s="1"/>
      <c r="O44" s="1"/>
      <c r="P44" s="1"/>
      <c r="Q44" s="1"/>
      <c r="R44" s="4" t="s">
        <v>26</v>
      </c>
      <c r="S44" s="39" t="s">
        <v>15</v>
      </c>
    </row>
    <row r="45" spans="1:20" s="8" customFormat="1" x14ac:dyDescent="0.25">
      <c r="A45" s="1"/>
      <c r="B45" s="50" t="s">
        <v>24</v>
      </c>
      <c r="C45" s="45">
        <f>Tabela1746810121422303226816192527313336242101214161824262830384024810121416202226283032343624268101214246101224262442626282626810262862366810121416182022242426[[#Totals],[Pedido Inicial]]</f>
        <v>10782.8</v>
      </c>
      <c r="D45" s="13"/>
      <c r="F45" s="41"/>
      <c r="G45" s="41"/>
      <c r="H45" s="34"/>
      <c r="I45" s="34"/>
      <c r="J45" s="34"/>
      <c r="K45" s="5"/>
      <c r="L45" s="1"/>
      <c r="M45" s="1"/>
      <c r="N45" s="1"/>
      <c r="O45" s="1"/>
      <c r="P45" s="1"/>
      <c r="Q45" s="1"/>
      <c r="R45" s="58" t="s">
        <v>28</v>
      </c>
      <c r="S45" s="59">
        <f>COUNTIF(Tabela1746810121422303226816192527313336242101214161824262830384024810121416202226283032343624268101214246101224262442626282626810262862366810121416182022242426[Status],Tabela257911131523313337917202628323437353111315171925272931394135911131517212327293133353735379111315357111335373453737393737911373973377911131517192123253527[[#This Row],[STATUS]])</f>
        <v>36</v>
      </c>
    </row>
    <row r="46" spans="1:20" s="8" customFormat="1" x14ac:dyDescent="0.25">
      <c r="A46" s="1"/>
      <c r="B46" s="50" t="s">
        <v>25</v>
      </c>
      <c r="C46" s="45">
        <f>Tabela1746810121422303226816192527313336242101214161824262830384024810121416202226283032343624268101214246101224262442626282626810262862366810121416182022242426[[#Totals],[Pedido Final]]</f>
        <v>10562.999999999998</v>
      </c>
      <c r="D46" s="13"/>
      <c r="F46" s="41"/>
      <c r="G46" s="41"/>
      <c r="H46" s="34"/>
      <c r="I46" s="34"/>
      <c r="J46" s="34"/>
      <c r="K46" s="5"/>
      <c r="L46" s="1"/>
      <c r="M46" s="1"/>
      <c r="N46" s="1"/>
      <c r="O46" s="1"/>
      <c r="P46" s="1"/>
      <c r="R46" s="58" t="s">
        <v>11</v>
      </c>
      <c r="S46" s="59">
        <f>COUNTIF(Tabela1746810121422303226816192527313336242101214161824262830384024810121416202226283032343624268101214246101224262442626282626810262862366810121416182022242426[Status],Tabela257911131523313337917202628323437353111315171925272931394135911131517212327293133353735379111315357111335373453737393737911373973377911131517192123253527[[#This Row],[STATUS]])</f>
        <v>1</v>
      </c>
    </row>
    <row r="47" spans="1:20" s="8" customFormat="1" x14ac:dyDescent="0.25">
      <c r="A47" s="1"/>
      <c r="B47" s="51" t="str">
        <f>_xlfn.CONCAT("ECONOMIA"," ",ROUND(C47/C45,2)*100,"%")</f>
        <v>ECONOMIA 2%</v>
      </c>
      <c r="C47" s="46">
        <f>SUM(C45-C46)</f>
        <v>219.80000000000109</v>
      </c>
      <c r="D47" s="13"/>
      <c r="F47" s="41"/>
      <c r="G47" s="41"/>
      <c r="H47" s="36"/>
      <c r="I47" s="36"/>
      <c r="J47" s="38"/>
      <c r="K47" s="36"/>
      <c r="L47" s="1"/>
      <c r="M47" s="1"/>
      <c r="N47" s="1"/>
      <c r="O47" s="1"/>
      <c r="P47" s="1"/>
      <c r="Q47" s="35"/>
      <c r="R47" s="58" t="s">
        <v>12</v>
      </c>
      <c r="S47" s="59">
        <f>COUNTIF(Tabela1746810121422303226816192527313336242101214161824262830384024810121416202226283032343624268101214246101224262442626282626810262862366810121416182022242426[Status],Tabela257911131523313337917202628323437353111315171925272931394135911131517212327293133353735379111315357111335373453737393737911373973377911131517192123253527[[#This Row],[STATUS]])</f>
        <v>0</v>
      </c>
    </row>
    <row r="48" spans="1:20" s="8" customFormat="1" x14ac:dyDescent="0.25">
      <c r="A48" s="1"/>
      <c r="B48" s="51" t="str">
        <f>_xlfn.CONCAT("HPOD"," ",ROUND(C48/C47,2)*100,"%")</f>
        <v>HPOD 12%</v>
      </c>
      <c r="C48" s="46">
        <f>C47*12%</f>
        <v>26.376000000000129</v>
      </c>
      <c r="D48" s="13"/>
      <c r="F48" s="41"/>
      <c r="G48" s="41"/>
      <c r="H48" s="36"/>
      <c r="I48" s="36"/>
      <c r="J48" s="38"/>
      <c r="K48" s="36"/>
      <c r="L48" s="1"/>
      <c r="M48" s="1"/>
      <c r="N48" s="1"/>
      <c r="O48" s="1"/>
      <c r="P48" s="1"/>
      <c r="Q48" s="1"/>
      <c r="R48" s="6" t="s">
        <v>27</v>
      </c>
      <c r="S48" s="40">
        <f>SUBTOTAL(109,Tabela257911131523313337917202628323437353111315171925272931394135911131517212327293133353735379111315357111335373453737393737911373973377911131517192123253527[Coluna1])</f>
        <v>37</v>
      </c>
    </row>
    <row r="49" spans="1:20" s="8" customFormat="1" x14ac:dyDescent="0.25">
      <c r="A49" s="1"/>
      <c r="B49" s="3"/>
      <c r="C49" s="47"/>
      <c r="D49" s="1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6"/>
    </row>
    <row r="50" spans="1:20" s="8" customFormat="1" x14ac:dyDescent="0.25">
      <c r="A50" s="1"/>
      <c r="B50" s="3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35"/>
      <c r="P50" s="1"/>
      <c r="Q50" s="1"/>
      <c r="R50" s="1"/>
      <c r="S50" s="1"/>
      <c r="T50" s="1"/>
    </row>
    <row r="51" spans="1:20" s="8" customFormat="1" x14ac:dyDescent="0.25">
      <c r="A51" s="26"/>
      <c r="B51" s="12"/>
      <c r="C51" s="12"/>
      <c r="D51" s="12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1"/>
    </row>
    <row r="52" spans="1:20" s="8" customFormat="1" x14ac:dyDescent="0.25">
      <c r="A52" s="26"/>
      <c r="B52" s="12"/>
      <c r="C52" s="12"/>
      <c r="D52" s="12"/>
      <c r="E52" s="27"/>
      <c r="F52" s="27"/>
      <c r="G52" s="27"/>
      <c r="H52" s="27"/>
      <c r="I52" s="27"/>
      <c r="J52" s="27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s="8" customFormat="1" x14ac:dyDescent="0.25">
      <c r="A53" s="26"/>
      <c r="B53" s="12"/>
      <c r="C53" s="12"/>
      <c r="D53" s="12"/>
      <c r="E53" s="28"/>
      <c r="F53" s="28"/>
      <c r="G53" s="28"/>
      <c r="H53" s="28"/>
      <c r="I53" s="28"/>
      <c r="J53" s="28"/>
      <c r="K53" s="27"/>
      <c r="L53" s="26"/>
      <c r="M53" s="26"/>
      <c r="N53" s="26"/>
      <c r="O53" s="26"/>
      <c r="P53" s="26"/>
      <c r="Q53" s="26"/>
      <c r="R53" s="26"/>
      <c r="S53" s="26"/>
      <c r="T53" s="26"/>
    </row>
    <row r="54" spans="1:20" s="8" customFormat="1" x14ac:dyDescent="0.25">
      <c r="A54" s="26"/>
      <c r="B54" s="12"/>
      <c r="C54" s="12"/>
      <c r="D54" s="12"/>
      <c r="E54" s="28"/>
      <c r="F54" s="28"/>
      <c r="G54" s="28"/>
      <c r="H54" s="28"/>
      <c r="I54" s="28"/>
      <c r="J54" s="28"/>
      <c r="K54" s="27"/>
      <c r="L54" s="26"/>
      <c r="M54" s="26"/>
      <c r="N54" s="26"/>
      <c r="O54" s="26"/>
      <c r="P54" s="26"/>
      <c r="Q54" s="26"/>
      <c r="R54" s="26"/>
      <c r="S54" s="26"/>
      <c r="T54" s="26"/>
    </row>
    <row r="55" spans="1:20" s="8" customFormat="1" x14ac:dyDescent="0.25">
      <c r="A55" s="26"/>
      <c r="B55" s="12"/>
      <c r="C55" s="12"/>
      <c r="D55" s="12"/>
      <c r="E55" s="28"/>
      <c r="F55" s="28"/>
      <c r="G55" s="28"/>
      <c r="H55" s="28"/>
      <c r="I55" s="28"/>
      <c r="J55" s="28"/>
      <c r="K55" s="27"/>
      <c r="L55" s="26"/>
      <c r="M55" s="26"/>
      <c r="N55" s="26"/>
      <c r="O55" s="26"/>
      <c r="P55" s="29"/>
      <c r="Q55" s="26"/>
      <c r="R55" s="26"/>
      <c r="S55" s="26"/>
      <c r="T55" s="26"/>
    </row>
    <row r="56" spans="1:20" s="8" customFormat="1" x14ac:dyDescent="0.25">
      <c r="A56" s="26"/>
      <c r="B56" s="12"/>
      <c r="C56" s="12"/>
      <c r="D56" s="12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6"/>
      <c r="S56" s="26"/>
      <c r="T56" s="26"/>
    </row>
    <row r="57" spans="1:20" s="8" customFormat="1" x14ac:dyDescent="0.25">
      <c r="A57" s="26"/>
      <c r="B57" s="12"/>
      <c r="C57" s="12"/>
      <c r="D57" s="12"/>
      <c r="E57" s="28"/>
      <c r="F57" s="28"/>
      <c r="G57" s="28"/>
      <c r="H57" s="28"/>
      <c r="I57" s="28"/>
      <c r="J57" s="28"/>
      <c r="K57" s="29"/>
      <c r="L57" s="26"/>
      <c r="M57" s="26"/>
      <c r="N57" s="26"/>
      <c r="O57" s="26"/>
      <c r="P57" s="26"/>
      <c r="Q57" s="26"/>
      <c r="R57" s="26"/>
      <c r="S57" s="26"/>
      <c r="T57" s="26"/>
    </row>
    <row r="58" spans="1:20" s="8" customFormat="1" x14ac:dyDescent="0.25">
      <c r="A58" s="26"/>
      <c r="B58" s="12"/>
      <c r="C58" s="12"/>
      <c r="D58" s="12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spans="1:20" s="8" customFormat="1" x14ac:dyDescent="0.25">
      <c r="A59" s="26"/>
      <c r="B59" s="12"/>
      <c r="C59" s="12"/>
      <c r="D59" s="12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9"/>
    </row>
    <row r="60" spans="1:20" s="8" customFormat="1" x14ac:dyDescent="0.25">
      <c r="A60" s="26"/>
      <c r="B60" s="12"/>
      <c r="C60" s="12"/>
      <c r="D60" s="12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 s="8" customFormat="1" x14ac:dyDescent="0.25">
      <c r="A61" s="26"/>
      <c r="B61" s="12"/>
      <c r="C61" s="12"/>
      <c r="D61" s="12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 s="8" customFormat="1" x14ac:dyDescent="0.25">
      <c r="A62" s="26"/>
      <c r="B62" s="12"/>
      <c r="C62" s="12"/>
      <c r="D62" s="12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s="8" customFormat="1" x14ac:dyDescent="0.25">
      <c r="A63" s="26"/>
      <c r="B63" s="12"/>
      <c r="C63" s="12"/>
      <c r="D63" s="12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s="8" customFormat="1" x14ac:dyDescent="0.25">
      <c r="A64" s="26"/>
      <c r="B64" s="12"/>
      <c r="C64" s="12"/>
      <c r="D64" s="12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 s="8" customFormat="1" x14ac:dyDescent="0.25">
      <c r="A65" s="1"/>
      <c r="B65" s="3"/>
      <c r="C65" s="3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6"/>
    </row>
    <row r="66" spans="1:20" s="8" customFormat="1" x14ac:dyDescent="0.25">
      <c r="A66" s="1"/>
      <c r="B66" s="3"/>
      <c r="C66" s="3"/>
      <c r="D66" s="3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s="8" customFormat="1" x14ac:dyDescent="0.25">
      <c r="A67" s="1"/>
      <c r="B67" s="3"/>
      <c r="C67" s="3"/>
      <c r="D67" s="3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</row>
  </sheetData>
  <mergeCells count="1">
    <mergeCell ref="A2:T2"/>
  </mergeCells>
  <conditionalFormatting sqref="A1:A1048576">
    <cfRule type="duplicateValues" dxfId="35" priority="4"/>
    <cfRule type="duplicateValues" dxfId="34" priority="5"/>
  </conditionalFormatting>
  <conditionalFormatting sqref="B1:B1048576">
    <cfRule type="duplicateValues" dxfId="33" priority="6"/>
  </conditionalFormatting>
  <conditionalFormatting sqref="B45:C4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{BCB291E3-9CFF-4802-8A2B-B0505DE62199}</x14:id>
        </ext>
      </extLst>
    </cfRule>
  </conditionalFormatting>
  <conditionalFormatting sqref="H45:J46 F45:G4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{C57B9D63-FCCF-4A4B-90C3-F76134EEB703}</x14:id>
        </ext>
      </extLst>
    </cfRule>
  </conditionalFormatting>
  <conditionalFormatting sqref="R45:S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{CA730E42-2E64-4B22-A1D7-0E8C1CB6C359}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291E3-9CFF-4802-8A2B-B0505DE62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B45:C48</xm:sqref>
        </x14:conditionalFormatting>
        <x14:conditionalFormatting xmlns:xm="http://schemas.microsoft.com/office/excel/2006/main">
          <x14:cfRule type="dataBar" id="{C57B9D63-FCCF-4A4B-90C3-F76134EEB703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H45:J46 F45:G48</xm:sqref>
        </x14:conditionalFormatting>
        <x14:conditionalFormatting xmlns:xm="http://schemas.microsoft.com/office/excel/2006/main">
          <x14:cfRule type="dataBar" id="{CA730E42-2E64-4B22-A1D7-0E8C1CB6C3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R45:S47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3214-AF31-4DA6-AB4A-5590E1AE0941}">
  <sheetPr>
    <pageSetUpPr fitToPage="1"/>
  </sheetPr>
  <dimension ref="A1:BG37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6.7109375" style="3" bestFit="1" customWidth="1"/>
    <col min="3" max="3" width="9.7109375" style="3" bestFit="1" customWidth="1"/>
    <col min="4" max="4" width="23.855468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219451</v>
      </c>
      <c r="B4" s="30" t="s">
        <v>374</v>
      </c>
      <c r="C4" s="20" t="s">
        <v>647</v>
      </c>
      <c r="D4" s="20" t="s">
        <v>722</v>
      </c>
      <c r="E4" s="20" t="s">
        <v>3108</v>
      </c>
      <c r="F4" s="20" t="s">
        <v>3109</v>
      </c>
      <c r="G4" s="21">
        <v>13.4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348.40000000000003</v>
      </c>
      <c r="K4" s="22"/>
      <c r="L4" s="23"/>
      <c r="M4" s="23">
        <f>SUM(Tabela174681012142230322681619252731333624210121416182426283038402481012141620222628303234362426810121424610122426244262628262681026286236681012141618202224242628[[#This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Tabela174681012142230322681619252731333624210121416182426283038402481012141620222628303234362426810121424610122426244262628262681026286236681012141618202224242628[[#This Row],[Uso diário]]*2</f>
        <v>26.8</v>
      </c>
      <c r="O4" s="19">
        <f>Tabela174681012142230322681619252731333624210121416182426283038402481012141620222628303234362426810121424610122426244262628262681026286236681012141618202224242628[[#This Row],[Total Acumulado]]-P4</f>
        <v>-67</v>
      </c>
      <c r="P4" s="48">
        <f>Tabela174681012142230322681619252731333624210121416182426283038402481012141620222628303234362426810121424610122426244262628262681026286236681012141618202224242628[[#This Row],[Uso diário]]*5</f>
        <v>67</v>
      </c>
      <c r="Q4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0</v>
      </c>
      <c r="R4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348.40000000000003</v>
      </c>
      <c r="S4" s="18" t="str">
        <f>IF(Tabela174681012142230322681619252731333624210121416182426283038402481012141620222628303234362426810121424610122426244262628262681026286236681012141618202224242628[[#This Row],[Pedido Final]]=0,"NÃO EFETUAR RECARGA","RECARGA NORMAL")</f>
        <v>RECARGA NORMAL</v>
      </c>
      <c r="T4" s="25">
        <v>15</v>
      </c>
    </row>
    <row r="5" spans="1:59" s="26" customFormat="1" x14ac:dyDescent="0.25">
      <c r="A5" s="16">
        <v>222460</v>
      </c>
      <c r="B5" s="30" t="s">
        <v>393</v>
      </c>
      <c r="C5" s="20" t="s">
        <v>647</v>
      </c>
      <c r="D5" s="20" t="s">
        <v>720</v>
      </c>
      <c r="E5" s="20" t="s">
        <v>3110</v>
      </c>
      <c r="F5" s="20" t="s">
        <v>3111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SUM(Tabela174681012142230322681619252731333624210121416182426283038402481012141620222628303234362426810121424610122426244262628262681026286236681012141618202224242628[[#This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Tabela174681012142230322681619252731333624210121416182426283038402481012141620222628303234362426810121424610122426244262628262681026286236681012141618202224242628[[#This Row],[Uso diário]]*2</f>
        <v>37.6</v>
      </c>
      <c r="O5" s="19">
        <f>Tabela174681012142230322681619252731333624210121416182426283038402481012141620222628303234362426810121424610122426244262628262681026286236681012141618202224242628[[#This Row],[Total Acumulado]]-P5</f>
        <v>-94</v>
      </c>
      <c r="P5" s="48">
        <f>Tabela174681012142230322681619252731333624210121416182426283038402481012141620222628303234362426810121424610122426244262628262681026286236681012141618202224242628[[#This Row],[Uso diário]]*5</f>
        <v>94</v>
      </c>
      <c r="Q5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0</v>
      </c>
      <c r="R5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488.8</v>
      </c>
      <c r="S5" s="18" t="str">
        <f>IF(Tabela174681012142230322681619252731333624210121416182426283038402481012141620222628303234362426810121424610122426244262628262681026286236681012141618202224242628[[#This Row],[Pedido Final]]=0,"NÃO EFETUAR RECARGA","RECARGA NORMAL")</f>
        <v>RECARGA NORMAL</v>
      </c>
      <c r="T5" s="25">
        <v>15</v>
      </c>
    </row>
    <row r="6" spans="1:59" s="26" customFormat="1" x14ac:dyDescent="0.25">
      <c r="A6" s="16">
        <v>229442</v>
      </c>
      <c r="B6" s="30" t="s">
        <v>1479</v>
      </c>
      <c r="C6" s="20" t="s">
        <v>650</v>
      </c>
      <c r="D6" s="20" t="s">
        <v>726</v>
      </c>
      <c r="E6" s="20" t="s">
        <v>3112</v>
      </c>
      <c r="F6" s="20" t="s">
        <v>3113</v>
      </c>
      <c r="G6" s="21">
        <v>18.8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488.8</v>
      </c>
      <c r="K6" s="22"/>
      <c r="L6" s="23"/>
      <c r="M6" s="23">
        <f>SUM(Tabela174681012142230322681619252731333624210121416182426283038402481012141620222628303234362426810121424610122426244262628262681026286236681012141618202224242628[[#This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Tabela174681012142230322681619252731333624210121416182426283038402481012141620222628303234362426810121424610122426244262628262681026286236681012141618202224242628[[#This Row],[Uso diário]]*2</f>
        <v>37.6</v>
      </c>
      <c r="O6" s="19">
        <f>Tabela174681012142230322681619252731333624210121416182426283038402481012141620222628303234362426810121424610122426244262628262681026286236681012141618202224242628[[#This Row],[Total Acumulado]]-P6</f>
        <v>-94</v>
      </c>
      <c r="P6" s="48">
        <f>Tabela174681012142230322681619252731333624210121416182426283038402481012141620222628303234362426810121424610122426244262628262681026286236681012141618202224242628[[#This Row],[Uso diário]]*5</f>
        <v>94</v>
      </c>
      <c r="Q6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0</v>
      </c>
      <c r="R6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488.8</v>
      </c>
      <c r="S6" s="18" t="str">
        <f>IF(Tabela174681012142230322681619252731333624210121416182426283038402481012141620222628303234362426810121424610122426244262628262681026286236681012141618202224242628[[#This Row],[Pedido Final]]=0,"NÃO EFETUAR RECARGA","RECARGA NORMAL")</f>
        <v>RECARGA NORMAL</v>
      </c>
      <c r="T6" s="25">
        <v>15</v>
      </c>
    </row>
    <row r="7" spans="1:59" s="26" customFormat="1" x14ac:dyDescent="0.25">
      <c r="A7" s="16">
        <v>235010</v>
      </c>
      <c r="B7" s="30" t="s">
        <v>1480</v>
      </c>
      <c r="C7" s="20" t="s">
        <v>650</v>
      </c>
      <c r="D7" s="20" t="s">
        <v>738</v>
      </c>
      <c r="E7" s="20" t="s">
        <v>3114</v>
      </c>
      <c r="F7" s="20" t="s">
        <v>3115</v>
      </c>
      <c r="G7" s="21">
        <v>18.8</v>
      </c>
      <c r="H7" s="16">
        <v>26</v>
      </c>
      <c r="I7" s="16"/>
      <c r="J7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488.8</v>
      </c>
      <c r="K7" s="22"/>
      <c r="L7" s="23">
        <v>169.2</v>
      </c>
      <c r="M7" s="23">
        <f>SUM(Tabela174681012142230322681619252731333624210121416182426283038402481012141620222628303234362426810121424610122426244262628262681026286236681012141618202224242628[[#This Row],[Saldo no cartão]:[Recarga Pendente]])</f>
        <v>169.2</v>
      </c>
      <c r="N7" s="19">
        <f>Tabela174681012142230322681619252731333624210121416182426283038402481012141620222628303234362426810121424610122426244262628262681026286236681012141618202224242628[[#This Row],[Uso diário]]*2</f>
        <v>37.6</v>
      </c>
      <c r="O7" s="19">
        <f>Tabela174681012142230322681619252731333624210121416182426283038402481012141620222628303234362426810121424610122426244262628262681026286236681012141618202224242628[[#This Row],[Total Acumulado]]-P7</f>
        <v>75.199999999999989</v>
      </c>
      <c r="P7" s="48">
        <f>Tabela174681012142230322681619252731333624210121416182426283038402481012141620222628303234362426810121424610122426244262628262681026286236681012141618202224242628[[#This Row],[Uso diário]]*5</f>
        <v>94</v>
      </c>
      <c r="Q7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75.199999999999989</v>
      </c>
      <c r="R7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413.6</v>
      </c>
      <c r="S7" s="18" t="s">
        <v>11</v>
      </c>
      <c r="T7" s="25">
        <v>15</v>
      </c>
    </row>
    <row r="8" spans="1:59" s="26" customFormat="1" x14ac:dyDescent="0.25">
      <c r="A8" s="16">
        <v>221825</v>
      </c>
      <c r="B8" s="30" t="s">
        <v>391</v>
      </c>
      <c r="C8" s="20" t="s">
        <v>654</v>
      </c>
      <c r="D8" s="20" t="s">
        <v>715</v>
      </c>
      <c r="E8" s="20" t="s">
        <v>3116</v>
      </c>
      <c r="F8" s="20" t="s">
        <v>3117</v>
      </c>
      <c r="G8" s="21">
        <v>18.8</v>
      </c>
      <c r="H8" s="16">
        <v>5</v>
      </c>
      <c r="I8" s="16">
        <v>2</v>
      </c>
      <c r="J8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56.400000000000006</v>
      </c>
      <c r="K8" s="22"/>
      <c r="L8" s="23"/>
      <c r="M8" s="23">
        <f>SUM(Tabela174681012142230322681619252731333624210121416182426283038402481012141620222628303234362426810121424610122426244262628262681026286236681012141618202224242628[[#This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Tabela174681012142230322681619252731333624210121416182426283038402481012141620222628303234362426810121424610122426244262628262681026286236681012141618202224242628[[#This Row],[Uso diário]]*2</f>
        <v>37.6</v>
      </c>
      <c r="O8" s="19">
        <f>Tabela174681012142230322681619252731333624210121416182426283038402481012141620222628303234362426810121424610122426244262628262681026286236681012141618202224242628[[#This Row],[Total Acumulado]]-P8</f>
        <v>-94</v>
      </c>
      <c r="P8" s="48">
        <f>Tabela174681012142230322681619252731333624210121416182426283038402481012141620222628303234362426810121424610122426244262628262681026286236681012141618202224242628[[#This Row],[Uso diário]]*5</f>
        <v>94</v>
      </c>
      <c r="Q8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0</v>
      </c>
      <c r="R8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56.400000000000006</v>
      </c>
      <c r="S8" s="18" t="str">
        <f>IF(Tabela174681012142230322681619252731333624210121416182426283038402481012141620222628303234362426810121424610122426244262628262681026286236681012141618202224242628[[#This Row],[Pedido Final]]=0,"NÃO EFETUAR RECARGA","RECARGA NORMAL")</f>
        <v>RECARGA NORMAL</v>
      </c>
      <c r="T8" s="25">
        <v>15</v>
      </c>
    </row>
    <row r="9" spans="1:59" s="26" customFormat="1" x14ac:dyDescent="0.25">
      <c r="A9" s="16">
        <v>221070</v>
      </c>
      <c r="B9" s="30" t="s">
        <v>1206</v>
      </c>
      <c r="C9" s="20" t="s">
        <v>641</v>
      </c>
      <c r="D9" s="20" t="s">
        <v>704</v>
      </c>
      <c r="E9" s="20" t="s">
        <v>3118</v>
      </c>
      <c r="F9" s="20" t="s">
        <v>3119</v>
      </c>
      <c r="G9" s="21">
        <v>18.8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488.8</v>
      </c>
      <c r="K9" s="22"/>
      <c r="L9" s="23">
        <v>120.15</v>
      </c>
      <c r="M9" s="23">
        <f>SUM(Tabela174681012142230322681619252731333624210121416182426283038402481012141620222628303234362426810121424610122426244262628262681026286236681012141618202224242628[[#This Row],[Saldo no cartão]:[Recarga Pendente]])</f>
        <v>120.15</v>
      </c>
      <c r="N9" s="19">
        <f>Tabela174681012142230322681619252731333624210121416182426283038402481012141620222628303234362426810121424610122426244262628262681026286236681012141618202224242628[[#This Row],[Uso diário]]*2</f>
        <v>37.6</v>
      </c>
      <c r="O9" s="19">
        <f>Tabela174681012142230322681619252731333624210121416182426283038402481012141620222628303234362426810121424610122426244262628262681026286236681012141618202224242628[[#This Row],[Total Acumulado]]-P9</f>
        <v>26.150000000000006</v>
      </c>
      <c r="P9" s="48">
        <f>Tabela174681012142230322681619252731333624210121416182426283038402481012141620222628303234362426810121424610122426244262628262681026286236681012141618202224242628[[#This Row],[Uso diário]]*5</f>
        <v>94</v>
      </c>
      <c r="Q9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0</v>
      </c>
      <c r="R9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488.8</v>
      </c>
      <c r="S9" s="18" t="str">
        <f>IF(Tabela174681012142230322681619252731333624210121416182426283038402481012141620222628303234362426810121424610122426244262628262681026286236681012141618202224242628[[#This Row],[Pedido Final]]=0,"NÃO EFETUAR RECARGA","RECARGA NORMAL")</f>
        <v>RECARGA NORMAL</v>
      </c>
      <c r="T9" s="25">
        <v>15</v>
      </c>
    </row>
    <row r="10" spans="1:59" s="26" customFormat="1" x14ac:dyDescent="0.25">
      <c r="A10" s="16">
        <v>234778</v>
      </c>
      <c r="B10" s="30" t="s">
        <v>1372</v>
      </c>
      <c r="C10" s="20" t="s">
        <v>641</v>
      </c>
      <c r="D10" s="20" t="s">
        <v>704</v>
      </c>
      <c r="E10" s="20" t="s">
        <v>3120</v>
      </c>
      <c r="F10" s="20" t="s">
        <v>3121</v>
      </c>
      <c r="G10" s="21">
        <v>18.8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(Tabela174681012142230322681619252731333624210121416182426283038402481012141620222628303234362426810121424610122426244262628262681026286236681012141618202224242628[[#This Row],[D]]-Tabela174681012142230322681619252731333624210121416182426283038402481012141620222628303234362426810121424610122426244262628262681026286236681012141618202224242628[[#This Row],[F]])*Tabela174681012142230322681619252731333624210121416182426283038402481012141620222628303234362426810121424610122426244262628262681026286236681012141618202224242628[[#This Row],[Uso diário]]</f>
        <v>488.8</v>
      </c>
      <c r="K10" s="22"/>
      <c r="L10" s="23"/>
      <c r="M10" s="23">
        <f>SUM(Tabela174681012142230322681619252731333624210121416182426283038402481012141620222628303234362426810121424610122426244262628262681026286236681012141618202224242628[[#This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Tabela174681012142230322681619252731333624210121416182426283038402481012141620222628303234362426810121424610122426244262628262681026286236681012141618202224242628[[#This Row],[Uso diário]]*2</f>
        <v>37.6</v>
      </c>
      <c r="O10" s="19">
        <f>Tabela174681012142230322681619252731333624210121416182426283038402481012141620222628303234362426810121424610122426244262628262681026286236681012141618202224242628[[#This Row],[Total Acumulado]]-P10</f>
        <v>-94</v>
      </c>
      <c r="P10" s="48">
        <f>Tabela174681012142230322681619252731333624210121416182426283038402481012141620222628303234362426810121424610122426244262628262681026286236681012141618202224242628[[#This Row],[Uso diário]]*5</f>
        <v>94</v>
      </c>
      <c r="Q10" s="17">
        <f>IF(Tabela174681012142230322681619252731333624210121416182426283038402481012141620222628303234362426810121424610122426244262628262681026286236681012141618202224242628[[#This Row],[acumulo]]&lt;Tabela174681012142230322681619252731333624210121416182426283038402481012141620222628303234362426810121424610122426244262628262681026286236681012141618202224242628[[#This Row],[acumulo minimo]],0,Tabela174681012142230322681619252731333624210121416182426283038402481012141620222628303234362426810121424610122426244262628262681026286236681012141618202224242628[[#This Row],[acumulo]])</f>
        <v>0</v>
      </c>
      <c r="R10" s="24">
        <f>IF(Tabela174681012142230322681619252731333624210121416182426283038402481012141620222628303234362426810121424610122426244262628262681026286236681012141618202224242628[[#This Row],[Valor economizado]]&gt;Tabela174681012142230322681619252731333624210121416182426283038402481012141620222628303234362426810121424610122426244262628262681026286236681012141618202224242628[[#This Row],[Pedido Inicial]],0,Tabela174681012142230322681619252731333624210121416182426283038402481012141620222628303234362426810121424610122426244262628262681026286236681012141618202224242628[[#This Row],[Pedido Inicial]]-Tabela174681012142230322681619252731333624210121416182426283038402481012141620222628303234362426810121424610122426244262628262681026286236681012141618202224242628[[#This Row],[Valor economizado]])</f>
        <v>488.8</v>
      </c>
      <c r="S10" s="18" t="str">
        <f>IF(Tabela174681012142230322681619252731333624210121416182426283038402481012141620222628303234362426810121424610122426244262628262681026286236681012141618202224242628[[#This Row],[Pedido Final]]=0,"NÃO EFETUAR RECARGA","RECARGA NORMAL")</f>
        <v>RECARGA NORMAL</v>
      </c>
      <c r="T10" s="25">
        <v>15</v>
      </c>
    </row>
    <row r="11" spans="1:59" s="8" customFormat="1" x14ac:dyDescent="0.25">
      <c r="A11" s="13" t="s">
        <v>13</v>
      </c>
      <c r="B11" s="13"/>
      <c r="C11" s="13"/>
      <c r="D11" s="13"/>
      <c r="E11" s="20"/>
      <c r="F11" s="20"/>
      <c r="G11" s="33"/>
      <c r="H11" s="13"/>
      <c r="I11" s="13"/>
      <c r="J11" s="14">
        <f>SUBTOTAL(109,Tabela174681012142230322681619252731333624210121416182426283038402481012141620222628303234362426810121424610122426244262628262681026286236681012141618202224242628[Pedido Inicial])</f>
        <v>2848.8</v>
      </c>
      <c r="K11" s="15"/>
      <c r="L11" s="15"/>
      <c r="M11" s="15"/>
      <c r="N11" s="15"/>
      <c r="O11" s="15"/>
      <c r="P11" s="15"/>
      <c r="Q11" s="15"/>
      <c r="R11" s="14">
        <f>SUBTOTAL(109,Tabela174681012142230322681619252731333624210121416182426283038402481012141620222628303234362426810121424610122426244262628262681026286236681012141618202224242628[Pedido Final])</f>
        <v>2773.6000000000004</v>
      </c>
      <c r="S11" s="31">
        <f>SUBTOTAL(103,Tabela174681012142230322681619252731333624210121416182426283038402481012141620222628303234362426810121424610122426244262628262681026286236681012141618202224242628[Status])</f>
        <v>7</v>
      </c>
      <c r="T11" s="13"/>
    </row>
    <row r="12" spans="1:59" s="8" customFormat="1" x14ac:dyDescent="0.25">
      <c r="A12" s="13"/>
      <c r="B12" s="13"/>
      <c r="C12" s="13"/>
      <c r="D12" s="13"/>
      <c r="E12" s="20"/>
      <c r="F12" s="20"/>
      <c r="G12" s="33"/>
      <c r="H12" s="13"/>
      <c r="I12" s="13"/>
      <c r="J12" s="14"/>
      <c r="K12" s="15"/>
      <c r="L12" s="15"/>
      <c r="M12" s="15"/>
      <c r="N12" s="15"/>
      <c r="O12" s="15"/>
      <c r="P12" s="15"/>
      <c r="Q12" s="15"/>
      <c r="R12" s="14"/>
      <c r="S12" s="31"/>
      <c r="T12" s="13"/>
    </row>
    <row r="13" spans="1:59" s="8" customFormat="1" x14ac:dyDescent="0.25">
      <c r="A13" s="13"/>
      <c r="B13" s="13"/>
      <c r="C13" s="13"/>
      <c r="D13" s="13"/>
      <c r="E13" s="20"/>
      <c r="F13" s="20"/>
      <c r="G13" s="33"/>
      <c r="H13" s="13"/>
      <c r="I13" s="13"/>
      <c r="J13" s="14"/>
      <c r="K13" s="15"/>
      <c r="L13" s="15"/>
      <c r="M13" s="15"/>
      <c r="N13" s="15"/>
      <c r="O13" s="15"/>
      <c r="P13" s="15"/>
      <c r="Q13" s="15"/>
      <c r="R13" s="14"/>
      <c r="S13" s="31"/>
      <c r="T13" s="13"/>
    </row>
    <row r="14" spans="1:59" s="8" customFormat="1" x14ac:dyDescent="0.25">
      <c r="A14" s="1"/>
      <c r="B14" s="54" t="s">
        <v>14</v>
      </c>
      <c r="C14" s="55"/>
      <c r="D14" s="13"/>
      <c r="F14" s="37"/>
      <c r="G14" s="37"/>
      <c r="H14" s="37"/>
      <c r="I14" s="37"/>
      <c r="J14" s="28"/>
      <c r="K14" s="3"/>
      <c r="L14" s="1"/>
      <c r="M14" s="1"/>
      <c r="N14" s="1"/>
      <c r="O14" s="1"/>
      <c r="P14" s="1"/>
      <c r="Q14" s="1"/>
      <c r="R14" s="4" t="s">
        <v>26</v>
      </c>
      <c r="S14" s="39" t="s">
        <v>15</v>
      </c>
    </row>
    <row r="15" spans="1:59" s="8" customFormat="1" x14ac:dyDescent="0.25">
      <c r="A15" s="1"/>
      <c r="B15" s="50" t="s">
        <v>24</v>
      </c>
      <c r="C15" s="45">
        <f>Tabela174681012142230322681619252731333624210121416182426283038402481012141620222628303234362426810121424610122426244262628262681026286236681012141618202224242628[[#Totals],[Pedido Inicial]]</f>
        <v>2848.8</v>
      </c>
      <c r="D15" s="13"/>
      <c r="F15" s="41"/>
      <c r="G15" s="41"/>
      <c r="H15" s="34"/>
      <c r="I15" s="34"/>
      <c r="J15" s="34"/>
      <c r="K15" s="5"/>
      <c r="L15" s="1"/>
      <c r="M15" s="1"/>
      <c r="N15" s="1"/>
      <c r="O15" s="1"/>
      <c r="P15" s="1"/>
      <c r="Q15" s="1"/>
      <c r="R15" s="58" t="s">
        <v>28</v>
      </c>
      <c r="S15" s="59">
        <f>COUNTIF(Tabela174681012142230322681619252731333624210121416182426283038402481012141620222628303234362426810121424610122426244262628262681026286236681012141618202224242628[Status],Tabela25791113152331333791720262832343735311131517192527293139413591113151721232729313335373537911131535711133537345373739373791137397337791113151719212325352729[[#This Row],[STATUS]])</f>
        <v>6</v>
      </c>
    </row>
    <row r="16" spans="1:59" s="8" customFormat="1" x14ac:dyDescent="0.25">
      <c r="A16" s="1"/>
      <c r="B16" s="50" t="s">
        <v>25</v>
      </c>
      <c r="C16" s="45">
        <f>Tabela174681012142230322681619252731333624210121416182426283038402481012141620222628303234362426810121424610122426244262628262681026286236681012141618202224242628[[#Totals],[Pedido Final]]</f>
        <v>2773.6000000000004</v>
      </c>
      <c r="D16" s="13"/>
      <c r="F16" s="41"/>
      <c r="G16" s="41"/>
      <c r="H16" s="34"/>
      <c r="I16" s="34"/>
      <c r="J16" s="34"/>
      <c r="K16" s="5"/>
      <c r="L16" s="1"/>
      <c r="M16" s="1"/>
      <c r="N16" s="1"/>
      <c r="O16" s="1"/>
      <c r="P16" s="1"/>
      <c r="R16" s="58" t="s">
        <v>11</v>
      </c>
      <c r="S16" s="59">
        <f>COUNTIF(Tabela174681012142230322681619252731333624210121416182426283038402481012141620222628303234362426810121424610122426244262628262681026286236681012141618202224242628[Status],Tabela25791113152331333791720262832343735311131517192527293139413591113151721232729313335373537911131535711133537345373739373791137397337791113151719212325352729[[#This Row],[STATUS]])</f>
        <v>1</v>
      </c>
    </row>
    <row r="17" spans="1:20" s="8" customFormat="1" x14ac:dyDescent="0.25">
      <c r="A17" s="1"/>
      <c r="B17" s="51" t="str">
        <f>_xlfn.CONCAT("ECONOMIA"," ",ROUND(C17/C15,2)*100,"%")</f>
        <v>ECONOMIA 3%</v>
      </c>
      <c r="C17" s="46">
        <f>SUM(C15-C16)</f>
        <v>75.199999999999818</v>
      </c>
      <c r="D17" s="13"/>
      <c r="F17" s="41"/>
      <c r="G17" s="41"/>
      <c r="H17" s="36"/>
      <c r="I17" s="36"/>
      <c r="J17" s="38"/>
      <c r="K17" s="36"/>
      <c r="L17" s="1"/>
      <c r="M17" s="1"/>
      <c r="N17" s="1"/>
      <c r="O17" s="1"/>
      <c r="P17" s="1"/>
      <c r="Q17" s="35"/>
      <c r="R17" s="58" t="s">
        <v>12</v>
      </c>
      <c r="S17" s="59">
        <f>COUNTIF(Tabela174681012142230322681619252731333624210121416182426283038402481012141620222628303234362426810121424610122426244262628262681026286236681012141618202224242628[Status],Tabela25791113152331333791720262832343735311131517192527293139413591113151721232729313335373537911131535711133537345373739373791137397337791113151719212325352729[[#This Row],[STATUS]])</f>
        <v>0</v>
      </c>
    </row>
    <row r="18" spans="1:20" s="8" customFormat="1" x14ac:dyDescent="0.25">
      <c r="A18" s="1"/>
      <c r="B18" s="51" t="str">
        <f>_xlfn.CONCAT("HPOD"," ",ROUND(C18/C17,2)*100,"%")</f>
        <v>HPOD 12%</v>
      </c>
      <c r="C18" s="46">
        <f>C17*12%</f>
        <v>9.0239999999999778</v>
      </c>
      <c r="D18" s="13"/>
      <c r="F18" s="41"/>
      <c r="G18" s="41"/>
      <c r="H18" s="36"/>
      <c r="I18" s="36"/>
      <c r="J18" s="38"/>
      <c r="K18" s="36"/>
      <c r="L18" s="1"/>
      <c r="M18" s="1"/>
      <c r="N18" s="1"/>
      <c r="O18" s="1"/>
      <c r="P18" s="1"/>
      <c r="Q18" s="1"/>
      <c r="R18" s="6" t="s">
        <v>27</v>
      </c>
      <c r="S18" s="40">
        <f>SUBTOTAL(109,Tabela25791113152331333791720262832343735311131517192527293139413591113151721232729313335373537911131535711133537345373739373791137397337791113151719212325352729[Coluna1])</f>
        <v>7</v>
      </c>
    </row>
    <row r="19" spans="1:20" s="8" customFormat="1" x14ac:dyDescent="0.25">
      <c r="A19" s="1"/>
      <c r="B19" s="3"/>
      <c r="C19" s="47"/>
      <c r="D19" s="1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6"/>
    </row>
    <row r="20" spans="1:20" s="8" customFormat="1" x14ac:dyDescent="0.25">
      <c r="A20" s="1"/>
      <c r="B20" s="3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35"/>
      <c r="P20" s="1"/>
      <c r="Q20" s="1"/>
      <c r="R20" s="1"/>
      <c r="S20" s="1"/>
      <c r="T20" s="1"/>
    </row>
    <row r="21" spans="1:20" s="8" customFormat="1" x14ac:dyDescent="0.25">
      <c r="A21" s="26"/>
      <c r="B21" s="12"/>
      <c r="C21" s="12"/>
      <c r="D21" s="12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1"/>
    </row>
    <row r="22" spans="1:20" s="8" customFormat="1" x14ac:dyDescent="0.25">
      <c r="A22" s="26"/>
      <c r="B22" s="12"/>
      <c r="C22" s="12"/>
      <c r="D22" s="12"/>
      <c r="E22" s="27"/>
      <c r="F22" s="27"/>
      <c r="G22" s="27"/>
      <c r="H22" s="27"/>
      <c r="I22" s="27"/>
      <c r="J22" s="27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s="8" customFormat="1" x14ac:dyDescent="0.25">
      <c r="A23" s="26"/>
      <c r="B23" s="12"/>
      <c r="C23" s="12"/>
      <c r="D23" s="12"/>
      <c r="E23" s="28"/>
      <c r="F23" s="28"/>
      <c r="G23" s="28"/>
      <c r="H23" s="28"/>
      <c r="I23" s="28"/>
      <c r="J23" s="28"/>
      <c r="K23" s="27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8" customFormat="1" x14ac:dyDescent="0.25">
      <c r="A24" s="26"/>
      <c r="B24" s="12"/>
      <c r="C24" s="12"/>
      <c r="D24" s="12"/>
      <c r="E24" s="28"/>
      <c r="F24" s="28"/>
      <c r="G24" s="28"/>
      <c r="H24" s="28"/>
      <c r="I24" s="28"/>
      <c r="J24" s="28"/>
      <c r="K24" s="27"/>
      <c r="L24" s="26"/>
      <c r="M24" s="26"/>
      <c r="N24" s="26"/>
      <c r="O24" s="26"/>
      <c r="P24" s="26"/>
      <c r="Q24" s="26"/>
      <c r="R24" s="26"/>
      <c r="S24" s="26"/>
      <c r="T24" s="26"/>
    </row>
    <row r="25" spans="1:20" s="8" customFormat="1" x14ac:dyDescent="0.25">
      <c r="A25" s="26"/>
      <c r="B25" s="12"/>
      <c r="C25" s="12"/>
      <c r="D25" s="12"/>
      <c r="E25" s="28"/>
      <c r="F25" s="28"/>
      <c r="G25" s="28"/>
      <c r="H25" s="28"/>
      <c r="I25" s="28"/>
      <c r="J25" s="28"/>
      <c r="K25" s="27"/>
      <c r="L25" s="26"/>
      <c r="M25" s="26"/>
      <c r="N25" s="26"/>
      <c r="O25" s="26"/>
      <c r="P25" s="29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6"/>
      <c r="F26" s="26"/>
      <c r="G26" s="26"/>
      <c r="H26" s="26"/>
      <c r="I26" s="26"/>
      <c r="J26" s="26"/>
      <c r="K26" s="27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9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9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1"/>
      <c r="B35" s="3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6"/>
    </row>
    <row r="36" spans="1:20" s="8" customFormat="1" x14ac:dyDescent="0.25">
      <c r="A36" s="1"/>
      <c r="B36" s="3"/>
      <c r="C36" s="3"/>
      <c r="D36" s="3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8" customFormat="1" x14ac:dyDescent="0.25">
      <c r="A37" s="1"/>
      <c r="B37" s="3"/>
      <c r="C37" s="3"/>
      <c r="D37" s="3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</row>
  </sheetData>
  <mergeCells count="1">
    <mergeCell ref="A2:T2"/>
  </mergeCells>
  <conditionalFormatting sqref="A1:A1048576">
    <cfRule type="duplicateValues" dxfId="32" priority="4"/>
    <cfRule type="duplicateValues" dxfId="31" priority="5"/>
  </conditionalFormatting>
  <conditionalFormatting sqref="B1:B1048576">
    <cfRule type="duplicateValues" dxfId="30" priority="6"/>
  </conditionalFormatting>
  <conditionalFormatting sqref="B15:C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{34E5BC01-4CEC-4796-A91B-6E537AD77885}</x14:id>
        </ext>
      </extLst>
    </cfRule>
  </conditionalFormatting>
  <conditionalFormatting sqref="H15:J16 F15:G1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{2A42B6B3-E8DE-45DD-B0B0-34AB4A09711B}</x14:id>
        </ext>
      </extLst>
    </cfRule>
  </conditionalFormatting>
  <conditionalFormatting sqref="R15:S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{9832D8CE-FC5F-4B82-98B0-A17534AC3677}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E5BC01-4CEC-4796-A91B-6E537AD778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B15:C18</xm:sqref>
        </x14:conditionalFormatting>
        <x14:conditionalFormatting xmlns:xm="http://schemas.microsoft.com/office/excel/2006/main">
          <x14:cfRule type="dataBar" id="{2A42B6B3-E8DE-45DD-B0B0-34AB4A09711B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H15:J16 F15:G18</xm:sqref>
        </x14:conditionalFormatting>
        <x14:conditionalFormatting xmlns:xm="http://schemas.microsoft.com/office/excel/2006/main">
          <x14:cfRule type="dataBar" id="{9832D8CE-FC5F-4B82-98B0-A17534AC3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R15:S17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66EF-6E64-4DC3-966B-0A3A006947BF}">
  <sheetPr>
    <pageSetUpPr fitToPage="1"/>
  </sheetPr>
  <dimension ref="A1:BG39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8.42578125" style="3" bestFit="1" customWidth="1"/>
    <col min="3" max="3" width="11.140625" style="3" bestFit="1" customWidth="1"/>
    <col min="4" max="4" width="25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210028</v>
      </c>
      <c r="B4" s="30" t="s">
        <v>358</v>
      </c>
      <c r="C4" s="20" t="s">
        <v>648</v>
      </c>
      <c r="D4" s="20" t="s">
        <v>737</v>
      </c>
      <c r="E4" s="20" t="s">
        <v>3122</v>
      </c>
      <c r="F4" s="20" t="s">
        <v>3123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Tabela17468101214223032268161925273133362421012141618242628303840248101214162022262830323436242681012142461012242624426262826268102628623668101214161820222424262830[[#This Row],[Uso diário]]*2</f>
        <v>37.6</v>
      </c>
      <c r="O4" s="19">
        <f>Tabela17468101214223032268161925273133362421012141618242628303840248101214162022262830323436242681012142461012242624426262826268102628623668101214161820222424262830[[#This Row],[Total Acumulado]]-P4</f>
        <v>-94</v>
      </c>
      <c r="P4" s="48">
        <f>Tabela17468101214223032268161925273133362421012141618242628303840248101214162022262830323436242681012142461012242624426262826268102628623668101214161820222424262830[[#This Row],[Uso diário]]*5</f>
        <v>94</v>
      </c>
      <c r="Q4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4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488.8</v>
      </c>
      <c r="S4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4" s="25">
        <v>16</v>
      </c>
    </row>
    <row r="5" spans="1:59" s="26" customFormat="1" x14ac:dyDescent="0.25">
      <c r="A5" s="16">
        <v>231904</v>
      </c>
      <c r="B5" s="30" t="s">
        <v>836</v>
      </c>
      <c r="C5" s="20" t="s">
        <v>636</v>
      </c>
      <c r="D5" s="20" t="s">
        <v>729</v>
      </c>
      <c r="E5" s="20" t="s">
        <v>3124</v>
      </c>
      <c r="F5" s="20" t="s">
        <v>3125</v>
      </c>
      <c r="G5" s="21">
        <v>9.4</v>
      </c>
      <c r="H5" s="16">
        <v>22</v>
      </c>
      <c r="I5" s="16">
        <v>4</v>
      </c>
      <c r="J5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169.20000000000002</v>
      </c>
      <c r="K5" s="22"/>
      <c r="L5" s="23"/>
      <c r="M5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Tabela17468101214223032268161925273133362421012141618242628303840248101214162022262830323436242681012142461012242624426262826268102628623668101214161820222424262830[[#This Row],[Uso diário]]*2</f>
        <v>18.8</v>
      </c>
      <c r="O5" s="19">
        <f>Tabela17468101214223032268161925273133362421012141618242628303840248101214162022262830323436242681012142461012242624426262826268102628623668101214161820222424262830[[#This Row],[Total Acumulado]]-P5</f>
        <v>-47</v>
      </c>
      <c r="P5" s="48">
        <f>Tabela17468101214223032268161925273133362421012141618242628303840248101214162022262830323436242681012142461012242624426262826268102628623668101214161820222424262830[[#This Row],[Uso diário]]*5</f>
        <v>47</v>
      </c>
      <c r="Q5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5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169.20000000000002</v>
      </c>
      <c r="S5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5" s="25">
        <v>16</v>
      </c>
    </row>
    <row r="6" spans="1:59" s="26" customFormat="1" x14ac:dyDescent="0.25">
      <c r="A6" s="16">
        <v>231905</v>
      </c>
      <c r="B6" s="30" t="s">
        <v>837</v>
      </c>
      <c r="C6" s="20" t="s">
        <v>636</v>
      </c>
      <c r="D6" s="20" t="s">
        <v>729</v>
      </c>
      <c r="E6" s="20" t="s">
        <v>3126</v>
      </c>
      <c r="F6" s="20" t="s">
        <v>3127</v>
      </c>
      <c r="G6" s="21">
        <v>9.4</v>
      </c>
      <c r="H6" s="16">
        <v>22</v>
      </c>
      <c r="I6" s="16">
        <v>3</v>
      </c>
      <c r="J6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178.6</v>
      </c>
      <c r="K6" s="22"/>
      <c r="L6" s="23"/>
      <c r="M6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Tabela17468101214223032268161925273133362421012141618242628303840248101214162022262830323436242681012142461012242624426262826268102628623668101214161820222424262830[[#This Row],[Uso diário]]*2</f>
        <v>18.8</v>
      </c>
      <c r="O6" s="19">
        <f>Tabela17468101214223032268161925273133362421012141618242628303840248101214162022262830323436242681012142461012242624426262826268102628623668101214161820222424262830[[#This Row],[Total Acumulado]]-P6</f>
        <v>-47</v>
      </c>
      <c r="P6" s="48">
        <f>Tabela17468101214223032268161925273133362421012141618242628303840248101214162022262830323436242681012142461012242624426262826268102628623668101214161820222424262830[[#This Row],[Uso diário]]*5</f>
        <v>47</v>
      </c>
      <c r="Q6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6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178.6</v>
      </c>
      <c r="S6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6" s="25">
        <v>16</v>
      </c>
    </row>
    <row r="7" spans="1:59" s="26" customFormat="1" x14ac:dyDescent="0.25">
      <c r="A7" s="16">
        <v>231907</v>
      </c>
      <c r="B7" s="30" t="s">
        <v>838</v>
      </c>
      <c r="C7" s="20" t="s">
        <v>636</v>
      </c>
      <c r="D7" s="20" t="s">
        <v>729</v>
      </c>
      <c r="E7" s="20" t="s">
        <v>3128</v>
      </c>
      <c r="F7" s="20" t="s">
        <v>3129</v>
      </c>
      <c r="G7" s="21">
        <v>9.4</v>
      </c>
      <c r="H7" s="16">
        <v>22</v>
      </c>
      <c r="I7" s="16"/>
      <c r="J7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206.8</v>
      </c>
      <c r="K7" s="22"/>
      <c r="L7" s="23"/>
      <c r="M7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Tabela17468101214223032268161925273133362421012141618242628303840248101214162022262830323436242681012142461012242624426262826268102628623668101214161820222424262830[[#This Row],[Uso diário]]*2</f>
        <v>18.8</v>
      </c>
      <c r="O7" s="19">
        <f>Tabela17468101214223032268161925273133362421012141618242628303840248101214162022262830323436242681012142461012242624426262826268102628623668101214161820222424262830[[#This Row],[Total Acumulado]]-P7</f>
        <v>-47</v>
      </c>
      <c r="P7" s="48">
        <f>Tabela17468101214223032268161925273133362421012141618242628303840248101214162022262830323436242681012142461012242624426262826268102628623668101214161820222424262830[[#This Row],[Uso diário]]*5</f>
        <v>47</v>
      </c>
      <c r="Q7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7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206.8</v>
      </c>
      <c r="S7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7" s="25">
        <v>16</v>
      </c>
    </row>
    <row r="8" spans="1:59" s="26" customFormat="1" x14ac:dyDescent="0.25">
      <c r="A8" s="16">
        <v>232305</v>
      </c>
      <c r="B8" s="30" t="s">
        <v>914</v>
      </c>
      <c r="C8" s="20" t="s">
        <v>636</v>
      </c>
      <c r="D8" s="20" t="s">
        <v>730</v>
      </c>
      <c r="E8" s="20" t="s">
        <v>3130</v>
      </c>
      <c r="F8" s="20" t="s">
        <v>3131</v>
      </c>
      <c r="G8" s="21">
        <v>9.4</v>
      </c>
      <c r="H8" s="16">
        <v>22</v>
      </c>
      <c r="I8" s="16">
        <v>1</v>
      </c>
      <c r="J8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197.4</v>
      </c>
      <c r="K8" s="22"/>
      <c r="L8" s="23"/>
      <c r="M8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Tabela17468101214223032268161925273133362421012141618242628303840248101214162022262830323436242681012142461012242624426262826268102628623668101214161820222424262830[[#This Row],[Uso diário]]*2</f>
        <v>18.8</v>
      </c>
      <c r="O8" s="19">
        <f>Tabela17468101214223032268161925273133362421012141618242628303840248101214162022262830323436242681012142461012242624426262826268102628623668101214161820222424262830[[#This Row],[Total Acumulado]]-P8</f>
        <v>-47</v>
      </c>
      <c r="P8" s="48">
        <f>Tabela17468101214223032268161925273133362421012141618242628303840248101214162022262830323436242681012142461012242624426262826268102628623668101214161820222424262830[[#This Row],[Uso diário]]*5</f>
        <v>47</v>
      </c>
      <c r="Q8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8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197.4</v>
      </c>
      <c r="S8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8" s="25">
        <v>16</v>
      </c>
    </row>
    <row r="9" spans="1:59" s="26" customFormat="1" x14ac:dyDescent="0.25">
      <c r="A9" s="16">
        <v>232306</v>
      </c>
      <c r="B9" s="30" t="s">
        <v>915</v>
      </c>
      <c r="C9" s="20" t="s">
        <v>636</v>
      </c>
      <c r="D9" s="20" t="s">
        <v>730</v>
      </c>
      <c r="E9" s="20" t="s">
        <v>3132</v>
      </c>
      <c r="F9" s="20" t="s">
        <v>3133</v>
      </c>
      <c r="G9" s="21">
        <v>9.4</v>
      </c>
      <c r="H9" s="16">
        <v>22</v>
      </c>
      <c r="I9" s="16">
        <v>8</v>
      </c>
      <c r="J9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131.6</v>
      </c>
      <c r="K9" s="22"/>
      <c r="L9" s="23"/>
      <c r="M9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Tabela17468101214223032268161925273133362421012141618242628303840248101214162022262830323436242681012142461012242624426262826268102628623668101214161820222424262830[[#This Row],[Uso diário]]*2</f>
        <v>18.8</v>
      </c>
      <c r="O9" s="19">
        <f>Tabela17468101214223032268161925273133362421012141618242628303840248101214162022262830323436242681012142461012242624426262826268102628623668101214161820222424262830[[#This Row],[Total Acumulado]]-P9</f>
        <v>-47</v>
      </c>
      <c r="P9" s="48">
        <f>Tabela17468101214223032268161925273133362421012141618242628303840248101214162022262830323436242681012142461012242624426262826268102628623668101214161820222424262830[[#This Row],[Uso diário]]*5</f>
        <v>47</v>
      </c>
      <c r="Q9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9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131.6</v>
      </c>
      <c r="S9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9" s="25">
        <v>16</v>
      </c>
    </row>
    <row r="10" spans="1:59" s="26" customFormat="1" x14ac:dyDescent="0.25">
      <c r="A10" s="16">
        <v>232307</v>
      </c>
      <c r="B10" s="30" t="s">
        <v>916</v>
      </c>
      <c r="C10" s="20" t="s">
        <v>636</v>
      </c>
      <c r="D10" s="20" t="s">
        <v>730</v>
      </c>
      <c r="E10" s="20" t="s">
        <v>3134</v>
      </c>
      <c r="F10" s="20" t="s">
        <v>3135</v>
      </c>
      <c r="G10" s="21">
        <v>9.4</v>
      </c>
      <c r="H10" s="16">
        <v>22</v>
      </c>
      <c r="I10" s="16"/>
      <c r="J10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206.8</v>
      </c>
      <c r="K10" s="22"/>
      <c r="L10" s="23"/>
      <c r="M10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Tabela17468101214223032268161925273133362421012141618242628303840248101214162022262830323436242681012142461012242624426262826268102628623668101214161820222424262830[[#This Row],[Uso diário]]*2</f>
        <v>18.8</v>
      </c>
      <c r="O10" s="19">
        <f>Tabela17468101214223032268161925273133362421012141618242628303840248101214162022262830323436242681012142461012242624426262826268102628623668101214161820222424262830[[#This Row],[Total Acumulado]]-P10</f>
        <v>-47</v>
      </c>
      <c r="P10" s="48">
        <f>Tabela17468101214223032268161925273133362421012141618242628303840248101214162022262830323436242681012142461012242624426262826268102628623668101214161820222424262830[[#This Row],[Uso diário]]*5</f>
        <v>47</v>
      </c>
      <c r="Q10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10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206.8</v>
      </c>
      <c r="S10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10" s="25">
        <v>16</v>
      </c>
    </row>
    <row r="11" spans="1:59" s="26" customFormat="1" x14ac:dyDescent="0.25">
      <c r="A11" s="16">
        <v>234792</v>
      </c>
      <c r="B11" s="30" t="s">
        <v>1373</v>
      </c>
      <c r="C11" s="20" t="s">
        <v>636</v>
      </c>
      <c r="D11" s="20" t="s">
        <v>729</v>
      </c>
      <c r="E11" s="20" t="s">
        <v>3136</v>
      </c>
      <c r="F11" s="20" t="s">
        <v>3137</v>
      </c>
      <c r="G11" s="21">
        <v>18.8</v>
      </c>
      <c r="H11" s="16">
        <v>22</v>
      </c>
      <c r="I11" s="16">
        <v>9</v>
      </c>
      <c r="J11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244.4</v>
      </c>
      <c r="K11" s="22"/>
      <c r="L11" s="23"/>
      <c r="M11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Tabela17468101214223032268161925273133362421012141618242628303840248101214162022262830323436242681012142461012242624426262826268102628623668101214161820222424262830[[#This Row],[Uso diário]]*2</f>
        <v>37.6</v>
      </c>
      <c r="O11" s="19">
        <f>Tabela17468101214223032268161925273133362421012141618242628303840248101214162022262830323436242681012142461012242624426262826268102628623668101214161820222424262830[[#This Row],[Total Acumulado]]-P11</f>
        <v>-94</v>
      </c>
      <c r="P11" s="48">
        <f>Tabela17468101214223032268161925273133362421012141618242628303840248101214162022262830323436242681012142461012242624426262826268102628623668101214161820222424262830[[#This Row],[Uso diário]]*5</f>
        <v>94</v>
      </c>
      <c r="Q11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11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244.4</v>
      </c>
      <c r="S11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11" s="25">
        <v>16</v>
      </c>
    </row>
    <row r="12" spans="1:59" s="26" customFormat="1" x14ac:dyDescent="0.25">
      <c r="A12" s="16">
        <v>231482</v>
      </c>
      <c r="B12" s="30" t="s">
        <v>806</v>
      </c>
      <c r="C12" s="20" t="s">
        <v>640</v>
      </c>
      <c r="D12" s="20" t="s">
        <v>702</v>
      </c>
      <c r="E12" s="20" t="s">
        <v>3138</v>
      </c>
      <c r="F12" s="20" t="s">
        <v>3139</v>
      </c>
      <c r="G12" s="21">
        <v>18.8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(Tabela17468101214223032268161925273133362421012141618242628303840248101214162022262830323436242681012142461012242624426262826268102628623668101214161820222424262830[[#This Row],[D]]-Tabela17468101214223032268161925273133362421012141618242628303840248101214162022262830323436242681012142461012242624426262826268102628623668101214161820222424262830[[#This Row],[F]])*Tabela17468101214223032268161925273133362421012141618242628303840248101214162022262830323436242681012142461012242624426262826268102628623668101214161820222424262830[[#This Row],[Uso diário]]</f>
        <v>488.8</v>
      </c>
      <c r="K12" s="22"/>
      <c r="L12" s="23"/>
      <c r="M12" s="23">
        <f>SUM(Tabela17468101214223032268161925273133362421012141618242628303840248101214162022262830323436242681012142461012242624426262826268102628623668101214161820222424262830[[#This Row],[Saldo no cartão]:[Recarga Pendente]])</f>
        <v>0</v>
      </c>
      <c r="N12" s="19">
        <f>Tabela17468101214223032268161925273133362421012141618242628303840248101214162022262830323436242681012142461012242624426262826268102628623668101214161820222424262830[[#This Row],[Uso diário]]*2</f>
        <v>37.6</v>
      </c>
      <c r="O12" s="19">
        <f>Tabela17468101214223032268161925273133362421012141618242628303840248101214162022262830323436242681012142461012242624426262826268102628623668101214161820222424262830[[#This Row],[Total Acumulado]]-P12</f>
        <v>-94</v>
      </c>
      <c r="P12" s="48">
        <f>Tabela17468101214223032268161925273133362421012141618242628303840248101214162022262830323436242681012142461012242624426262826268102628623668101214161820222424262830[[#This Row],[Uso diário]]*5</f>
        <v>94</v>
      </c>
      <c r="Q12" s="17">
        <f>IF(Tabela17468101214223032268161925273133362421012141618242628303840248101214162022262830323436242681012142461012242624426262826268102628623668101214161820222424262830[[#This Row],[acumulo]]&lt;Tabela17468101214223032268161925273133362421012141618242628303840248101214162022262830323436242681012142461012242624426262826268102628623668101214161820222424262830[[#This Row],[acumulo minimo]],0,Tabela17468101214223032268161925273133362421012141618242628303840248101214162022262830323436242681012142461012242624426262826268102628623668101214161820222424262830[[#This Row],[acumulo]])</f>
        <v>0</v>
      </c>
      <c r="R12" s="24">
        <f>IF(Tabela17468101214223032268161925273133362421012141618242628303840248101214162022262830323436242681012142461012242624426262826268102628623668101214161820222424262830[[#This Row],[Valor economizado]]&gt;Tabela17468101214223032268161925273133362421012141618242628303840248101214162022262830323436242681012142461012242624426262826268102628623668101214161820222424262830[[#This Row],[Pedido Inicial]],0,Tabela17468101214223032268161925273133362421012141618242628303840248101214162022262830323436242681012142461012242624426262826268102628623668101214161820222424262830[[#This Row],[Pedido Inicial]]-Tabela17468101214223032268161925273133362421012141618242628303840248101214162022262830323436242681012142461012242624426262826268102628623668101214161820222424262830[[#This Row],[Valor economizado]])</f>
        <v>488.8</v>
      </c>
      <c r="S12" s="18" t="str">
        <f>IF(Tabela17468101214223032268161925273133362421012141618242628303840248101214162022262830323436242681012142461012242624426262826268102628623668101214161820222424262830[[#This Row],[Pedido Final]]=0,"NÃO EFETUAR RECARGA","RECARGA NORMAL")</f>
        <v>RECARGA NORMAL</v>
      </c>
      <c r="T12" s="25">
        <v>16</v>
      </c>
    </row>
    <row r="13" spans="1:59" s="8" customFormat="1" x14ac:dyDescent="0.25">
      <c r="A13" s="13" t="s">
        <v>13</v>
      </c>
      <c r="B13" s="13"/>
      <c r="C13" s="13"/>
      <c r="D13" s="13"/>
      <c r="E13" s="20"/>
      <c r="F13" s="20"/>
      <c r="G13" s="33"/>
      <c r="H13" s="13"/>
      <c r="I13" s="13"/>
      <c r="J13" s="14">
        <f>SUBTOTAL(109,Tabela17468101214223032268161925273133362421012141618242628303840248101214162022262830323436242681012142461012242624426262826268102628623668101214161820222424262830[Pedido Inicial])</f>
        <v>2312.4</v>
      </c>
      <c r="K13" s="15"/>
      <c r="L13" s="15"/>
      <c r="M13" s="15"/>
      <c r="N13" s="15"/>
      <c r="O13" s="15"/>
      <c r="P13" s="15"/>
      <c r="Q13" s="15"/>
      <c r="R13" s="14">
        <f>SUBTOTAL(109,Tabela17468101214223032268161925273133362421012141618242628303840248101214162022262830323436242681012142461012242624426262826268102628623668101214161820222424262830[Pedido Final])</f>
        <v>2312.4</v>
      </c>
      <c r="S13" s="31">
        <f>SUBTOTAL(103,Tabela17468101214223032268161925273133362421012141618242628303840248101214162022262830323436242681012142461012242624426262826268102628623668101214161820222424262830[Status])</f>
        <v>9</v>
      </c>
      <c r="T13" s="13"/>
    </row>
    <row r="14" spans="1:59" s="8" customFormat="1" x14ac:dyDescent="0.25">
      <c r="A14" s="13"/>
      <c r="B14" s="13"/>
      <c r="C14" s="13"/>
      <c r="D14" s="13"/>
      <c r="E14" s="20"/>
      <c r="F14" s="20"/>
      <c r="G14" s="33"/>
      <c r="H14" s="13"/>
      <c r="I14" s="13"/>
      <c r="J14" s="14"/>
      <c r="K14" s="15"/>
      <c r="L14" s="15"/>
      <c r="M14" s="15"/>
      <c r="N14" s="15"/>
      <c r="O14" s="15"/>
      <c r="P14" s="15"/>
      <c r="Q14" s="15"/>
      <c r="R14" s="14"/>
      <c r="S14" s="31"/>
      <c r="T14" s="13"/>
    </row>
    <row r="15" spans="1:59" s="8" customFormat="1" x14ac:dyDescent="0.25">
      <c r="A15" s="13"/>
      <c r="B15" s="13"/>
      <c r="C15" s="13"/>
      <c r="D15" s="13"/>
      <c r="E15" s="20"/>
      <c r="F15" s="20"/>
      <c r="G15" s="33"/>
      <c r="H15" s="13"/>
      <c r="I15" s="13"/>
      <c r="J15" s="14"/>
      <c r="K15" s="15"/>
      <c r="L15" s="15"/>
      <c r="M15" s="15"/>
      <c r="N15" s="15"/>
      <c r="O15" s="15"/>
      <c r="P15" s="15"/>
      <c r="Q15" s="15"/>
      <c r="R15" s="14"/>
      <c r="S15" s="31"/>
      <c r="T15" s="13"/>
    </row>
    <row r="16" spans="1:59" s="8" customFormat="1" x14ac:dyDescent="0.25">
      <c r="A16" s="1"/>
      <c r="B16" s="54" t="s">
        <v>14</v>
      </c>
      <c r="C16" s="55"/>
      <c r="D16" s="13"/>
      <c r="F16" s="37"/>
      <c r="G16" s="37"/>
      <c r="H16" s="37"/>
      <c r="I16" s="37"/>
      <c r="J16" s="28"/>
      <c r="K16" s="3"/>
      <c r="L16" s="1"/>
      <c r="M16" s="1"/>
      <c r="N16" s="1"/>
      <c r="O16" s="1"/>
      <c r="P16" s="1"/>
      <c r="Q16" s="1"/>
      <c r="R16" s="4" t="s">
        <v>26</v>
      </c>
      <c r="S16" s="39" t="s">
        <v>15</v>
      </c>
    </row>
    <row r="17" spans="1:20" s="8" customFormat="1" x14ac:dyDescent="0.25">
      <c r="A17" s="1"/>
      <c r="B17" s="50" t="s">
        <v>24</v>
      </c>
      <c r="C17" s="45">
        <f>Tabela17468101214223032268161925273133362421012141618242628303840248101214162022262830323436242681012142461012242624426262826268102628623668101214161820222424262830[[#Totals],[Pedido Inicial]]</f>
        <v>2312.4</v>
      </c>
      <c r="D17" s="13"/>
      <c r="F17" s="41"/>
      <c r="G17" s="41"/>
      <c r="H17" s="34"/>
      <c r="I17" s="34"/>
      <c r="J17" s="34"/>
      <c r="K17" s="5"/>
      <c r="L17" s="1"/>
      <c r="M17" s="1"/>
      <c r="N17" s="1"/>
      <c r="O17" s="1"/>
      <c r="P17" s="1"/>
      <c r="Q17" s="1"/>
      <c r="R17" s="58" t="s">
        <v>28</v>
      </c>
      <c r="S17" s="59">
        <f>COUNTIF(Tabela17468101214223032268161925273133362421012141618242628303840248101214162022262830323436242681012142461012242624426262826268102628623668101214161820222424262830[Status],Tabela2579111315233133379172026283234373531113151719252729313941359111315172123272931333537353791113153571113353734537373937379113739733779111315171921232535272931[[#This Row],[STATUS]])</f>
        <v>9</v>
      </c>
    </row>
    <row r="18" spans="1:20" s="8" customFormat="1" x14ac:dyDescent="0.25">
      <c r="A18" s="1"/>
      <c r="B18" s="50" t="s">
        <v>25</v>
      </c>
      <c r="C18" s="45">
        <f>Tabela17468101214223032268161925273133362421012141618242628303840248101214162022262830323436242681012142461012242624426262826268102628623668101214161820222424262830[[#Totals],[Pedido Final]]</f>
        <v>2312.4</v>
      </c>
      <c r="D18" s="13"/>
      <c r="F18" s="41"/>
      <c r="G18" s="41"/>
      <c r="H18" s="34"/>
      <c r="I18" s="34"/>
      <c r="J18" s="34"/>
      <c r="K18" s="5"/>
      <c r="L18" s="1"/>
      <c r="M18" s="1"/>
      <c r="N18" s="1"/>
      <c r="O18" s="1"/>
      <c r="P18" s="1"/>
      <c r="R18" s="58" t="s">
        <v>11</v>
      </c>
      <c r="S18" s="59">
        <f>COUNTIF(Tabela17468101214223032268161925273133362421012141618242628303840248101214162022262830323436242681012142461012242624426262826268102628623668101214161820222424262830[Status],Tabela2579111315233133379172026283234373531113151719252729313941359111315172123272931333537353791113153571113353734537373937379113739733779111315171921232535272931[[#This Row],[STATUS]])</f>
        <v>0</v>
      </c>
    </row>
    <row r="19" spans="1:20" s="8" customFormat="1" x14ac:dyDescent="0.25">
      <c r="A19" s="1"/>
      <c r="B19" s="51" t="str">
        <f>_xlfn.CONCAT("ECONOMIA"," ",ROUND(C19/C17,2)*100,"%")</f>
        <v>ECONOMIA 0%</v>
      </c>
      <c r="C19" s="46">
        <f>SUM(C17-C18)</f>
        <v>0</v>
      </c>
      <c r="D19" s="13"/>
      <c r="F19" s="41"/>
      <c r="G19" s="41"/>
      <c r="H19" s="36"/>
      <c r="I19" s="36"/>
      <c r="J19" s="38"/>
      <c r="K19" s="36"/>
      <c r="L19" s="1"/>
      <c r="M19" s="1"/>
      <c r="N19" s="1"/>
      <c r="O19" s="1"/>
      <c r="P19" s="1"/>
      <c r="Q19" s="35"/>
      <c r="R19" s="58" t="s">
        <v>12</v>
      </c>
      <c r="S19" s="59">
        <f>COUNTIF(Tabela17468101214223032268161925273133362421012141618242628303840248101214162022262830323436242681012142461012242624426262826268102628623668101214161820222424262830[Status],Tabela2579111315233133379172026283234373531113151719252729313941359111315172123272931333537353791113153571113353734537373937379113739733779111315171921232535272931[[#This Row],[STATUS]])</f>
        <v>0</v>
      </c>
    </row>
    <row r="20" spans="1:20" s="8" customFormat="1" x14ac:dyDescent="0.25">
      <c r="A20" s="1"/>
      <c r="B20" s="51" t="e">
        <f>_xlfn.CONCAT("HPOD"," ",ROUND(C20/C19,2)*100,"%")</f>
        <v>#DIV/0!</v>
      </c>
      <c r="C20" s="46">
        <f>C19*12%</f>
        <v>0</v>
      </c>
      <c r="D20" s="13"/>
      <c r="F20" s="41"/>
      <c r="G20" s="41"/>
      <c r="H20" s="36"/>
      <c r="I20" s="36"/>
      <c r="J20" s="38"/>
      <c r="K20" s="36"/>
      <c r="L20" s="1"/>
      <c r="M20" s="1"/>
      <c r="N20" s="1"/>
      <c r="O20" s="1"/>
      <c r="P20" s="1"/>
      <c r="Q20" s="1"/>
      <c r="R20" s="6" t="s">
        <v>27</v>
      </c>
      <c r="S20" s="40">
        <f>SUBTOTAL(109,Tabela2579111315233133379172026283234373531113151719252729313941359111315172123272931333537353791113153571113353734537373937379113739733779111315171921232535272931[Coluna1])</f>
        <v>9</v>
      </c>
    </row>
    <row r="21" spans="1:20" s="8" customFormat="1" x14ac:dyDescent="0.25">
      <c r="A21" s="1"/>
      <c r="B21" s="3"/>
      <c r="C21" s="47"/>
      <c r="D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6"/>
    </row>
    <row r="22" spans="1:20" s="8" customFormat="1" x14ac:dyDescent="0.25">
      <c r="A22" s="1"/>
      <c r="B22" s="3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35"/>
      <c r="P22" s="1"/>
      <c r="Q22" s="1"/>
      <c r="R22" s="1"/>
      <c r="S22" s="1"/>
      <c r="T22" s="1"/>
    </row>
    <row r="23" spans="1:20" s="8" customFormat="1" x14ac:dyDescent="0.25">
      <c r="A23" s="26"/>
      <c r="B23" s="12"/>
      <c r="C23" s="12"/>
      <c r="D23" s="12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1"/>
    </row>
    <row r="24" spans="1:20" s="8" customFormat="1" x14ac:dyDescent="0.25">
      <c r="A24" s="26"/>
      <c r="B24" s="12"/>
      <c r="C24" s="12"/>
      <c r="D24" s="12"/>
      <c r="E24" s="27"/>
      <c r="F24" s="27"/>
      <c r="G24" s="27"/>
      <c r="H24" s="27"/>
      <c r="I24" s="27"/>
      <c r="J24" s="27"/>
      <c r="K24" s="26"/>
      <c r="L24" s="26"/>
      <c r="M24" s="26"/>
      <c r="N24" s="26"/>
      <c r="O24" s="26"/>
      <c r="P24" s="26"/>
      <c r="Q24" s="26"/>
      <c r="R24" s="26"/>
      <c r="S24" s="26"/>
      <c r="T24" s="26"/>
    </row>
    <row r="25" spans="1:20" s="8" customFormat="1" x14ac:dyDescent="0.25">
      <c r="A25" s="26"/>
      <c r="B25" s="12"/>
      <c r="C25" s="12"/>
      <c r="D25" s="12"/>
      <c r="E25" s="28"/>
      <c r="F25" s="28"/>
      <c r="G25" s="28"/>
      <c r="H25" s="28"/>
      <c r="I25" s="28"/>
      <c r="J25" s="28"/>
      <c r="K25" s="27"/>
      <c r="L25" s="26"/>
      <c r="M25" s="26"/>
      <c r="N25" s="26"/>
      <c r="O25" s="26"/>
      <c r="P25" s="26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8"/>
      <c r="F26" s="28"/>
      <c r="G26" s="28"/>
      <c r="H26" s="28"/>
      <c r="I26" s="28"/>
      <c r="J26" s="28"/>
      <c r="K26" s="27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7"/>
      <c r="L27" s="26"/>
      <c r="M27" s="26"/>
      <c r="N27" s="26"/>
      <c r="O27" s="26"/>
      <c r="P27" s="29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6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8"/>
      <c r="F29" s="28"/>
      <c r="G29" s="28"/>
      <c r="H29" s="28"/>
      <c r="I29" s="28"/>
      <c r="J29" s="28"/>
      <c r="K29" s="29"/>
      <c r="L29" s="26"/>
      <c r="M29" s="26"/>
      <c r="N29" s="26"/>
      <c r="O29" s="26"/>
      <c r="P29" s="26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9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1"/>
      <c r="B37" s="3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6"/>
    </row>
    <row r="38" spans="1:20" s="8" customFormat="1" x14ac:dyDescent="0.25">
      <c r="A38" s="1"/>
      <c r="B38" s="3"/>
      <c r="C38" s="3"/>
      <c r="D38" s="3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8" customFormat="1" x14ac:dyDescent="0.25">
      <c r="A39" s="1"/>
      <c r="B39" s="3"/>
      <c r="C39" s="3"/>
      <c r="D39" s="3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</row>
  </sheetData>
  <mergeCells count="1">
    <mergeCell ref="A2:T2"/>
  </mergeCells>
  <conditionalFormatting sqref="A1:A1048576">
    <cfRule type="duplicateValues" dxfId="29" priority="4"/>
    <cfRule type="duplicateValues" dxfId="28" priority="5"/>
  </conditionalFormatting>
  <conditionalFormatting sqref="B1:B1048576">
    <cfRule type="duplicateValues" dxfId="27" priority="6"/>
  </conditionalFormatting>
  <conditionalFormatting sqref="B17:C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{69D8BD04-52A3-41E6-B027-70CA2D99657B}</x14:id>
        </ext>
      </extLst>
    </cfRule>
  </conditionalFormatting>
  <conditionalFormatting sqref="H17:J18 F17:G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{3E93B3E5-2374-48A5-A5A1-E7C4881F1AC2}</x14:id>
        </ext>
      </extLst>
    </cfRule>
  </conditionalFormatting>
  <conditionalFormatting sqref="R17:S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{BA65E566-2BF4-49D9-84D4-2D8ACAC861B0}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D8BD04-52A3-41E6-B027-70CA2D996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B17:C20</xm:sqref>
        </x14:conditionalFormatting>
        <x14:conditionalFormatting xmlns:xm="http://schemas.microsoft.com/office/excel/2006/main">
          <x14:cfRule type="dataBar" id="{3E93B3E5-2374-48A5-A5A1-E7C4881F1AC2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H17:J18 F17:G20</xm:sqref>
        </x14:conditionalFormatting>
        <x14:conditionalFormatting xmlns:xm="http://schemas.microsoft.com/office/excel/2006/main">
          <x14:cfRule type="dataBar" id="{BA65E566-2BF4-49D9-84D4-2D8ACAC86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R17:S19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26E3-36F1-4F86-B31F-12224C2821AE}">
  <sheetPr>
    <pageSetUpPr fitToPage="1"/>
  </sheetPr>
  <dimension ref="A1:BG36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3.7109375" style="3" bestFit="1" customWidth="1"/>
    <col min="3" max="3" width="11.140625" style="3" bestFit="1" customWidth="1"/>
    <col min="4" max="4" width="19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222963</v>
      </c>
      <c r="B4" s="30" t="s">
        <v>1293</v>
      </c>
      <c r="C4" s="20" t="s">
        <v>635</v>
      </c>
      <c r="D4" s="20" t="s">
        <v>689</v>
      </c>
      <c r="E4" s="20" t="s">
        <v>3140</v>
      </c>
      <c r="F4" s="20" t="s">
        <v>3141</v>
      </c>
      <c r="G4" s="21">
        <v>18.8</v>
      </c>
      <c r="H4" s="16">
        <v>22</v>
      </c>
      <c r="I4" s="16">
        <v>1</v>
      </c>
      <c r="J4" s="17">
        <f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f>
        <v>394.8</v>
      </c>
      <c r="K4" s="22"/>
      <c r="L4" s="23"/>
      <c r="M4" s="23">
        <f>SUM(Tabela1746810121422303226816192527313336242101214161824262830384024810121416202226283032343624268101214246101224262442626282626810262862366810121416182022242426283032[[#This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Tabela1746810121422303226816192527313336242101214161824262830384024810121416202226283032343624268101214246101224262442626282626810262862366810121416182022242426283032[[#This Row],[Uso diário]]*2</f>
        <v>37.6</v>
      </c>
      <c r="O4" s="19">
        <f>Tabela1746810121422303226816192527313336242101214161824262830384024810121416202226283032343624268101214246101224262442626282626810262862366810121416182022242426283032[[#This Row],[Total Acumulado]]-P4</f>
        <v>-94</v>
      </c>
      <c r="P4" s="48">
        <f>Tabela1746810121422303226816192527313336242101214161824262830384024810121416202226283032343624268101214246101224262442626282626810262862366810121416182022242426283032[[#This Row],[Uso diário]]*5</f>
        <v>94</v>
      </c>
      <c r="Q4" s="17">
        <f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f>
        <v>0</v>
      </c>
      <c r="R4" s="24">
        <f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f>
        <v>394.8</v>
      </c>
      <c r="S4" s="18" t="str">
        <f>IF(Tabela1746810121422303226816192527313336242101214161824262830384024810121416202226283032343624268101214246101224262442626282626810262862366810121416182022242426283032[[#This Row],[Pedido Final]]=0,"NÃO EFETUAR RECARGA","RECARGA NORMAL")</f>
        <v>RECARGA NORMAL</v>
      </c>
      <c r="T4" s="25">
        <v>17</v>
      </c>
    </row>
    <row r="5" spans="1:59" s="26" customFormat="1" x14ac:dyDescent="0.25">
      <c r="A5" s="16">
        <v>234794</v>
      </c>
      <c r="B5" s="30" t="s">
        <v>1374</v>
      </c>
      <c r="C5" s="20" t="s">
        <v>636</v>
      </c>
      <c r="D5" s="20" t="s">
        <v>729</v>
      </c>
      <c r="E5" s="20" t="s">
        <v>3142</v>
      </c>
      <c r="F5" s="20" t="s">
        <v>3143</v>
      </c>
      <c r="G5" s="21">
        <v>9.4</v>
      </c>
      <c r="H5" s="16">
        <v>22</v>
      </c>
      <c r="I5" s="16"/>
      <c r="J5" s="17">
        <f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f>
        <v>206.8</v>
      </c>
      <c r="K5" s="22"/>
      <c r="L5" s="23">
        <v>128.6</v>
      </c>
      <c r="M5" s="23">
        <f>SUM(Tabela1746810121422303226816192527313336242101214161824262830384024810121416202226283032343624268101214246101224262442626282626810262862366810121416182022242426283032[[#This Row],[Saldo no cartão]:[Recarga Pendente]])</f>
        <v>128.6</v>
      </c>
      <c r="N5" s="19">
        <f>Tabela1746810121422303226816192527313336242101214161824262830384024810121416202226283032343624268101214246101224262442626282626810262862366810121416182022242426283032[[#This Row],[Uso diário]]*2</f>
        <v>18.8</v>
      </c>
      <c r="O5" s="19">
        <f>Tabela1746810121422303226816192527313336242101214161824262830384024810121416202226283032343624268101214246101224262442626282626810262862366810121416182022242426283032[[#This Row],[Total Acumulado]]-P5</f>
        <v>81.599999999999994</v>
      </c>
      <c r="P5" s="48">
        <f>Tabela1746810121422303226816192527313336242101214161824262830384024810121416202226283032343624268101214246101224262442626282626810262862366810121416182022242426283032[[#This Row],[Uso diário]]*5</f>
        <v>47</v>
      </c>
      <c r="Q5" s="17">
        <f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f>
        <v>81.599999999999994</v>
      </c>
      <c r="R5" s="24">
        <f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f>
        <v>125.20000000000002</v>
      </c>
      <c r="S5" s="18" t="s">
        <v>11</v>
      </c>
      <c r="T5" s="25">
        <v>17</v>
      </c>
    </row>
    <row r="6" spans="1:59" s="26" customFormat="1" x14ac:dyDescent="0.25">
      <c r="A6" s="16">
        <v>234795</v>
      </c>
      <c r="B6" s="30" t="s">
        <v>1375</v>
      </c>
      <c r="C6" s="20" t="s">
        <v>636</v>
      </c>
      <c r="D6" s="20" t="s">
        <v>729</v>
      </c>
      <c r="E6" s="20" t="s">
        <v>3144</v>
      </c>
      <c r="F6" s="20" t="s">
        <v>3145</v>
      </c>
      <c r="G6" s="21">
        <v>9.4</v>
      </c>
      <c r="H6" s="16">
        <v>22</v>
      </c>
      <c r="I6" s="16"/>
      <c r="J6" s="17">
        <f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f>
        <v>206.8</v>
      </c>
      <c r="K6" s="22"/>
      <c r="L6" s="23">
        <v>128.6</v>
      </c>
      <c r="M6" s="23">
        <f>SUM(Tabela1746810121422303226816192527313336242101214161824262830384024810121416202226283032343624268101214246101224262442626282626810262862366810121416182022242426283032[[#This Row],[Saldo no cartão]:[Recarga Pendente]])</f>
        <v>128.6</v>
      </c>
      <c r="N6" s="19">
        <f>Tabela1746810121422303226816192527313336242101214161824262830384024810121416202226283032343624268101214246101224262442626282626810262862366810121416182022242426283032[[#This Row],[Uso diário]]*2</f>
        <v>18.8</v>
      </c>
      <c r="O6" s="19">
        <f>Tabela1746810121422303226816192527313336242101214161824262830384024810121416202226283032343624268101214246101224262442626282626810262862366810121416182022242426283032[[#This Row],[Total Acumulado]]-P6</f>
        <v>81.599999999999994</v>
      </c>
      <c r="P6" s="48">
        <f>Tabela1746810121422303226816192527313336242101214161824262830384024810121416202226283032343624268101214246101224262442626282626810262862366810121416182022242426283032[[#This Row],[Uso diário]]*5</f>
        <v>47</v>
      </c>
      <c r="Q6" s="17">
        <f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f>
        <v>81.599999999999994</v>
      </c>
      <c r="R6" s="24">
        <f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f>
        <v>125.20000000000002</v>
      </c>
      <c r="S6" s="18" t="s">
        <v>11</v>
      </c>
      <c r="T6" s="25">
        <v>17</v>
      </c>
    </row>
    <row r="7" spans="1:59" s="26" customFormat="1" ht="22.5" x14ac:dyDescent="0.25">
      <c r="A7" s="16">
        <v>234796</v>
      </c>
      <c r="B7" s="30" t="s">
        <v>1376</v>
      </c>
      <c r="C7" s="20" t="s">
        <v>636</v>
      </c>
      <c r="D7" s="20" t="s">
        <v>729</v>
      </c>
      <c r="E7" s="20" t="s">
        <v>3146</v>
      </c>
      <c r="F7" s="20" t="s">
        <v>3147</v>
      </c>
      <c r="G7" s="21">
        <v>9.4</v>
      </c>
      <c r="H7" s="16">
        <v>22</v>
      </c>
      <c r="I7" s="16"/>
      <c r="J7" s="17">
        <f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f>
        <v>206.8</v>
      </c>
      <c r="K7" s="22"/>
      <c r="L7" s="23">
        <v>357.2</v>
      </c>
      <c r="M7" s="23">
        <f>SUM(Tabela1746810121422303226816192527313336242101214161824262830384024810121416202226283032343624268101214246101224262442626282626810262862366810121416182022242426283032[[#This Row],[Saldo no cartão]:[Recarga Pendente]])</f>
        <v>357.2</v>
      </c>
      <c r="N7" s="19">
        <f>Tabela1746810121422303226816192527313336242101214161824262830384024810121416202226283032343624268101214246101224262442626282626810262862366810121416182022242426283032[[#This Row],[Uso diário]]*2</f>
        <v>18.8</v>
      </c>
      <c r="O7" s="19">
        <f>Tabela1746810121422303226816192527313336242101214161824262830384024810121416202226283032343624268101214246101224262442626282626810262862366810121416182022242426283032[[#This Row],[Total Acumulado]]-P7</f>
        <v>310.2</v>
      </c>
      <c r="P7" s="48">
        <f>Tabela1746810121422303226816192527313336242101214161824262830384024810121416202226283032343624268101214246101224262442626282626810262862366810121416182022242426283032[[#This Row],[Uso diário]]*5</f>
        <v>47</v>
      </c>
      <c r="Q7" s="17">
        <f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f>
        <v>310.2</v>
      </c>
      <c r="R7" s="24">
        <f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f>
        <v>0</v>
      </c>
      <c r="S7" s="18" t="str">
        <f>IF(Tabela1746810121422303226816192527313336242101214161824262830384024810121416202226283032343624268101214246101224262442626282626810262862366810121416182022242426283032[[#This Row],[Pedido Final]]=0,"NÃO EFETUAR RECARGA","RECARGA NORMAL")</f>
        <v>NÃO EFETUAR RECARGA</v>
      </c>
      <c r="T7" s="25">
        <v>17</v>
      </c>
    </row>
    <row r="8" spans="1:59" s="26" customFormat="1" ht="22.5" x14ac:dyDescent="0.25">
      <c r="A8" s="16">
        <v>234797</v>
      </c>
      <c r="B8" s="30" t="s">
        <v>1377</v>
      </c>
      <c r="C8" s="20" t="s">
        <v>636</v>
      </c>
      <c r="D8" s="20" t="s">
        <v>729</v>
      </c>
      <c r="E8" s="20" t="s">
        <v>3148</v>
      </c>
      <c r="F8" s="20" t="s">
        <v>3149</v>
      </c>
      <c r="G8" s="21">
        <v>9.4</v>
      </c>
      <c r="H8" s="16">
        <v>22</v>
      </c>
      <c r="I8" s="16"/>
      <c r="J8" s="17">
        <f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f>
        <v>206.8</v>
      </c>
      <c r="K8" s="22"/>
      <c r="L8" s="23">
        <v>357.2</v>
      </c>
      <c r="M8" s="23">
        <f>SUM(Tabela1746810121422303226816192527313336242101214161824262830384024810121416202226283032343624268101214246101224262442626282626810262862366810121416182022242426283032[[#This Row],[Saldo no cartão]:[Recarga Pendente]])</f>
        <v>357.2</v>
      </c>
      <c r="N8" s="19">
        <f>Tabela1746810121422303226816192527313336242101214161824262830384024810121416202226283032343624268101214246101224262442626282626810262862366810121416182022242426283032[[#This Row],[Uso diário]]*2</f>
        <v>18.8</v>
      </c>
      <c r="O8" s="19">
        <f>Tabela1746810121422303226816192527313336242101214161824262830384024810121416202226283032343624268101214246101224262442626282626810262862366810121416182022242426283032[[#This Row],[Total Acumulado]]-P8</f>
        <v>310.2</v>
      </c>
      <c r="P8" s="48">
        <f>Tabela1746810121422303226816192527313336242101214161824262830384024810121416202226283032343624268101214246101224262442626282626810262862366810121416182022242426283032[[#This Row],[Uso diário]]*5</f>
        <v>47</v>
      </c>
      <c r="Q8" s="17">
        <f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f>
        <v>310.2</v>
      </c>
      <c r="R8" s="24">
        <f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f>
        <v>0</v>
      </c>
      <c r="S8" s="18" t="str">
        <f>IF(Tabela1746810121422303226816192527313336242101214161824262830384024810121416202226283032343624268101214246101224262442626282626810262862366810121416182022242426283032[[#This Row],[Pedido Final]]=0,"NÃO EFETUAR RECARGA","RECARGA NORMAL")</f>
        <v>NÃO EFETUAR RECARGA</v>
      </c>
      <c r="T8" s="25">
        <v>17</v>
      </c>
    </row>
    <row r="9" spans="1:59" s="26" customFormat="1" x14ac:dyDescent="0.25">
      <c r="A9" s="16">
        <v>234799</v>
      </c>
      <c r="B9" s="30" t="s">
        <v>1378</v>
      </c>
      <c r="C9" s="20" t="s">
        <v>636</v>
      </c>
      <c r="D9" s="20" t="s">
        <v>729</v>
      </c>
      <c r="E9" s="20" t="s">
        <v>3150</v>
      </c>
      <c r="F9" s="20" t="s">
        <v>3151</v>
      </c>
      <c r="G9" s="21">
        <v>9.4</v>
      </c>
      <c r="H9" s="16">
        <v>22</v>
      </c>
      <c r="I9" s="16"/>
      <c r="J9" s="17">
        <f>(Tabela1746810121422303226816192527313336242101214161824262830384024810121416202226283032343624268101214246101224262442626282626810262862366810121416182022242426283032[[#This Row],[D]]-Tabela1746810121422303226816192527313336242101214161824262830384024810121416202226283032343624268101214246101224262442626282626810262862366810121416182022242426283032[[#This Row],[F]])*Tabela1746810121422303226816192527313336242101214161824262830384024810121416202226283032343624268101214246101224262442626282626810262862366810121416182022242426283032[[#This Row],[Uso diário]]</f>
        <v>206.8</v>
      </c>
      <c r="K9" s="22"/>
      <c r="L9" s="23">
        <v>128.6</v>
      </c>
      <c r="M9" s="23">
        <f>SUM(Tabela1746810121422303226816192527313336242101214161824262830384024810121416202226283032343624268101214246101224262442626282626810262862366810121416182022242426283032[[#This Row],[Saldo no cartão]:[Recarga Pendente]])</f>
        <v>128.6</v>
      </c>
      <c r="N9" s="19">
        <f>Tabela1746810121422303226816192527313336242101214161824262830384024810121416202226283032343624268101214246101224262442626282626810262862366810121416182022242426283032[[#This Row],[Uso diário]]*2</f>
        <v>18.8</v>
      </c>
      <c r="O9" s="19">
        <f>Tabela1746810121422303226816192527313336242101214161824262830384024810121416202226283032343624268101214246101224262442626282626810262862366810121416182022242426283032[[#This Row],[Total Acumulado]]-P9</f>
        <v>81.599999999999994</v>
      </c>
      <c r="P9" s="48">
        <f>Tabela1746810121422303226816192527313336242101214161824262830384024810121416202226283032343624268101214246101224262442626282626810262862366810121416182022242426283032[[#This Row],[Uso diário]]*5</f>
        <v>47</v>
      </c>
      <c r="Q9" s="17">
        <f>IF(Tabela1746810121422303226816192527313336242101214161824262830384024810121416202226283032343624268101214246101224262442626282626810262862366810121416182022242426283032[[#This Row],[acumulo]]&lt;Tabela1746810121422303226816192527313336242101214161824262830384024810121416202226283032343624268101214246101224262442626282626810262862366810121416182022242426283032[[#This Row],[acumulo minimo]],0,Tabela1746810121422303226816192527313336242101214161824262830384024810121416202226283032343624268101214246101224262442626282626810262862366810121416182022242426283032[[#This Row],[acumulo]])</f>
        <v>81.599999999999994</v>
      </c>
      <c r="R9" s="24">
        <f>IF(Tabela1746810121422303226816192527313336242101214161824262830384024810121416202226283032343624268101214246101224262442626282626810262862366810121416182022242426283032[[#This Row],[Valor economizado]]&gt;Tabela1746810121422303226816192527313336242101214161824262830384024810121416202226283032343624268101214246101224262442626282626810262862366810121416182022242426283032[[#This Row],[Pedido Inicial]],0,Tabela1746810121422303226816192527313336242101214161824262830384024810121416202226283032343624268101214246101224262442626282626810262862366810121416182022242426283032[[#This Row],[Pedido Inicial]]-Tabela1746810121422303226816192527313336242101214161824262830384024810121416202226283032343624268101214246101224262442626282626810262862366810121416182022242426283032[[#This Row],[Valor economizado]])</f>
        <v>125.20000000000002</v>
      </c>
      <c r="S9" s="18" t="s">
        <v>11</v>
      </c>
      <c r="T9" s="25">
        <v>17</v>
      </c>
    </row>
    <row r="10" spans="1:59" s="8" customFormat="1" x14ac:dyDescent="0.25">
      <c r="A10" s="13" t="s">
        <v>13</v>
      </c>
      <c r="B10" s="13"/>
      <c r="C10" s="13"/>
      <c r="D10" s="13"/>
      <c r="E10" s="20"/>
      <c r="F10" s="20"/>
      <c r="G10" s="33"/>
      <c r="H10" s="13"/>
      <c r="I10" s="13"/>
      <c r="J10" s="14">
        <f>SUBTOTAL(109,Tabela1746810121422303226816192527313336242101214161824262830384024810121416202226283032343624268101214246101224262442626282626810262862366810121416182022242426283032[Pedido Inicial])</f>
        <v>1428.8</v>
      </c>
      <c r="K10" s="15"/>
      <c r="L10" s="15"/>
      <c r="M10" s="15"/>
      <c r="N10" s="15"/>
      <c r="O10" s="15"/>
      <c r="P10" s="15"/>
      <c r="Q10" s="15"/>
      <c r="R10" s="14">
        <f>SUBTOTAL(109,Tabela1746810121422303226816192527313336242101214161824262830384024810121416202226283032343624268101214246101224262442626282626810262862366810121416182022242426283032[Pedido Final])</f>
        <v>770.40000000000009</v>
      </c>
      <c r="S10" s="31">
        <f>SUBTOTAL(103,Tabela1746810121422303226816192527313336242101214161824262830384024810121416202226283032343624268101214246101224262442626282626810262862366810121416182022242426283032[Status])</f>
        <v>6</v>
      </c>
      <c r="T10" s="13"/>
    </row>
    <row r="11" spans="1:59" s="8" customFormat="1" x14ac:dyDescent="0.25">
      <c r="A11" s="13"/>
      <c r="B11" s="13"/>
      <c r="C11" s="13"/>
      <c r="D11" s="13"/>
      <c r="E11" s="20"/>
      <c r="F11" s="20"/>
      <c r="G11" s="33"/>
      <c r="H11" s="13"/>
      <c r="I11" s="13"/>
      <c r="J11" s="14"/>
      <c r="K11" s="15"/>
      <c r="L11" s="15"/>
      <c r="M11" s="15"/>
      <c r="N11" s="15"/>
      <c r="O11" s="15"/>
      <c r="P11" s="15"/>
      <c r="Q11" s="15"/>
      <c r="R11" s="14"/>
      <c r="S11" s="31"/>
      <c r="T11" s="13"/>
    </row>
    <row r="12" spans="1:59" s="8" customFormat="1" x14ac:dyDescent="0.25">
      <c r="A12" s="13"/>
      <c r="B12" s="13"/>
      <c r="C12" s="13"/>
      <c r="D12" s="13"/>
      <c r="E12" s="20"/>
      <c r="F12" s="20"/>
      <c r="G12" s="33"/>
      <c r="H12" s="13"/>
      <c r="I12" s="13"/>
      <c r="J12" s="14"/>
      <c r="K12" s="15"/>
      <c r="L12" s="15"/>
      <c r="M12" s="15"/>
      <c r="N12" s="15"/>
      <c r="O12" s="15"/>
      <c r="P12" s="15"/>
      <c r="Q12" s="15"/>
      <c r="R12" s="14"/>
      <c r="S12" s="31"/>
      <c r="T12" s="13"/>
    </row>
    <row r="13" spans="1:59" s="8" customFormat="1" x14ac:dyDescent="0.25">
      <c r="A13" s="1"/>
      <c r="B13" s="54" t="s">
        <v>14</v>
      </c>
      <c r="C13" s="55"/>
      <c r="D13" s="13"/>
      <c r="F13" s="37"/>
      <c r="G13" s="37"/>
      <c r="H13" s="37"/>
      <c r="I13" s="37"/>
      <c r="J13" s="28"/>
      <c r="K13" s="3"/>
      <c r="L13" s="1"/>
      <c r="M13" s="1"/>
      <c r="N13" s="1"/>
      <c r="O13" s="1"/>
      <c r="P13" s="1"/>
      <c r="Q13" s="1"/>
      <c r="R13" s="4" t="s">
        <v>26</v>
      </c>
      <c r="S13" s="39" t="s">
        <v>15</v>
      </c>
    </row>
    <row r="14" spans="1:59" s="8" customFormat="1" x14ac:dyDescent="0.25">
      <c r="A14" s="1"/>
      <c r="B14" s="50" t="s">
        <v>24</v>
      </c>
      <c r="C14" s="45">
        <f>Tabela1746810121422303226816192527313336242101214161824262830384024810121416202226283032343624268101214246101224262442626282626810262862366810121416182022242426283032[[#Totals],[Pedido Inicial]]</f>
        <v>1428.8</v>
      </c>
      <c r="D14" s="13"/>
      <c r="F14" s="41"/>
      <c r="G14" s="41"/>
      <c r="H14" s="34"/>
      <c r="I14" s="34"/>
      <c r="J14" s="34"/>
      <c r="K14" s="5"/>
      <c r="L14" s="1"/>
      <c r="M14" s="1"/>
      <c r="N14" s="1"/>
      <c r="O14" s="1"/>
      <c r="P14" s="1"/>
      <c r="Q14" s="1"/>
      <c r="R14" s="58" t="s">
        <v>28</v>
      </c>
      <c r="S14" s="59">
        <f>COUNTIF(Tabela1746810121422303226816192527313336242101214161824262830384024810121416202226283032343624268101214246101224262442626282626810262862366810121416182022242426283032[Status],Tabela257911131523313337917202628323437353111315171925272931394135911131517212327293133353735379111315357111335373453737393737911373973377911131517192123253527293133[[#This Row],[STATUS]])</f>
        <v>1</v>
      </c>
    </row>
    <row r="15" spans="1:59" s="8" customFormat="1" x14ac:dyDescent="0.25">
      <c r="A15" s="1"/>
      <c r="B15" s="50" t="s">
        <v>25</v>
      </c>
      <c r="C15" s="45">
        <f>Tabela1746810121422303226816192527313336242101214161824262830384024810121416202226283032343624268101214246101224262442626282626810262862366810121416182022242426283032[[#Totals],[Pedido Final]]</f>
        <v>770.40000000000009</v>
      </c>
      <c r="D15" s="13"/>
      <c r="F15" s="41"/>
      <c r="G15" s="41"/>
      <c r="H15" s="34"/>
      <c r="I15" s="34"/>
      <c r="J15" s="34"/>
      <c r="K15" s="5"/>
      <c r="L15" s="1"/>
      <c r="M15" s="1"/>
      <c r="N15" s="1"/>
      <c r="O15" s="1"/>
      <c r="P15" s="1"/>
      <c r="R15" s="58" t="s">
        <v>11</v>
      </c>
      <c r="S15" s="59">
        <f>COUNTIF(Tabela1746810121422303226816192527313336242101214161824262830384024810121416202226283032343624268101214246101224262442626282626810262862366810121416182022242426283032[Status],Tabela257911131523313337917202628323437353111315171925272931394135911131517212327293133353735379111315357111335373453737393737911373973377911131517192123253527293133[[#This Row],[STATUS]])</f>
        <v>3</v>
      </c>
    </row>
    <row r="16" spans="1:59" s="8" customFormat="1" x14ac:dyDescent="0.25">
      <c r="A16" s="1"/>
      <c r="B16" s="51" t="str">
        <f>_xlfn.CONCAT("ECONOMIA"," ",ROUND(C16/C14,2)*100,"%")</f>
        <v>ECONOMIA 46%</v>
      </c>
      <c r="C16" s="46">
        <f>SUM(C14-C15)</f>
        <v>658.39999999999986</v>
      </c>
      <c r="D16" s="13"/>
      <c r="F16" s="41"/>
      <c r="G16" s="41"/>
      <c r="H16" s="36"/>
      <c r="I16" s="36"/>
      <c r="J16" s="38"/>
      <c r="K16" s="36"/>
      <c r="L16" s="1"/>
      <c r="M16" s="1"/>
      <c r="N16" s="1"/>
      <c r="O16" s="1"/>
      <c r="P16" s="1"/>
      <c r="Q16" s="35"/>
      <c r="R16" s="58" t="s">
        <v>12</v>
      </c>
      <c r="S16" s="59">
        <f>COUNTIF(Tabela1746810121422303226816192527313336242101214161824262830384024810121416202226283032343624268101214246101224262442626282626810262862366810121416182022242426283032[Status],Tabela257911131523313337917202628323437353111315171925272931394135911131517212327293133353735379111315357111335373453737393737911373973377911131517192123253527293133[[#This Row],[STATUS]])</f>
        <v>2</v>
      </c>
    </row>
    <row r="17" spans="1:20" s="8" customFormat="1" x14ac:dyDescent="0.25">
      <c r="A17" s="1"/>
      <c r="B17" s="51" t="str">
        <f>_xlfn.CONCAT("HPOD"," ",ROUND(C17/C16,2)*100,"%")</f>
        <v>HPOD 12%</v>
      </c>
      <c r="C17" s="46">
        <f>C16*12%</f>
        <v>79.007999999999981</v>
      </c>
      <c r="D17" s="13"/>
      <c r="F17" s="41"/>
      <c r="G17" s="41"/>
      <c r="H17" s="36"/>
      <c r="I17" s="36"/>
      <c r="J17" s="38"/>
      <c r="K17" s="36"/>
      <c r="L17" s="1"/>
      <c r="M17" s="1"/>
      <c r="N17" s="1"/>
      <c r="O17" s="1"/>
      <c r="P17" s="1"/>
      <c r="Q17" s="1"/>
      <c r="R17" s="6" t="s">
        <v>27</v>
      </c>
      <c r="S17" s="40">
        <f>SUBTOTAL(109,Tabela257911131523313337917202628323437353111315171925272931394135911131517212327293133353735379111315357111335373453737393737911373973377911131517192123253527293133[Coluna1])</f>
        <v>6</v>
      </c>
    </row>
    <row r="18" spans="1:20" s="8" customFormat="1" x14ac:dyDescent="0.25">
      <c r="A18" s="1"/>
      <c r="B18" s="3"/>
      <c r="C18" s="47"/>
      <c r="D18" s="1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6"/>
    </row>
    <row r="19" spans="1:20" s="8" customFormat="1" x14ac:dyDescent="0.25">
      <c r="A19" s="1"/>
      <c r="B19" s="3"/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35"/>
      <c r="P19" s="1"/>
      <c r="Q19" s="1"/>
      <c r="R19" s="1"/>
      <c r="S19" s="1"/>
      <c r="T19" s="1"/>
    </row>
    <row r="20" spans="1:20" s="8" customFormat="1" x14ac:dyDescent="0.25">
      <c r="A20" s="26"/>
      <c r="B20" s="12"/>
      <c r="C20" s="12"/>
      <c r="D20" s="12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1"/>
    </row>
    <row r="21" spans="1:20" s="8" customFormat="1" x14ac:dyDescent="0.25">
      <c r="A21" s="26"/>
      <c r="B21" s="12"/>
      <c r="C21" s="12"/>
      <c r="D21" s="12"/>
      <c r="E21" s="27"/>
      <c r="F21" s="27"/>
      <c r="G21" s="27"/>
      <c r="H21" s="27"/>
      <c r="I21" s="27"/>
      <c r="J21" s="27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 spans="1:20" s="8" customFormat="1" x14ac:dyDescent="0.25">
      <c r="A22" s="26"/>
      <c r="B22" s="12"/>
      <c r="C22" s="12"/>
      <c r="D22" s="12"/>
      <c r="E22" s="28"/>
      <c r="F22" s="28"/>
      <c r="G22" s="28"/>
      <c r="H22" s="28"/>
      <c r="I22" s="28"/>
      <c r="J22" s="28"/>
      <c r="K22" s="27"/>
      <c r="L22" s="26"/>
      <c r="M22" s="26"/>
      <c r="N22" s="26"/>
      <c r="O22" s="26"/>
      <c r="P22" s="26"/>
      <c r="Q22" s="26"/>
      <c r="R22" s="26"/>
      <c r="S22" s="26"/>
      <c r="T22" s="26"/>
    </row>
    <row r="23" spans="1:20" s="8" customFormat="1" x14ac:dyDescent="0.25">
      <c r="A23" s="26"/>
      <c r="B23" s="12"/>
      <c r="C23" s="12"/>
      <c r="D23" s="12"/>
      <c r="E23" s="28"/>
      <c r="F23" s="28"/>
      <c r="G23" s="28"/>
      <c r="H23" s="28"/>
      <c r="I23" s="28"/>
      <c r="J23" s="28"/>
      <c r="K23" s="27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8" customFormat="1" x14ac:dyDescent="0.25">
      <c r="A24" s="26"/>
      <c r="B24" s="12"/>
      <c r="C24" s="12"/>
      <c r="D24" s="12"/>
      <c r="E24" s="28"/>
      <c r="F24" s="28"/>
      <c r="G24" s="28"/>
      <c r="H24" s="28"/>
      <c r="I24" s="28"/>
      <c r="J24" s="28"/>
      <c r="K24" s="27"/>
      <c r="L24" s="26"/>
      <c r="M24" s="26"/>
      <c r="N24" s="26"/>
      <c r="O24" s="26"/>
      <c r="P24" s="29"/>
      <c r="Q24" s="26"/>
      <c r="R24" s="26"/>
      <c r="S24" s="26"/>
      <c r="T24" s="26"/>
    </row>
    <row r="25" spans="1:20" s="8" customFormat="1" x14ac:dyDescent="0.25">
      <c r="A25" s="26"/>
      <c r="B25" s="12"/>
      <c r="C25" s="12"/>
      <c r="D25" s="12"/>
      <c r="E25" s="26"/>
      <c r="F25" s="26"/>
      <c r="G25" s="26"/>
      <c r="H25" s="26"/>
      <c r="I25" s="26"/>
      <c r="J25" s="26"/>
      <c r="K25" s="27"/>
      <c r="L25" s="26"/>
      <c r="M25" s="26"/>
      <c r="N25" s="26"/>
      <c r="O25" s="26"/>
      <c r="P25" s="26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8"/>
      <c r="F26" s="28"/>
      <c r="G26" s="28"/>
      <c r="H26" s="28"/>
      <c r="I26" s="28"/>
      <c r="J26" s="28"/>
      <c r="K26" s="29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9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1"/>
      <c r="B34" s="3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6"/>
    </row>
    <row r="35" spans="1:20" s="8" customFormat="1" x14ac:dyDescent="0.25">
      <c r="A35" s="1"/>
      <c r="B35" s="3"/>
      <c r="C35" s="3"/>
      <c r="D35" s="3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8" customFormat="1" x14ac:dyDescent="0.25">
      <c r="A36" s="1"/>
      <c r="B36" s="3"/>
      <c r="C36" s="3"/>
      <c r="D36" s="3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</row>
  </sheetData>
  <mergeCells count="1">
    <mergeCell ref="A2:T2"/>
  </mergeCells>
  <conditionalFormatting sqref="A1:A1048576">
    <cfRule type="duplicateValues" dxfId="26" priority="4"/>
    <cfRule type="duplicateValues" dxfId="25" priority="5"/>
  </conditionalFormatting>
  <conditionalFormatting sqref="B1:B1048576">
    <cfRule type="duplicateValues" dxfId="24" priority="6"/>
  </conditionalFormatting>
  <conditionalFormatting sqref="B14:C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{ED682C1C-CF3B-437C-9B1E-B38A76359C2A}</x14:id>
        </ext>
      </extLst>
    </cfRule>
  </conditionalFormatting>
  <conditionalFormatting sqref="H14:J15 F14:G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{19EB3036-377F-4F88-BA56-ECCD8F569B72}</x14:id>
        </ext>
      </extLst>
    </cfRule>
  </conditionalFormatting>
  <conditionalFormatting sqref="R14:S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{3E6D726C-F170-4E76-890D-4D811DACA966}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ignoredErrors>
    <ignoredError sqref="S5:S9" calculatedColumn="1"/>
  </ignoredErrors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682C1C-CF3B-437C-9B1E-B38A76359C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B14:C17</xm:sqref>
        </x14:conditionalFormatting>
        <x14:conditionalFormatting xmlns:xm="http://schemas.microsoft.com/office/excel/2006/main">
          <x14:cfRule type="dataBar" id="{19EB3036-377F-4F88-BA56-ECCD8F569B72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H14:J15 F14:G17</xm:sqref>
        </x14:conditionalFormatting>
        <x14:conditionalFormatting xmlns:xm="http://schemas.microsoft.com/office/excel/2006/main">
          <x14:cfRule type="dataBar" id="{3E6D726C-F170-4E76-890D-4D811DACA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R14:S16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A099-BB8E-44AF-ABF1-476C591A4978}">
  <sheetPr>
    <pageSetUpPr fitToPage="1"/>
  </sheetPr>
  <dimension ref="A1:BG37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3.7109375" style="3" bestFit="1" customWidth="1"/>
    <col min="3" max="3" width="11.7109375" style="3" bestFit="1" customWidth="1"/>
    <col min="4" max="4" width="26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4209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228979</v>
      </c>
      <c r="B4" s="30" t="s">
        <v>394</v>
      </c>
      <c r="C4" s="20" t="s">
        <v>649</v>
      </c>
      <c r="D4" s="20" t="s">
        <v>725</v>
      </c>
      <c r="E4" s="20" t="s">
        <v>3152</v>
      </c>
      <c r="F4" s="20" t="s">
        <v>3153</v>
      </c>
      <c r="G4" s="21">
        <v>15.4</v>
      </c>
      <c r="H4" s="16">
        <v>26</v>
      </c>
      <c r="I4" s="16">
        <v>2</v>
      </c>
      <c r="J4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369.6</v>
      </c>
      <c r="K4" s="22"/>
      <c r="L4" s="23">
        <v>35.299999999999997</v>
      </c>
      <c r="M4" s="23">
        <f>SUM(Tabela174681012142230322681619252731333624210121416182426283038402481012141620222628303234362426810121424610122426244262628262681026286236681012141618202224242628303234[[#This Row],[Saldo no cartão]:[Recarga Pendente]])</f>
        <v>35.299999999999997</v>
      </c>
      <c r="N4" s="19">
        <f>Tabela174681012142230322681619252731333624210121416182426283038402481012141620222628303234362426810121424610122426244262628262681026286236681012141618202224242628303234[[#This Row],[Uso diário]]*2</f>
        <v>30.8</v>
      </c>
      <c r="O4" s="19">
        <f>Tabela174681012142230322681619252731333624210121416182426283038402481012141620222628303234362426810121424610122426244262628262681026286236681012141618202224242628303234[[#This Row],[Total Acumulado]]-P4</f>
        <v>-41.7</v>
      </c>
      <c r="P4" s="48">
        <f>Tabela174681012142230322681619252731333624210121416182426283038402481012141620222628303234362426810121424610122426244262628262681026286236681012141618202224242628303234[[#This Row],[Uso diário]]*5</f>
        <v>77</v>
      </c>
      <c r="Q4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4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369.6</v>
      </c>
      <c r="S4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4" s="25">
        <v>18</v>
      </c>
    </row>
    <row r="5" spans="1:59" s="26" customFormat="1" x14ac:dyDescent="0.25">
      <c r="A5" s="16">
        <v>229109</v>
      </c>
      <c r="B5" s="30" t="s">
        <v>1090</v>
      </c>
      <c r="C5" s="20" t="s">
        <v>649</v>
      </c>
      <c r="D5" s="20" t="s">
        <v>725</v>
      </c>
      <c r="E5" s="20" t="s">
        <v>3154</v>
      </c>
      <c r="F5" s="20" t="s">
        <v>3155</v>
      </c>
      <c r="G5" s="21">
        <v>16.25</v>
      </c>
      <c r="H5" s="16">
        <v>26</v>
      </c>
      <c r="I5" s="16">
        <v>2</v>
      </c>
      <c r="J5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390</v>
      </c>
      <c r="K5" s="22"/>
      <c r="L5" s="23"/>
      <c r="M5" s="23">
        <f>SUM(Tabela174681012142230322681619252731333624210121416182426283038402481012141620222628303234362426810121424610122426244262628262681026286236681012141618202224242628303234[[#This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Tabela174681012142230322681619252731333624210121416182426283038402481012141620222628303234362426810121424610122426244262628262681026286236681012141618202224242628303234[[#This Row],[Uso diário]]*2</f>
        <v>32.5</v>
      </c>
      <c r="O5" s="19">
        <f>Tabela174681012142230322681619252731333624210121416182426283038402481012141620222628303234362426810121424610122426244262628262681026286236681012141618202224242628303234[[#This Row],[Total Acumulado]]-P5</f>
        <v>-81.25</v>
      </c>
      <c r="P5" s="48">
        <f>Tabela174681012142230322681619252731333624210121416182426283038402481012141620222628303234362426810121424610122426244262628262681026286236681012141618202224242628303234[[#This Row],[Uso diário]]*5</f>
        <v>81.25</v>
      </c>
      <c r="Q5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5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390</v>
      </c>
      <c r="S5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5" s="25">
        <v>18</v>
      </c>
    </row>
    <row r="6" spans="1:59" s="26" customFormat="1" x14ac:dyDescent="0.25">
      <c r="A6" s="16">
        <v>222074</v>
      </c>
      <c r="B6" s="30" t="s">
        <v>398</v>
      </c>
      <c r="C6" s="20" t="s">
        <v>650</v>
      </c>
      <c r="D6" s="20" t="s">
        <v>738</v>
      </c>
      <c r="E6" s="20" t="s">
        <v>3158</v>
      </c>
      <c r="F6" s="20" t="s">
        <v>3159</v>
      </c>
      <c r="G6" s="21">
        <v>18.8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488.8</v>
      </c>
      <c r="K6" s="22"/>
      <c r="L6" s="23">
        <v>18.8</v>
      </c>
      <c r="M6" s="23">
        <f>SUM(Tabela174681012142230322681619252731333624210121416182426283038402481012141620222628303234362426810121424610122426244262628262681026286236681012141618202224242628303234[[#This Row],[Saldo no cartão]:[Recarga Pendente]])</f>
        <v>18.8</v>
      </c>
      <c r="N6" s="19">
        <f>Tabela174681012142230322681619252731333624210121416182426283038402481012141620222628303234362426810121424610122426244262628262681026286236681012141618202224242628303234[[#This Row],[Uso diário]]*2</f>
        <v>37.6</v>
      </c>
      <c r="O6" s="19">
        <f>Tabela174681012142230322681619252731333624210121416182426283038402481012141620222628303234362426810121424610122426244262628262681026286236681012141618202224242628303234[[#This Row],[Total Acumulado]]-P6</f>
        <v>-75.2</v>
      </c>
      <c r="P6" s="48">
        <f>Tabela174681012142230322681619252731333624210121416182426283038402481012141620222628303234362426810121424610122426244262628262681026286236681012141618202224242628303234[[#This Row],[Uso diário]]*5</f>
        <v>94</v>
      </c>
      <c r="Q6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6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488.8</v>
      </c>
      <c r="S6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6" s="25">
        <v>18</v>
      </c>
    </row>
    <row r="7" spans="1:59" s="26" customFormat="1" x14ac:dyDescent="0.25">
      <c r="A7" s="16">
        <v>4268</v>
      </c>
      <c r="B7" s="30" t="s">
        <v>33</v>
      </c>
      <c r="C7" s="20" t="s">
        <v>652</v>
      </c>
      <c r="D7" s="20" t="s">
        <v>728</v>
      </c>
      <c r="E7" s="20" t="s">
        <v>3160</v>
      </c>
      <c r="F7" s="20" t="s">
        <v>3161</v>
      </c>
      <c r="G7" s="21">
        <v>40.200000000000003</v>
      </c>
      <c r="H7" s="16">
        <v>26</v>
      </c>
      <c r="I7" s="16"/>
      <c r="J7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1045.2</v>
      </c>
      <c r="K7" s="22"/>
      <c r="L7" s="23"/>
      <c r="M7" s="23">
        <f>SUM(Tabela174681012142230322681619252731333624210121416182426283038402481012141620222628303234362426810121424610122426244262628262681026286236681012141618202224242628303234[[#This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Tabela174681012142230322681619252731333624210121416182426283038402481012141620222628303234362426810121424610122426244262628262681026286236681012141618202224242628303234[[#This Row],[Uso diário]]*2</f>
        <v>80.400000000000006</v>
      </c>
      <c r="O7" s="19">
        <f>Tabela174681012142230322681619252731333624210121416182426283038402481012141620222628303234362426810121424610122426244262628262681026286236681012141618202224242628303234[[#This Row],[Total Acumulado]]-P7</f>
        <v>-201</v>
      </c>
      <c r="P7" s="48">
        <f>Tabela174681012142230322681619252731333624210121416182426283038402481012141620222628303234362426810121424610122426244262628262681026286236681012141618202224242628303234[[#This Row],[Uso diário]]*5</f>
        <v>201</v>
      </c>
      <c r="Q7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7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1045.2</v>
      </c>
      <c r="S7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7" s="25">
        <v>18</v>
      </c>
    </row>
    <row r="8" spans="1:59" s="26" customFormat="1" x14ac:dyDescent="0.25">
      <c r="A8" s="16">
        <v>209977</v>
      </c>
      <c r="B8" s="30" t="s">
        <v>395</v>
      </c>
      <c r="C8" s="20" t="s">
        <v>653</v>
      </c>
      <c r="D8" s="20" t="s">
        <v>714</v>
      </c>
      <c r="E8" s="20" t="s">
        <v>3162</v>
      </c>
      <c r="F8" s="20" t="s">
        <v>3163</v>
      </c>
      <c r="G8" s="21">
        <v>18.8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488.8</v>
      </c>
      <c r="K8" s="22"/>
      <c r="L8" s="23"/>
      <c r="M8" s="23">
        <f>SUM(Tabela174681012142230322681619252731333624210121416182426283038402481012141620222628303234362426810121424610122426244262628262681026286236681012141618202224242628303234[[#This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Tabela174681012142230322681619252731333624210121416182426283038402481012141620222628303234362426810121424610122426244262628262681026286236681012141618202224242628303234[[#This Row],[Uso diário]]*2</f>
        <v>37.6</v>
      </c>
      <c r="O8" s="19">
        <f>Tabela174681012142230322681619252731333624210121416182426283038402481012141620222628303234362426810121424610122426244262628262681026286236681012141618202224242628303234[[#This Row],[Total Acumulado]]-P8</f>
        <v>-94</v>
      </c>
      <c r="P8" s="48">
        <f>Tabela174681012142230322681619252731333624210121416182426283038402481012141620222628303234362426810121424610122426244262628262681026286236681012141618202224242628303234[[#This Row],[Uso diário]]*5</f>
        <v>94</v>
      </c>
      <c r="Q8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8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488.8</v>
      </c>
      <c r="S8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8" s="25">
        <v>18</v>
      </c>
    </row>
    <row r="9" spans="1:59" s="26" customFormat="1" x14ac:dyDescent="0.25">
      <c r="A9" s="16">
        <v>225652</v>
      </c>
      <c r="B9" s="30" t="s">
        <v>1083</v>
      </c>
      <c r="C9" s="20" t="s">
        <v>653</v>
      </c>
      <c r="D9" s="20" t="s">
        <v>891</v>
      </c>
      <c r="E9" s="20" t="s">
        <v>3164</v>
      </c>
      <c r="F9" s="20" t="s">
        <v>3165</v>
      </c>
      <c r="G9" s="21">
        <v>18.8</v>
      </c>
      <c r="H9" s="16">
        <v>26</v>
      </c>
      <c r="I9" s="16">
        <v>1</v>
      </c>
      <c r="J9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470</v>
      </c>
      <c r="K9" s="22"/>
      <c r="L9" s="23">
        <v>18.8</v>
      </c>
      <c r="M9" s="23">
        <f>SUM(Tabela174681012142230322681619252731333624210121416182426283038402481012141620222628303234362426810121424610122426244262628262681026286236681012141618202224242628303234[[#This Row],[Saldo no cartão]:[Recarga Pendente]])</f>
        <v>18.8</v>
      </c>
      <c r="N9" s="19">
        <f>Tabela174681012142230322681619252731333624210121416182426283038402481012141620222628303234362426810121424610122426244262628262681026286236681012141618202224242628303234[[#This Row],[Uso diário]]*2</f>
        <v>37.6</v>
      </c>
      <c r="O9" s="19">
        <f>Tabela174681012142230322681619252731333624210121416182426283038402481012141620222628303234362426810121424610122426244262628262681026286236681012141618202224242628303234[[#This Row],[Total Acumulado]]-P9</f>
        <v>-75.2</v>
      </c>
      <c r="P9" s="48">
        <f>Tabela174681012142230322681619252731333624210121416182426283038402481012141620222628303234362426810121424610122426244262628262681026286236681012141618202224242628303234[[#This Row],[Uso diário]]*5</f>
        <v>94</v>
      </c>
      <c r="Q9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9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470</v>
      </c>
      <c r="S9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9" s="25">
        <v>18</v>
      </c>
    </row>
    <row r="10" spans="1:59" s="26" customFormat="1" x14ac:dyDescent="0.25">
      <c r="A10" s="16">
        <v>219011</v>
      </c>
      <c r="B10" s="30" t="s">
        <v>396</v>
      </c>
      <c r="C10" s="20" t="s">
        <v>654</v>
      </c>
      <c r="D10" s="20" t="s">
        <v>715</v>
      </c>
      <c r="E10" s="20" t="s">
        <v>3166</v>
      </c>
      <c r="F10" s="20" t="s">
        <v>3167</v>
      </c>
      <c r="G10" s="21">
        <v>18.8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(Tabela174681012142230322681619252731333624210121416182426283038402481012141620222628303234362426810121424610122426244262628262681026286236681012141618202224242628303234[[#This Row],[D]]-Tabela174681012142230322681619252731333624210121416182426283038402481012141620222628303234362426810121424610122426244262628262681026286236681012141618202224242628303234[[#This Row],[F]])*Tabela174681012142230322681619252731333624210121416182426283038402481012141620222628303234362426810121424610122426244262628262681026286236681012141618202224242628303234[[#This Row],[Uso diário]]</f>
        <v>488.8</v>
      </c>
      <c r="K10" s="22"/>
      <c r="L10" s="23"/>
      <c r="M10" s="23">
        <f>SUM(Tabela174681012142230322681619252731333624210121416182426283038402481012141620222628303234362426810121424610122426244262628262681026286236681012141618202224242628303234[[#This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Tabela174681012142230322681619252731333624210121416182426283038402481012141620222628303234362426810121424610122426244262628262681026286236681012141618202224242628303234[[#This Row],[Uso diário]]*2</f>
        <v>37.6</v>
      </c>
      <c r="O10" s="19">
        <f>Tabela174681012142230322681619252731333624210121416182426283038402481012141620222628303234362426810121424610122426244262628262681026286236681012141618202224242628303234[[#This Row],[Total Acumulado]]-P10</f>
        <v>-94</v>
      </c>
      <c r="P10" s="48">
        <f>Tabela174681012142230322681619252731333624210121416182426283038402481012141620222628303234362426810121424610122426244262628262681026286236681012141618202224242628303234[[#This Row],[Uso diário]]*5</f>
        <v>94</v>
      </c>
      <c r="Q10" s="17">
        <f>IF(Tabela174681012142230322681619252731333624210121416182426283038402481012141620222628303234362426810121424610122426244262628262681026286236681012141618202224242628303234[[#This Row],[acumulo]]&lt;Tabela174681012142230322681619252731333624210121416182426283038402481012141620222628303234362426810121424610122426244262628262681026286236681012141618202224242628303234[[#This Row],[acumulo minimo]],0,Tabela174681012142230322681619252731333624210121416182426283038402481012141620222628303234362426810121424610122426244262628262681026286236681012141618202224242628303234[[#This Row],[acumulo]])</f>
        <v>0</v>
      </c>
      <c r="R10" s="24">
        <f>IF(Tabela174681012142230322681619252731333624210121416182426283038402481012141620222628303234362426810121424610122426244262628262681026286236681012141618202224242628303234[[#This Row],[Valor economizado]]&gt;Tabela174681012142230322681619252731333624210121416182426283038402481012141620222628303234362426810121424610122426244262628262681026286236681012141618202224242628303234[[#This Row],[Pedido Inicial]],0,Tabela174681012142230322681619252731333624210121416182426283038402481012141620222628303234362426810121424610122426244262628262681026286236681012141618202224242628303234[[#This Row],[Pedido Inicial]]-Tabela174681012142230322681619252731333624210121416182426283038402481012141620222628303234362426810121424610122426244262628262681026286236681012141618202224242628303234[[#This Row],[Valor economizado]])</f>
        <v>488.8</v>
      </c>
      <c r="S10" s="18" t="str">
        <f>IF(Tabela174681012142230322681619252731333624210121416182426283038402481012141620222628303234362426810121424610122426244262628262681026286236681012141618202224242628303234[[#This Row],[Pedido Final]]=0,"NÃO EFETUAR RECARGA","RECARGA NORMAL")</f>
        <v>RECARGA NORMAL</v>
      </c>
      <c r="T10" s="25">
        <v>18</v>
      </c>
    </row>
    <row r="11" spans="1:59" s="8" customFormat="1" x14ac:dyDescent="0.25">
      <c r="A11" s="13" t="s">
        <v>13</v>
      </c>
      <c r="B11" s="13"/>
      <c r="C11" s="13"/>
      <c r="D11" s="13"/>
      <c r="E11" s="20"/>
      <c r="F11" s="20"/>
      <c r="G11" s="33"/>
      <c r="H11" s="13"/>
      <c r="I11" s="13"/>
      <c r="J11" s="14">
        <f>SUBTOTAL(109,Tabela174681012142230322681619252731333624210121416182426283038402481012141620222628303234362426810121424610122426244262628262681026286236681012141618202224242628303234[Pedido Inicial])</f>
        <v>3741.2000000000007</v>
      </c>
      <c r="K11" s="15"/>
      <c r="L11" s="15"/>
      <c r="M11" s="15"/>
      <c r="N11" s="15"/>
      <c r="O11" s="15"/>
      <c r="P11" s="15"/>
      <c r="Q11" s="15"/>
      <c r="R11" s="14">
        <f>SUBTOTAL(109,Tabela174681012142230322681619252731333624210121416182426283038402481012141620222628303234362426810121424610122426244262628262681026286236681012141618202224242628303234[Pedido Final])</f>
        <v>3741.2000000000007</v>
      </c>
      <c r="S11" s="31">
        <f>SUBTOTAL(103,Tabela174681012142230322681619252731333624210121416182426283038402481012141620222628303234362426810121424610122426244262628262681026286236681012141618202224242628303234[Status])</f>
        <v>7</v>
      </c>
      <c r="T11" s="13"/>
    </row>
    <row r="12" spans="1:59" s="8" customFormat="1" x14ac:dyDescent="0.25">
      <c r="A12" s="13"/>
      <c r="B12" s="13"/>
      <c r="C12" s="13"/>
      <c r="D12" s="13"/>
      <c r="E12" s="20"/>
      <c r="F12" s="20"/>
      <c r="G12" s="33"/>
      <c r="H12" s="13"/>
      <c r="I12" s="13"/>
      <c r="J12" s="14"/>
      <c r="K12" s="15"/>
      <c r="L12" s="15"/>
      <c r="M12" s="15"/>
      <c r="N12" s="15"/>
      <c r="O12" s="15"/>
      <c r="P12" s="15"/>
      <c r="Q12" s="15"/>
      <c r="R12" s="14"/>
      <c r="S12" s="31"/>
      <c r="T12" s="13"/>
    </row>
    <row r="13" spans="1:59" s="8" customFormat="1" x14ac:dyDescent="0.25">
      <c r="A13" s="13"/>
      <c r="B13" s="13"/>
      <c r="C13" s="13"/>
      <c r="D13" s="13"/>
      <c r="E13" s="20"/>
      <c r="F13" s="20"/>
      <c r="G13" s="33"/>
      <c r="H13" s="13"/>
      <c r="I13" s="13"/>
      <c r="J13" s="14"/>
      <c r="K13" s="15"/>
      <c r="L13" s="15"/>
      <c r="M13" s="15"/>
      <c r="N13" s="15"/>
      <c r="O13" s="15"/>
      <c r="P13" s="15"/>
      <c r="Q13" s="15"/>
      <c r="R13" s="14"/>
      <c r="S13" s="31"/>
      <c r="T13" s="13"/>
    </row>
    <row r="14" spans="1:59" s="8" customFormat="1" x14ac:dyDescent="0.25">
      <c r="A14" s="1"/>
      <c r="B14" s="54" t="s">
        <v>14</v>
      </c>
      <c r="C14" s="55"/>
      <c r="D14" s="13"/>
      <c r="F14" s="37"/>
      <c r="G14" s="37"/>
      <c r="H14" s="37"/>
      <c r="I14" s="37"/>
      <c r="J14" s="28"/>
      <c r="K14" s="3"/>
      <c r="L14" s="1"/>
      <c r="M14" s="1"/>
      <c r="N14" s="1"/>
      <c r="O14" s="1"/>
      <c r="P14" s="1"/>
      <c r="Q14" s="1"/>
      <c r="R14" s="4" t="s">
        <v>26</v>
      </c>
      <c r="S14" s="39" t="s">
        <v>15</v>
      </c>
    </row>
    <row r="15" spans="1:59" s="8" customFormat="1" x14ac:dyDescent="0.25">
      <c r="A15" s="1"/>
      <c r="B15" s="50" t="s">
        <v>24</v>
      </c>
      <c r="C15" s="45">
        <f>Tabela174681012142230322681619252731333624210121416182426283038402481012141620222628303234362426810121424610122426244262628262681026286236681012141618202224242628303234[[#Totals],[Pedido Inicial]]</f>
        <v>3741.2000000000007</v>
      </c>
      <c r="D15" s="13"/>
      <c r="F15" s="41"/>
      <c r="G15" s="41"/>
      <c r="H15" s="34"/>
      <c r="I15" s="34"/>
      <c r="J15" s="34"/>
      <c r="K15" s="5"/>
      <c r="L15" s="1"/>
      <c r="M15" s="1"/>
      <c r="N15" s="1"/>
      <c r="O15" s="1"/>
      <c r="P15" s="1"/>
      <c r="Q15" s="1"/>
      <c r="R15" s="58" t="s">
        <v>28</v>
      </c>
      <c r="S15" s="59">
        <f>COUNTIF(Tabela174681012142230322681619252731333624210121416182426283038402481012141620222628303234362426810121424610122426244262628262681026286236681012141618202224242628303234[Status],Tabela25791113152331333791720262832343735311131517192527293139413591113151721232729313335373537911131535711133537345373739373791137397337791113151719212325352729313335[[#This Row],[STATUS]])</f>
        <v>7</v>
      </c>
    </row>
    <row r="16" spans="1:59" s="8" customFormat="1" x14ac:dyDescent="0.25">
      <c r="A16" s="1"/>
      <c r="B16" s="50" t="s">
        <v>25</v>
      </c>
      <c r="C16" s="45">
        <f>Tabela174681012142230322681619252731333624210121416182426283038402481012141620222628303234362426810121424610122426244262628262681026286236681012141618202224242628303234[[#Totals],[Pedido Final]]</f>
        <v>3741.2000000000007</v>
      </c>
      <c r="D16" s="13"/>
      <c r="F16" s="41"/>
      <c r="G16" s="41"/>
      <c r="H16" s="34"/>
      <c r="I16" s="34"/>
      <c r="J16" s="34"/>
      <c r="K16" s="5"/>
      <c r="L16" s="1"/>
      <c r="M16" s="1"/>
      <c r="N16" s="1"/>
      <c r="O16" s="1"/>
      <c r="P16" s="1"/>
      <c r="R16" s="58" t="s">
        <v>11</v>
      </c>
      <c r="S16" s="59">
        <f>COUNTIF(Tabela174681012142230322681619252731333624210121416182426283038402481012141620222628303234362426810121424610122426244262628262681026286236681012141618202224242628303234[Status],Tabela25791113152331333791720262832343735311131517192527293139413591113151721232729313335373537911131535711133537345373739373791137397337791113151719212325352729313335[[#This Row],[STATUS]])</f>
        <v>0</v>
      </c>
    </row>
    <row r="17" spans="1:20" s="8" customFormat="1" x14ac:dyDescent="0.25">
      <c r="A17" s="1"/>
      <c r="B17" s="51" t="str">
        <f>_xlfn.CONCAT("ECONOMIA"," ",ROUND(C17/C15,2)*100,"%")</f>
        <v>ECONOMIA 0%</v>
      </c>
      <c r="C17" s="46">
        <f>SUM(C15-C16)</f>
        <v>0</v>
      </c>
      <c r="D17" s="13"/>
      <c r="F17" s="41"/>
      <c r="G17" s="41"/>
      <c r="H17" s="36"/>
      <c r="I17" s="36"/>
      <c r="J17" s="38"/>
      <c r="K17" s="36"/>
      <c r="L17" s="1"/>
      <c r="M17" s="1"/>
      <c r="N17" s="1"/>
      <c r="O17" s="1"/>
      <c r="P17" s="1"/>
      <c r="Q17" s="35"/>
      <c r="R17" s="58" t="s">
        <v>12</v>
      </c>
      <c r="S17" s="59">
        <f>COUNTIF(Tabela174681012142230322681619252731333624210121416182426283038402481012141620222628303234362426810121424610122426244262628262681026286236681012141618202224242628303234[Status],Tabela25791113152331333791720262832343735311131517192527293139413591113151721232729313335373537911131535711133537345373739373791137397337791113151719212325352729313335[[#This Row],[STATUS]])</f>
        <v>0</v>
      </c>
    </row>
    <row r="18" spans="1:20" s="8" customFormat="1" x14ac:dyDescent="0.25">
      <c r="A18" s="1"/>
      <c r="B18" s="51" t="e">
        <f>_xlfn.CONCAT("HPOD"," ",ROUND(C18/C17,2)*100,"%")</f>
        <v>#DIV/0!</v>
      </c>
      <c r="C18" s="46">
        <f>C17*12%</f>
        <v>0</v>
      </c>
      <c r="D18" s="13"/>
      <c r="F18" s="41"/>
      <c r="G18" s="41"/>
      <c r="H18" s="36"/>
      <c r="I18" s="36"/>
      <c r="J18" s="38"/>
      <c r="K18" s="36"/>
      <c r="L18" s="1"/>
      <c r="M18" s="1"/>
      <c r="N18" s="1"/>
      <c r="O18" s="1"/>
      <c r="P18" s="1"/>
      <c r="Q18" s="1"/>
      <c r="R18" s="6" t="s">
        <v>27</v>
      </c>
      <c r="S18" s="40">
        <f>SUBTOTAL(109,Tabela25791113152331333791720262832343735311131517192527293139413591113151721232729313335373537911131535711133537345373739373791137397337791113151719212325352729313335[Coluna1])</f>
        <v>7</v>
      </c>
    </row>
    <row r="19" spans="1:20" s="8" customFormat="1" x14ac:dyDescent="0.25">
      <c r="A19" s="1"/>
      <c r="B19" s="3"/>
      <c r="C19" s="47"/>
      <c r="D19" s="1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6"/>
    </row>
    <row r="20" spans="1:20" s="8" customFormat="1" x14ac:dyDescent="0.25">
      <c r="A20" s="1"/>
      <c r="B20" s="3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35"/>
      <c r="P20" s="1"/>
      <c r="Q20" s="1"/>
      <c r="R20" s="1"/>
      <c r="S20" s="1"/>
      <c r="T20" s="1"/>
    </row>
    <row r="21" spans="1:20" s="8" customFormat="1" x14ac:dyDescent="0.25">
      <c r="A21" s="26"/>
      <c r="B21" s="12"/>
      <c r="C21" s="12"/>
      <c r="D21" s="12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1"/>
    </row>
    <row r="22" spans="1:20" s="8" customFormat="1" x14ac:dyDescent="0.25">
      <c r="A22" s="26"/>
      <c r="B22" s="12"/>
      <c r="C22" s="12"/>
      <c r="D22" s="12"/>
      <c r="E22" s="27"/>
      <c r="F22" s="27"/>
      <c r="G22" s="27"/>
      <c r="H22" s="27"/>
      <c r="I22" s="27"/>
      <c r="J22" s="27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s="8" customFormat="1" x14ac:dyDescent="0.25">
      <c r="A23" s="26"/>
      <c r="B23" s="12"/>
      <c r="C23" s="12"/>
      <c r="D23" s="12"/>
      <c r="E23" s="28"/>
      <c r="F23" s="28"/>
      <c r="G23" s="28"/>
      <c r="H23" s="28"/>
      <c r="I23" s="28"/>
      <c r="J23" s="28"/>
      <c r="K23" s="27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8" customFormat="1" x14ac:dyDescent="0.25">
      <c r="A24" s="26"/>
      <c r="B24" s="12"/>
      <c r="C24" s="12"/>
      <c r="D24" s="12"/>
      <c r="E24" s="28"/>
      <c r="F24" s="28"/>
      <c r="G24" s="28"/>
      <c r="H24" s="28"/>
      <c r="I24" s="28"/>
      <c r="J24" s="28"/>
      <c r="K24" s="27"/>
      <c r="L24" s="26"/>
      <c r="M24" s="26"/>
      <c r="N24" s="26"/>
      <c r="O24" s="26"/>
      <c r="P24" s="26"/>
      <c r="Q24" s="26"/>
      <c r="R24" s="26"/>
      <c r="S24" s="26"/>
      <c r="T24" s="26"/>
    </row>
    <row r="25" spans="1:20" s="8" customFormat="1" x14ac:dyDescent="0.25">
      <c r="A25" s="26"/>
      <c r="B25" s="12"/>
      <c r="C25" s="12"/>
      <c r="D25" s="12"/>
      <c r="E25" s="28"/>
      <c r="F25" s="28"/>
      <c r="G25" s="28"/>
      <c r="H25" s="28"/>
      <c r="I25" s="28"/>
      <c r="J25" s="28"/>
      <c r="K25" s="27"/>
      <c r="L25" s="26"/>
      <c r="M25" s="26"/>
      <c r="N25" s="26"/>
      <c r="O25" s="26"/>
      <c r="P25" s="29"/>
      <c r="Q25" s="26"/>
      <c r="R25" s="26"/>
      <c r="S25" s="26"/>
      <c r="T25" s="26"/>
    </row>
    <row r="26" spans="1:20" s="8" customFormat="1" x14ac:dyDescent="0.25">
      <c r="A26" s="26"/>
      <c r="B26" s="12"/>
      <c r="C26" s="12"/>
      <c r="D26" s="12"/>
      <c r="E26" s="26"/>
      <c r="F26" s="26"/>
      <c r="G26" s="26"/>
      <c r="H26" s="26"/>
      <c r="I26" s="26"/>
      <c r="J26" s="26"/>
      <c r="K26" s="27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9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9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1"/>
      <c r="B35" s="3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6"/>
    </row>
    <row r="36" spans="1:20" s="8" customFormat="1" x14ac:dyDescent="0.25">
      <c r="A36" s="1"/>
      <c r="B36" s="3"/>
      <c r="C36" s="3"/>
      <c r="D36" s="3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8" customFormat="1" x14ac:dyDescent="0.25">
      <c r="A37" s="1"/>
      <c r="B37" s="3"/>
      <c r="C37" s="3"/>
      <c r="D37" s="3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</row>
  </sheetData>
  <mergeCells count="1">
    <mergeCell ref="A2:T2"/>
  </mergeCells>
  <conditionalFormatting sqref="A1:A1048576">
    <cfRule type="duplicateValues" dxfId="23" priority="4"/>
    <cfRule type="duplicateValues" dxfId="22" priority="5"/>
  </conditionalFormatting>
  <conditionalFormatting sqref="B1:B1048576">
    <cfRule type="duplicateValues" dxfId="21" priority="6"/>
  </conditionalFormatting>
  <conditionalFormatting sqref="B15:C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{AAE08D08-81F9-4BD2-8151-283868F0DA00}</x14:id>
        </ext>
      </extLst>
    </cfRule>
  </conditionalFormatting>
  <conditionalFormatting sqref="H15:J16 F15:G1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{E84255DD-9455-4BFA-A295-47DEBBC52C72}</x14:id>
        </ext>
      </extLst>
    </cfRule>
  </conditionalFormatting>
  <conditionalFormatting sqref="R15:S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{BDB4D709-E304-4E24-A0A2-E551CBDDEA4D}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E08D08-81F9-4BD2-8151-283868F0D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B15:C18</xm:sqref>
        </x14:conditionalFormatting>
        <x14:conditionalFormatting xmlns:xm="http://schemas.microsoft.com/office/excel/2006/main">
          <x14:cfRule type="dataBar" id="{E84255DD-9455-4BFA-A295-47DEBBC52C72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H15:J16 F15:G18</xm:sqref>
        </x14:conditionalFormatting>
        <x14:conditionalFormatting xmlns:xm="http://schemas.microsoft.com/office/excel/2006/main">
          <x14:cfRule type="dataBar" id="{BDB4D709-E304-4E24-A0A2-E551CBDDE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R15:S17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B901-66A4-49E2-BF07-D1D1B99146F2}">
  <sheetPr>
    <pageSetUpPr fitToPage="1"/>
  </sheetPr>
  <dimension ref="A1:BG41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8.28515625" style="3" bestFit="1" customWidth="1"/>
    <col min="3" max="3" width="11.7109375" style="3" bestFit="1" customWidth="1"/>
    <col min="4" max="4" width="22.71093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4210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4052</v>
      </c>
      <c r="B4" s="30" t="s">
        <v>397</v>
      </c>
      <c r="C4" s="20" t="s">
        <v>647</v>
      </c>
      <c r="D4" s="20" t="s">
        <v>722</v>
      </c>
      <c r="E4" s="20" t="s">
        <v>3170</v>
      </c>
      <c r="F4" s="20" t="s">
        <v>3171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Tabela17468101214223032268161925273133362421012141618242628303840248101214162022262830323436242681012142461012242624426262826268102628623668101214161820222424262830323438[[#This Row],[Uso diário]]*2</f>
        <v>37.6</v>
      </c>
      <c r="O4" s="19">
        <f>Tabela17468101214223032268161925273133362421012141618242628303840248101214162022262830323436242681012142461012242624426262826268102628623668101214161820222424262830323438[[#This Row],[Total Acumulado]]-P4</f>
        <v>-94</v>
      </c>
      <c r="P4" s="48">
        <f>Tabela17468101214223032268161925273133362421012141618242628303840248101214162022262830323436242681012142461012242624426262826268102628623668101214161820222424262830323438[[#This Row],[Uso diário]]*5</f>
        <v>94</v>
      </c>
      <c r="Q4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4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488.8</v>
      </c>
      <c r="S4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4" s="25">
        <v>19</v>
      </c>
    </row>
    <row r="5" spans="1:59" s="26" customFormat="1" x14ac:dyDescent="0.25">
      <c r="A5" s="16">
        <v>224891</v>
      </c>
      <c r="B5" s="30" t="s">
        <v>1207</v>
      </c>
      <c r="C5" s="20" t="s">
        <v>650</v>
      </c>
      <c r="D5" s="20" t="s">
        <v>738</v>
      </c>
      <c r="E5" s="20" t="s">
        <v>3172</v>
      </c>
      <c r="F5" s="20" t="s">
        <v>3173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488.8</v>
      </c>
      <c r="K5" s="22"/>
      <c r="L5" s="23">
        <v>56.4</v>
      </c>
      <c r="M5" s="23">
        <f>SUM(Tabela17468101214223032268161925273133362421012141618242628303840248101214162022262830323436242681012142461012242624426262826268102628623668101214161820222424262830323438[[#This Row],[Saldo no cartão]:[Recarga Pendente]])</f>
        <v>56.4</v>
      </c>
      <c r="N5" s="19">
        <f>Tabela17468101214223032268161925273133362421012141618242628303840248101214162022262830323436242681012142461012242624426262826268102628623668101214161820222424262830323438[[#This Row],[Uso diário]]*2</f>
        <v>37.6</v>
      </c>
      <c r="O5" s="19">
        <f>Tabela17468101214223032268161925273133362421012141618242628303840248101214162022262830323436242681012142461012242624426262826268102628623668101214161820222424262830323438[[#This Row],[Total Acumulado]]-P5</f>
        <v>-37.6</v>
      </c>
      <c r="P5" s="48">
        <f>Tabela17468101214223032268161925273133362421012141618242628303840248101214162022262830323436242681012142461012242624426262826268102628623668101214161820222424262830323438[[#This Row],[Uso diário]]*5</f>
        <v>94</v>
      </c>
      <c r="Q5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5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488.8</v>
      </c>
      <c r="S5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5" s="25">
        <v>19</v>
      </c>
    </row>
    <row r="6" spans="1:59" s="26" customFormat="1" x14ac:dyDescent="0.25">
      <c r="A6" s="16">
        <v>212379</v>
      </c>
      <c r="B6" s="30" t="s">
        <v>1294</v>
      </c>
      <c r="C6" s="20" t="s">
        <v>652</v>
      </c>
      <c r="D6" s="20" t="s">
        <v>728</v>
      </c>
      <c r="E6" s="20" t="s">
        <v>3174</v>
      </c>
      <c r="F6" s="20" t="s">
        <v>3175</v>
      </c>
      <c r="G6" s="21">
        <v>15.2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395.2</v>
      </c>
      <c r="K6" s="22"/>
      <c r="L6" s="23"/>
      <c r="M6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Tabela17468101214223032268161925273133362421012141618242628303840248101214162022262830323436242681012142461012242624426262826268102628623668101214161820222424262830323438[[#This Row],[Uso diário]]*2</f>
        <v>30.4</v>
      </c>
      <c r="O6" s="19">
        <f>Tabela17468101214223032268161925273133362421012141618242628303840248101214162022262830323436242681012142461012242624426262826268102628623668101214161820222424262830323438[[#This Row],[Total Acumulado]]-P6</f>
        <v>-76</v>
      </c>
      <c r="P6" s="48">
        <f>Tabela17468101214223032268161925273133362421012141618242628303840248101214162022262830323436242681012142461012242624426262826268102628623668101214161820222424262830323438[[#This Row],[Uso diário]]*5</f>
        <v>76</v>
      </c>
      <c r="Q6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6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395.2</v>
      </c>
      <c r="S6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6" s="25">
        <v>19</v>
      </c>
    </row>
    <row r="7" spans="1:59" s="26" customFormat="1" x14ac:dyDescent="0.25">
      <c r="A7" s="16">
        <v>218495</v>
      </c>
      <c r="B7" s="30" t="s">
        <v>399</v>
      </c>
      <c r="C7" s="20" t="s">
        <v>635</v>
      </c>
      <c r="D7" s="20" t="s">
        <v>689</v>
      </c>
      <c r="E7" s="20" t="s">
        <v>3176</v>
      </c>
      <c r="F7" s="20" t="s">
        <v>3177</v>
      </c>
      <c r="G7" s="21">
        <v>18.8</v>
      </c>
      <c r="H7" s="16">
        <v>22</v>
      </c>
      <c r="I7" s="16">
        <v>1</v>
      </c>
      <c r="J7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394.8</v>
      </c>
      <c r="K7" s="22"/>
      <c r="L7" s="23"/>
      <c r="M7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Tabela17468101214223032268161925273133362421012141618242628303840248101214162022262830323436242681012142461012242624426262826268102628623668101214161820222424262830323438[[#This Row],[Uso diário]]*2</f>
        <v>37.6</v>
      </c>
      <c r="O7" s="19">
        <f>Tabela17468101214223032268161925273133362421012141618242628303840248101214162022262830323436242681012142461012242624426262826268102628623668101214161820222424262830323438[[#This Row],[Total Acumulado]]-P7</f>
        <v>-94</v>
      </c>
      <c r="P7" s="48">
        <f>Tabela17468101214223032268161925273133362421012141618242628303840248101214162022262830323436242681012142461012242624426262826268102628623668101214161820222424262830323438[[#This Row],[Uso diário]]*5</f>
        <v>94</v>
      </c>
      <c r="Q7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7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394.8</v>
      </c>
      <c r="S7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7" s="25">
        <v>19</v>
      </c>
    </row>
    <row r="8" spans="1:59" s="26" customFormat="1" x14ac:dyDescent="0.25">
      <c r="A8" s="16">
        <v>219335</v>
      </c>
      <c r="B8" s="30" t="s">
        <v>400</v>
      </c>
      <c r="C8" s="20" t="s">
        <v>635</v>
      </c>
      <c r="D8" s="20" t="s">
        <v>689</v>
      </c>
      <c r="E8" s="20" t="s">
        <v>3178</v>
      </c>
      <c r="F8" s="20" t="s">
        <v>3179</v>
      </c>
      <c r="G8" s="21">
        <v>18.8</v>
      </c>
      <c r="H8" s="16">
        <v>22</v>
      </c>
      <c r="I8" s="16"/>
      <c r="J8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413.6</v>
      </c>
      <c r="K8" s="22"/>
      <c r="L8" s="23"/>
      <c r="M8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Tabela17468101214223032268161925273133362421012141618242628303840248101214162022262830323436242681012142461012242624426262826268102628623668101214161820222424262830323438[[#This Row],[Uso diário]]*2</f>
        <v>37.6</v>
      </c>
      <c r="O8" s="19">
        <f>Tabela17468101214223032268161925273133362421012141618242628303840248101214162022262830323436242681012142461012242624426262826268102628623668101214161820222424262830323438[[#This Row],[Total Acumulado]]-P8</f>
        <v>-94</v>
      </c>
      <c r="P8" s="48">
        <f>Tabela17468101214223032268161925273133362421012141618242628303840248101214162022262830323436242681012142461012242624426262826268102628623668101214161820222424262830323438[[#This Row],[Uso diário]]*5</f>
        <v>94</v>
      </c>
      <c r="Q8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8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413.6</v>
      </c>
      <c r="S8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8" s="25">
        <v>19</v>
      </c>
    </row>
    <row r="9" spans="1:59" s="26" customFormat="1" x14ac:dyDescent="0.25">
      <c r="A9" s="16">
        <v>213597</v>
      </c>
      <c r="B9" s="30" t="s">
        <v>1481</v>
      </c>
      <c r="C9" s="20" t="s">
        <v>654</v>
      </c>
      <c r="D9" s="20" t="s">
        <v>731</v>
      </c>
      <c r="E9" s="20" t="s">
        <v>3180</v>
      </c>
      <c r="F9" s="20" t="s">
        <v>3181</v>
      </c>
      <c r="G9" s="21">
        <v>13.4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348.40000000000003</v>
      </c>
      <c r="K9" s="22"/>
      <c r="L9" s="23"/>
      <c r="M9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Tabela17468101214223032268161925273133362421012141618242628303840248101214162022262830323436242681012142461012242624426262826268102628623668101214161820222424262830323438[[#This Row],[Uso diário]]*2</f>
        <v>26.8</v>
      </c>
      <c r="O9" s="19">
        <f>Tabela17468101214223032268161925273133362421012141618242628303840248101214162022262830323436242681012142461012242624426262826268102628623668101214161820222424262830323438[[#This Row],[Total Acumulado]]-P9</f>
        <v>-67</v>
      </c>
      <c r="P9" s="48">
        <f>Tabela17468101214223032268161925273133362421012141618242628303840248101214162022262830323436242681012142461012242624426262826268102628623668101214161820222424262830323438[[#This Row],[Uso diário]]*5</f>
        <v>67</v>
      </c>
      <c r="Q9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9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348.40000000000003</v>
      </c>
      <c r="S9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9" s="25">
        <v>19</v>
      </c>
    </row>
    <row r="10" spans="1:59" s="26" customFormat="1" x14ac:dyDescent="0.25">
      <c r="A10" s="16">
        <v>218617</v>
      </c>
      <c r="B10" s="30" t="s">
        <v>1379</v>
      </c>
      <c r="C10" s="20" t="s">
        <v>654</v>
      </c>
      <c r="D10" s="20" t="s">
        <v>731</v>
      </c>
      <c r="E10" s="20" t="s">
        <v>3182</v>
      </c>
      <c r="F10" s="20" t="s">
        <v>3183</v>
      </c>
      <c r="G10" s="21">
        <v>10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260</v>
      </c>
      <c r="K10" s="22"/>
      <c r="L10" s="23">
        <v>18.05</v>
      </c>
      <c r="M10" s="23">
        <f>SUM(Tabela17468101214223032268161925273133362421012141618242628303840248101214162022262830323436242681012142461012242624426262826268102628623668101214161820222424262830323438[[#This Row],[Saldo no cartão]:[Recarga Pendente]])</f>
        <v>18.05</v>
      </c>
      <c r="N10" s="19">
        <f>Tabela17468101214223032268161925273133362421012141618242628303840248101214162022262830323436242681012142461012242624426262826268102628623668101214161820222424262830323438[[#This Row],[Uso diário]]*2</f>
        <v>20</v>
      </c>
      <c r="O10" s="19">
        <f>Tabela17468101214223032268161925273133362421012141618242628303840248101214162022262830323436242681012142461012242624426262826268102628623668101214161820222424262830323438[[#This Row],[Total Acumulado]]-P10</f>
        <v>-31.95</v>
      </c>
      <c r="P10" s="48">
        <f>Tabela17468101214223032268161925273133362421012141618242628303840248101214162022262830323436242681012142461012242624426262826268102628623668101214161820222424262830323438[[#This Row],[Uso diário]]*5</f>
        <v>50</v>
      </c>
      <c r="Q10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10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260</v>
      </c>
      <c r="S10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10" s="25">
        <v>19</v>
      </c>
    </row>
    <row r="11" spans="1:59" s="26" customFormat="1" x14ac:dyDescent="0.25">
      <c r="A11" s="16">
        <v>229316</v>
      </c>
      <c r="B11" s="30" t="s">
        <v>402</v>
      </c>
      <c r="C11" s="20" t="s">
        <v>654</v>
      </c>
      <c r="D11" s="20" t="s">
        <v>715</v>
      </c>
      <c r="E11" s="20" t="s">
        <v>3184</v>
      </c>
      <c r="F11" s="20" t="s">
        <v>3185</v>
      </c>
      <c r="G11" s="21">
        <v>18.8</v>
      </c>
      <c r="H11" s="16">
        <v>26</v>
      </c>
      <c r="I11" s="16">
        <v>1</v>
      </c>
      <c r="J11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470</v>
      </c>
      <c r="K11" s="22"/>
      <c r="L11" s="23"/>
      <c r="M11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Tabela17468101214223032268161925273133362421012141618242628303840248101214162022262830323436242681012142461012242624426262826268102628623668101214161820222424262830323438[[#This Row],[Uso diário]]*2</f>
        <v>37.6</v>
      </c>
      <c r="O11" s="19">
        <f>Tabela17468101214223032268161925273133362421012141618242628303840248101214162022262830323436242681012142461012242624426262826268102628623668101214161820222424262830323438[[#This Row],[Total Acumulado]]-P11</f>
        <v>-94</v>
      </c>
      <c r="P11" s="48">
        <f>Tabela17468101214223032268161925273133362421012141618242628303840248101214162022262830323436242681012142461012242624426262826268102628623668101214161820222424262830323438[[#This Row],[Uso diário]]*5</f>
        <v>94</v>
      </c>
      <c r="Q11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11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470</v>
      </c>
      <c r="S11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11" s="25">
        <v>19</v>
      </c>
    </row>
    <row r="12" spans="1:59" s="26" customFormat="1" x14ac:dyDescent="0.25">
      <c r="A12" s="16">
        <v>234654</v>
      </c>
      <c r="B12" s="30" t="s">
        <v>1324</v>
      </c>
      <c r="C12" s="20" t="s">
        <v>640</v>
      </c>
      <c r="D12" s="20" t="s">
        <v>702</v>
      </c>
      <c r="E12" s="20" t="s">
        <v>3186</v>
      </c>
      <c r="F12" s="20" t="s">
        <v>3187</v>
      </c>
      <c r="G12" s="21">
        <v>18.8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488.8</v>
      </c>
      <c r="K12" s="22"/>
      <c r="L12" s="23"/>
      <c r="M12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12" s="19">
        <f>Tabela17468101214223032268161925273133362421012141618242628303840248101214162022262830323436242681012142461012242624426262826268102628623668101214161820222424262830323438[[#This Row],[Uso diário]]*2</f>
        <v>37.6</v>
      </c>
      <c r="O12" s="19">
        <f>Tabela17468101214223032268161925273133362421012141618242628303840248101214162022262830323436242681012142461012242624426262826268102628623668101214161820222424262830323438[[#This Row],[Total Acumulado]]-P12</f>
        <v>-94</v>
      </c>
      <c r="P12" s="48">
        <f>Tabela17468101214223032268161925273133362421012141618242628303840248101214162022262830323436242681012142461012242624426262826268102628623668101214161820222424262830323438[[#This Row],[Uso diário]]*5</f>
        <v>94</v>
      </c>
      <c r="Q12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12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488.8</v>
      </c>
      <c r="S12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12" s="25">
        <v>19</v>
      </c>
    </row>
    <row r="13" spans="1:59" s="26" customFormat="1" x14ac:dyDescent="0.25">
      <c r="A13" s="16">
        <v>234772</v>
      </c>
      <c r="B13" s="30" t="s">
        <v>1380</v>
      </c>
      <c r="C13" s="20" t="s">
        <v>640</v>
      </c>
      <c r="D13" s="20" t="s">
        <v>701</v>
      </c>
      <c r="E13" s="20" t="s">
        <v>3188</v>
      </c>
      <c r="F13" s="20" t="s">
        <v>3189</v>
      </c>
      <c r="G13" s="21">
        <v>10</v>
      </c>
      <c r="H13" s="16">
        <v>26</v>
      </c>
      <c r="I13" s="16"/>
      <c r="J13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260</v>
      </c>
      <c r="K13" s="22"/>
      <c r="L13" s="23"/>
      <c r="M13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Tabela17468101214223032268161925273133362421012141618242628303840248101214162022262830323436242681012142461012242624426262826268102628623668101214161820222424262830323438[[#This Row],[Uso diário]]*2</f>
        <v>20</v>
      </c>
      <c r="O13" s="19">
        <f>Tabela17468101214223032268161925273133362421012141618242628303840248101214162022262830323436242681012142461012242624426262826268102628623668101214161820222424262830323438[[#This Row],[Total Acumulado]]-P13</f>
        <v>-50</v>
      </c>
      <c r="P13" s="48">
        <f>Tabela17468101214223032268161925273133362421012141618242628303840248101214162022262830323436242681012142461012242624426262826268102628623668101214161820222424262830323438[[#This Row],[Uso diário]]*5</f>
        <v>50</v>
      </c>
      <c r="Q13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13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260</v>
      </c>
      <c r="S13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13" s="25">
        <v>19</v>
      </c>
    </row>
    <row r="14" spans="1:59" s="26" customFormat="1" x14ac:dyDescent="0.25">
      <c r="A14" s="16">
        <v>215453</v>
      </c>
      <c r="B14" s="30" t="s">
        <v>1208</v>
      </c>
      <c r="C14" s="20" t="s">
        <v>645</v>
      </c>
      <c r="D14" s="20" t="s">
        <v>751</v>
      </c>
      <c r="E14" s="20" t="s">
        <v>3190</v>
      </c>
      <c r="F14" s="20" t="s">
        <v>3191</v>
      </c>
      <c r="G14" s="21">
        <v>18.8</v>
      </c>
      <c r="H14" s="16">
        <v>26</v>
      </c>
      <c r="I14" s="16"/>
      <c r="J14" s="17">
        <f>(Tabela17468101214223032268161925273133362421012141618242628303840248101214162022262830323436242681012142461012242624426262826268102628623668101214161820222424262830323438[[#This Row],[D]]-Tabela17468101214223032268161925273133362421012141618242628303840248101214162022262830323436242681012142461012242624426262826268102628623668101214161820222424262830323438[[#This Row],[F]])*Tabela17468101214223032268161925273133362421012141618242628303840248101214162022262830323436242681012142461012242624426262826268102628623668101214161820222424262830323438[[#This Row],[Uso diário]]</f>
        <v>488.8</v>
      </c>
      <c r="K14" s="22"/>
      <c r="L14" s="23"/>
      <c r="M14" s="23">
        <f>SUM(Tabela17468101214223032268161925273133362421012141618242628303840248101214162022262830323436242681012142461012242624426262826268102628623668101214161820222424262830323438[[#This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Tabela17468101214223032268161925273133362421012141618242628303840248101214162022262830323436242681012142461012242624426262826268102628623668101214161820222424262830323438[[#This Row],[Uso diário]]*2</f>
        <v>37.6</v>
      </c>
      <c r="O14" s="19">
        <f>Tabela17468101214223032268161925273133362421012141618242628303840248101214162022262830323436242681012142461012242624426262826268102628623668101214161820222424262830323438[[#This Row],[Total Acumulado]]-P14</f>
        <v>-94</v>
      </c>
      <c r="P14" s="48">
        <f>Tabela17468101214223032268161925273133362421012141618242628303840248101214162022262830323436242681012142461012242624426262826268102628623668101214161820222424262830323438[[#This Row],[Uso diário]]*5</f>
        <v>94</v>
      </c>
      <c r="Q14" s="17">
        <f>IF(Tabela17468101214223032268161925273133362421012141618242628303840248101214162022262830323436242681012142461012242624426262826268102628623668101214161820222424262830323438[[#This Row],[acumulo]]&lt;Tabela17468101214223032268161925273133362421012141618242628303840248101214162022262830323436242681012142461012242624426262826268102628623668101214161820222424262830323438[[#This Row],[acumulo minimo]],0,Tabela17468101214223032268161925273133362421012141618242628303840248101214162022262830323436242681012142461012242624426262826268102628623668101214161820222424262830323438[[#This Row],[acumulo]])</f>
        <v>0</v>
      </c>
      <c r="R14" s="24">
        <f>IF(Tabela17468101214223032268161925273133362421012141618242628303840248101214162022262830323436242681012142461012242624426262826268102628623668101214161820222424262830323438[[#This Row],[Valor economizado]]&gt;Tabela17468101214223032268161925273133362421012141618242628303840248101214162022262830323436242681012142461012242624426262826268102628623668101214161820222424262830323438[[#This Row],[Pedido Inicial]],0,Tabela17468101214223032268161925273133362421012141618242628303840248101214162022262830323436242681012142461012242624426262826268102628623668101214161820222424262830323438[[#This Row],[Pedido Inicial]]-Tabela17468101214223032268161925273133362421012141618242628303840248101214162022262830323436242681012142461012242624426262826268102628623668101214161820222424262830323438[[#This Row],[Valor economizado]])</f>
        <v>488.8</v>
      </c>
      <c r="S14" s="18" t="str">
        <f>IF(Tabela17468101214223032268161925273133362421012141618242628303840248101214162022262830323436242681012142461012242624426262826268102628623668101214161820222424262830323438[[#This Row],[Pedido Final]]=0,"NÃO EFETUAR RECARGA","RECARGA NORMAL")</f>
        <v>RECARGA NORMAL</v>
      </c>
      <c r="T14" s="25">
        <v>19</v>
      </c>
    </row>
    <row r="15" spans="1:59" s="8" customFormat="1" x14ac:dyDescent="0.25">
      <c r="A15" s="13" t="s">
        <v>13</v>
      </c>
      <c r="B15" s="13"/>
      <c r="C15" s="13"/>
      <c r="D15" s="13"/>
      <c r="E15" s="20"/>
      <c r="F15" s="20"/>
      <c r="G15" s="33"/>
      <c r="H15" s="13"/>
      <c r="I15" s="13"/>
      <c r="J15" s="14">
        <f>SUBTOTAL(109,Tabela17468101214223032268161925273133362421012141618242628303840248101214162022262830323436242681012142461012242624426262826268102628623668101214161820222424262830323438[Pedido Inicial])</f>
        <v>4497.2</v>
      </c>
      <c r="K15" s="15"/>
      <c r="L15" s="15"/>
      <c r="M15" s="15"/>
      <c r="N15" s="15"/>
      <c r="O15" s="15"/>
      <c r="P15" s="15"/>
      <c r="Q15" s="15"/>
      <c r="R15" s="14">
        <f>SUBTOTAL(109,Tabela17468101214223032268161925273133362421012141618242628303840248101214162022262830323436242681012142461012242624426262826268102628623668101214161820222424262830323438[Pedido Final])</f>
        <v>4497.2</v>
      </c>
      <c r="S15" s="31">
        <f>SUBTOTAL(103,Tabela17468101214223032268161925273133362421012141618242628303840248101214162022262830323436242681012142461012242624426262826268102628623668101214161820222424262830323438[Status])</f>
        <v>11</v>
      </c>
      <c r="T15" s="13"/>
    </row>
    <row r="16" spans="1:59" s="8" customFormat="1" x14ac:dyDescent="0.25">
      <c r="A16" s="13"/>
      <c r="B16" s="13"/>
      <c r="C16" s="13"/>
      <c r="D16" s="13"/>
      <c r="E16" s="20"/>
      <c r="F16" s="20"/>
      <c r="G16" s="33"/>
      <c r="H16" s="13"/>
      <c r="I16" s="13"/>
      <c r="J16" s="14"/>
      <c r="K16" s="15"/>
      <c r="L16" s="15"/>
      <c r="M16" s="15"/>
      <c r="N16" s="15"/>
      <c r="O16" s="15"/>
      <c r="P16" s="15"/>
      <c r="Q16" s="15"/>
      <c r="R16" s="14"/>
      <c r="S16" s="31"/>
      <c r="T16" s="13"/>
    </row>
    <row r="17" spans="1:20" s="8" customFormat="1" x14ac:dyDescent="0.25">
      <c r="A17" s="13"/>
      <c r="B17" s="13"/>
      <c r="C17" s="13"/>
      <c r="D17" s="13"/>
      <c r="E17" s="20"/>
      <c r="F17" s="20"/>
      <c r="G17" s="33"/>
      <c r="H17" s="13"/>
      <c r="I17" s="13"/>
      <c r="J17" s="14"/>
      <c r="K17" s="15"/>
      <c r="L17" s="15"/>
      <c r="M17" s="15"/>
      <c r="N17" s="15"/>
      <c r="O17" s="15"/>
      <c r="P17" s="15"/>
      <c r="Q17" s="15"/>
      <c r="R17" s="14"/>
      <c r="S17" s="31"/>
      <c r="T17" s="13"/>
    </row>
    <row r="18" spans="1:20" s="8" customFormat="1" x14ac:dyDescent="0.25">
      <c r="A18" s="1"/>
      <c r="B18" s="54" t="s">
        <v>14</v>
      </c>
      <c r="C18" s="55"/>
      <c r="D18" s="13"/>
      <c r="F18" s="37"/>
      <c r="G18" s="37"/>
      <c r="H18" s="37"/>
      <c r="I18" s="37"/>
      <c r="J18" s="28"/>
      <c r="K18" s="3"/>
      <c r="L18" s="1"/>
      <c r="M18" s="1"/>
      <c r="N18" s="1"/>
      <c r="O18" s="1"/>
      <c r="P18" s="1"/>
      <c r="Q18" s="1"/>
      <c r="R18" s="4" t="s">
        <v>26</v>
      </c>
      <c r="S18" s="39" t="s">
        <v>15</v>
      </c>
    </row>
    <row r="19" spans="1:20" s="8" customFormat="1" x14ac:dyDescent="0.25">
      <c r="A19" s="1"/>
      <c r="B19" s="50" t="s">
        <v>24</v>
      </c>
      <c r="C19" s="45">
        <f>Tabela17468101214223032268161925273133362421012141618242628303840248101214162022262830323436242681012142461012242624426262826268102628623668101214161820222424262830323438[[#Totals],[Pedido Inicial]]</f>
        <v>4497.2</v>
      </c>
      <c r="D19" s="13"/>
      <c r="F19" s="41"/>
      <c r="G19" s="41"/>
      <c r="H19" s="34"/>
      <c r="I19" s="34"/>
      <c r="J19" s="34"/>
      <c r="K19" s="5"/>
      <c r="L19" s="1"/>
      <c r="M19" s="1"/>
      <c r="N19" s="1"/>
      <c r="O19" s="1"/>
      <c r="P19" s="1"/>
      <c r="Q19" s="1"/>
      <c r="R19" s="58" t="s">
        <v>28</v>
      </c>
      <c r="S19" s="59">
        <f>COUNTIF(Tabela17468101214223032268161925273133362421012141618242628303840248101214162022262830323436242681012142461012242624426262826268102628623668101214161820222424262830323438[Status],Tabela2579111315233133379172026283234373531113151719252729313941359111315172123272931333537353791113153571113353734537373937379113739733779111315171921232535272931333539[[#This Row],[STATUS]])</f>
        <v>11</v>
      </c>
    </row>
    <row r="20" spans="1:20" s="8" customFormat="1" x14ac:dyDescent="0.25">
      <c r="A20" s="1"/>
      <c r="B20" s="50" t="s">
        <v>25</v>
      </c>
      <c r="C20" s="45">
        <f>Tabela17468101214223032268161925273133362421012141618242628303840248101214162022262830323436242681012142461012242624426262826268102628623668101214161820222424262830323438[[#Totals],[Pedido Final]]</f>
        <v>4497.2</v>
      </c>
      <c r="D20" s="13"/>
      <c r="F20" s="41"/>
      <c r="G20" s="41"/>
      <c r="H20" s="34"/>
      <c r="I20" s="34"/>
      <c r="J20" s="34"/>
      <c r="K20" s="5"/>
      <c r="L20" s="1"/>
      <c r="M20" s="1"/>
      <c r="N20" s="1"/>
      <c r="O20" s="1"/>
      <c r="P20" s="1"/>
      <c r="R20" s="58" t="s">
        <v>11</v>
      </c>
      <c r="S20" s="59">
        <f>COUNTIF(Tabela17468101214223032268161925273133362421012141618242628303840248101214162022262830323436242681012142461012242624426262826268102628623668101214161820222424262830323438[Status],Tabela2579111315233133379172026283234373531113151719252729313941359111315172123272931333537353791113153571113353734537373937379113739733779111315171921232535272931333539[[#This Row],[STATUS]])</f>
        <v>0</v>
      </c>
    </row>
    <row r="21" spans="1:20" s="8" customFormat="1" x14ac:dyDescent="0.25">
      <c r="A21" s="1"/>
      <c r="B21" s="51" t="str">
        <f>_xlfn.CONCAT("ECONOMIA"," ",ROUND(C21/C19,2)*100,"%")</f>
        <v>ECONOMIA 0%</v>
      </c>
      <c r="C21" s="46">
        <f>SUM(C19-C20)</f>
        <v>0</v>
      </c>
      <c r="D21" s="13"/>
      <c r="F21" s="41"/>
      <c r="G21" s="41"/>
      <c r="H21" s="36"/>
      <c r="I21" s="36"/>
      <c r="J21" s="38"/>
      <c r="K21" s="36"/>
      <c r="L21" s="1"/>
      <c r="M21" s="1"/>
      <c r="N21" s="1"/>
      <c r="O21" s="1"/>
      <c r="P21" s="1"/>
      <c r="Q21" s="35"/>
      <c r="R21" s="58" t="s">
        <v>12</v>
      </c>
      <c r="S21" s="59">
        <f>COUNTIF(Tabela17468101214223032268161925273133362421012141618242628303840248101214162022262830323436242681012142461012242624426262826268102628623668101214161820222424262830323438[Status],Tabela2579111315233133379172026283234373531113151719252729313941359111315172123272931333537353791113153571113353734537373937379113739733779111315171921232535272931333539[[#This Row],[STATUS]])</f>
        <v>0</v>
      </c>
    </row>
    <row r="22" spans="1:20" s="8" customFormat="1" x14ac:dyDescent="0.25">
      <c r="A22" s="1"/>
      <c r="B22" s="51" t="e">
        <f>_xlfn.CONCAT("HPOD"," ",ROUND(C22/C21,2)*100,"%")</f>
        <v>#DIV/0!</v>
      </c>
      <c r="C22" s="46">
        <f>C21*12%</f>
        <v>0</v>
      </c>
      <c r="D22" s="13"/>
      <c r="F22" s="41"/>
      <c r="G22" s="41"/>
      <c r="H22" s="36"/>
      <c r="I22" s="36"/>
      <c r="J22" s="38"/>
      <c r="K22" s="36"/>
      <c r="L22" s="1"/>
      <c r="M22" s="1"/>
      <c r="N22" s="1"/>
      <c r="O22" s="1"/>
      <c r="P22" s="1"/>
      <c r="Q22" s="1"/>
      <c r="R22" s="6" t="s">
        <v>27</v>
      </c>
      <c r="S22" s="40">
        <f>SUBTOTAL(109,Tabela2579111315233133379172026283234373531113151719252729313941359111315172123272931333537353791113153571113353734537373937379113739733779111315171921232535272931333539[Coluna1])</f>
        <v>11</v>
      </c>
    </row>
    <row r="23" spans="1:20" s="8" customFormat="1" x14ac:dyDescent="0.25">
      <c r="A23" s="1"/>
      <c r="B23" s="3"/>
      <c r="C23" s="47"/>
      <c r="D23" s="1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6"/>
    </row>
    <row r="24" spans="1:20" s="8" customFormat="1" x14ac:dyDescent="0.25">
      <c r="A24" s="1"/>
      <c r="B24" s="3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35"/>
      <c r="P24" s="1"/>
      <c r="Q24" s="1"/>
      <c r="R24" s="1"/>
      <c r="S24" s="1"/>
      <c r="T24" s="1"/>
    </row>
    <row r="25" spans="1:20" s="8" customFormat="1" x14ac:dyDescent="0.25">
      <c r="A25" s="26"/>
      <c r="B25" s="12"/>
      <c r="C25" s="12"/>
      <c r="D25" s="12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1"/>
    </row>
    <row r="26" spans="1:20" s="8" customFormat="1" x14ac:dyDescent="0.25">
      <c r="A26" s="26"/>
      <c r="B26" s="12"/>
      <c r="C26" s="12"/>
      <c r="D26" s="12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8"/>
      <c r="F27" s="28"/>
      <c r="G27" s="28"/>
      <c r="H27" s="28"/>
      <c r="I27" s="28"/>
      <c r="J27" s="28"/>
      <c r="K27" s="27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8"/>
      <c r="F28" s="28"/>
      <c r="G28" s="28"/>
      <c r="H28" s="28"/>
      <c r="I28" s="28"/>
      <c r="J28" s="28"/>
      <c r="K28" s="27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8"/>
      <c r="F29" s="28"/>
      <c r="G29" s="28"/>
      <c r="H29" s="28"/>
      <c r="I29" s="28"/>
      <c r="J29" s="28"/>
      <c r="K29" s="27"/>
      <c r="L29" s="26"/>
      <c r="M29" s="26"/>
      <c r="N29" s="26"/>
      <c r="O29" s="26"/>
      <c r="P29" s="29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26"/>
      <c r="B31" s="12"/>
      <c r="C31" s="12"/>
      <c r="D31" s="12"/>
      <c r="E31" s="28"/>
      <c r="F31" s="28"/>
      <c r="G31" s="28"/>
      <c r="H31" s="28"/>
      <c r="I31" s="28"/>
      <c r="J31" s="28"/>
      <c r="K31" s="29"/>
      <c r="L31" s="26"/>
      <c r="M31" s="26"/>
      <c r="N31" s="26"/>
      <c r="O31" s="26"/>
      <c r="P31" s="26"/>
      <c r="Q31" s="26"/>
      <c r="R31" s="26"/>
      <c r="S31" s="26"/>
      <c r="T31" s="26"/>
    </row>
    <row r="32" spans="1:20" s="8" customFormat="1" x14ac:dyDescent="0.25">
      <c r="A32" s="26"/>
      <c r="B32" s="12"/>
      <c r="C32" s="12"/>
      <c r="D32" s="1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9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26"/>
      <c r="B38" s="12"/>
      <c r="C38" s="12"/>
      <c r="D38" s="12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8" customFormat="1" x14ac:dyDescent="0.25">
      <c r="A39" s="1"/>
      <c r="B39" s="3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6"/>
    </row>
    <row r="40" spans="1:20" s="8" customFormat="1" x14ac:dyDescent="0.25">
      <c r="A40" s="1"/>
      <c r="B40" s="3"/>
      <c r="C40" s="3"/>
      <c r="D40" s="3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8" customFormat="1" x14ac:dyDescent="0.25">
      <c r="A41" s="1"/>
      <c r="B41" s="3"/>
      <c r="C41" s="3"/>
      <c r="D41" s="3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</row>
  </sheetData>
  <mergeCells count="1">
    <mergeCell ref="A2:T2"/>
  </mergeCells>
  <conditionalFormatting sqref="A1:A1048576">
    <cfRule type="duplicateValues" dxfId="20" priority="4"/>
    <cfRule type="duplicateValues" dxfId="19" priority="5"/>
  </conditionalFormatting>
  <conditionalFormatting sqref="B1:B1048576">
    <cfRule type="duplicateValues" dxfId="18" priority="6"/>
  </conditionalFormatting>
  <conditionalFormatting sqref="B19:C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{FDE415D0-BC22-4009-990D-5FA3D9A990B6}</x14:id>
        </ext>
      </extLst>
    </cfRule>
  </conditionalFormatting>
  <conditionalFormatting sqref="H19:J20 F19:G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{9003347F-21D3-4685-8168-6EDFB47BD37D}</x14:id>
        </ext>
      </extLst>
    </cfRule>
  </conditionalFormatting>
  <conditionalFormatting sqref="R19:S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{B6AF527E-60D9-40CF-8FCF-ACACCBF982E6}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E415D0-BC22-4009-990D-5FA3D9A99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B19:C22</xm:sqref>
        </x14:conditionalFormatting>
        <x14:conditionalFormatting xmlns:xm="http://schemas.microsoft.com/office/excel/2006/main">
          <x14:cfRule type="dataBar" id="{9003347F-21D3-4685-8168-6EDFB47BD37D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H19:J20 F19:G22</xm:sqref>
        </x14:conditionalFormatting>
        <x14:conditionalFormatting xmlns:xm="http://schemas.microsoft.com/office/excel/2006/main">
          <x14:cfRule type="dataBar" id="{B6AF527E-60D9-40CF-8FCF-ACACCBF982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R19:S21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6425-DACA-4F30-827D-73F128721516}">
  <sheetPr>
    <pageSetUpPr fitToPage="1"/>
  </sheetPr>
  <dimension ref="A1:BG50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8.28515625" style="3" bestFit="1" customWidth="1"/>
    <col min="3" max="3" width="9.7109375" style="3" bestFit="1" customWidth="1"/>
    <col min="4" max="4" width="26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212633</v>
      </c>
      <c r="B4" s="30" t="s">
        <v>404</v>
      </c>
      <c r="C4" s="20" t="s">
        <v>647</v>
      </c>
      <c r="D4" s="20" t="s">
        <v>723</v>
      </c>
      <c r="E4" s="20" t="s">
        <v>3192</v>
      </c>
      <c r="F4" s="20" t="s">
        <v>3193</v>
      </c>
      <c r="G4" s="21">
        <v>10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4" s="22"/>
      <c r="L4" s="23"/>
      <c r="M4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Tabela1746810121422303226816192527313336242101214161824262830384024810121416202226283032343624268101214246101224262442626282626810262862366810121416182022242426283032343840[[#This Row],[Uso diário]]*2</f>
        <v>20</v>
      </c>
      <c r="O4" s="19">
        <f>Tabela1746810121422303226816192527313336242101214161824262830384024810121416202226283032343624268101214246101224262442626282626810262862366810121416182022242426283032343840[[#This Row],[Total Acumulado]]-P4</f>
        <v>-50</v>
      </c>
      <c r="P4" s="48">
        <f>Tabela1746810121422303226816192527313336242101214161824262830384024810121416202226283032343624268101214246101224262442626282626810262862366810121416182022242426283032343840[[#This Row],[Uso diário]]*5</f>
        <v>50</v>
      </c>
      <c r="Q4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4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4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4" s="25">
        <v>20</v>
      </c>
    </row>
    <row r="5" spans="1:59" s="26" customFormat="1" x14ac:dyDescent="0.25">
      <c r="A5" s="16">
        <v>222280</v>
      </c>
      <c r="B5" s="30" t="s">
        <v>405</v>
      </c>
      <c r="C5" s="20" t="s">
        <v>647</v>
      </c>
      <c r="D5" s="20" t="s">
        <v>721</v>
      </c>
      <c r="E5" s="20" t="s">
        <v>3194</v>
      </c>
      <c r="F5" s="20" t="s">
        <v>3195</v>
      </c>
      <c r="G5" s="21">
        <v>10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5" s="22"/>
      <c r="L5" s="23"/>
      <c r="M5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Tabela1746810121422303226816192527313336242101214161824262830384024810121416202226283032343624268101214246101224262442626282626810262862366810121416182022242426283032343840[[#This Row],[Uso diário]]*2</f>
        <v>20</v>
      </c>
      <c r="O5" s="19">
        <f>Tabela1746810121422303226816192527313336242101214161824262830384024810121416202226283032343624268101214246101224262442626282626810262862366810121416182022242426283032343840[[#This Row],[Total Acumulado]]-P5</f>
        <v>-50</v>
      </c>
      <c r="P5" s="48">
        <f>Tabela1746810121422303226816192527313336242101214161824262830384024810121416202226283032343624268101214246101224262442626282626810262862366810121416182022242426283032343840[[#This Row],[Uso diário]]*5</f>
        <v>50</v>
      </c>
      <c r="Q5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5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5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5" s="25">
        <v>20</v>
      </c>
    </row>
    <row r="6" spans="1:59" s="26" customFormat="1" x14ac:dyDescent="0.25">
      <c r="A6" s="16">
        <v>224077</v>
      </c>
      <c r="B6" s="30" t="s">
        <v>1209</v>
      </c>
      <c r="C6" s="20" t="s">
        <v>649</v>
      </c>
      <c r="D6" s="20" t="s">
        <v>725</v>
      </c>
      <c r="E6" s="20" t="s">
        <v>3196</v>
      </c>
      <c r="F6" s="20" t="s">
        <v>3197</v>
      </c>
      <c r="G6" s="21">
        <v>18.8</v>
      </c>
      <c r="H6" s="16">
        <v>26</v>
      </c>
      <c r="I6" s="16">
        <v>1</v>
      </c>
      <c r="J6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470</v>
      </c>
      <c r="K6" s="22"/>
      <c r="L6" s="23"/>
      <c r="M6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Tabela1746810121422303226816192527313336242101214161824262830384024810121416202226283032343624268101214246101224262442626282626810262862366810121416182022242426283032343840[[#This Row],[Uso diário]]*2</f>
        <v>37.6</v>
      </c>
      <c r="O6" s="19">
        <f>Tabela1746810121422303226816192527313336242101214161824262830384024810121416202226283032343624268101214246101224262442626282626810262862366810121416182022242426283032343840[[#This Row],[Total Acumulado]]-P6</f>
        <v>-94</v>
      </c>
      <c r="P6" s="48">
        <f>Tabela1746810121422303226816192527313336242101214161824262830384024810121416202226283032343624268101214246101224262442626282626810262862366810121416182022242426283032343840[[#This Row],[Uso diário]]*5</f>
        <v>94</v>
      </c>
      <c r="Q6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6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470</v>
      </c>
      <c r="S6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6" s="25">
        <v>20</v>
      </c>
    </row>
    <row r="7" spans="1:59" s="26" customFormat="1" x14ac:dyDescent="0.25">
      <c r="A7" s="16">
        <v>226208</v>
      </c>
      <c r="B7" s="30" t="s">
        <v>1482</v>
      </c>
      <c r="C7" s="20" t="s">
        <v>649</v>
      </c>
      <c r="D7" s="20" t="s">
        <v>725</v>
      </c>
      <c r="E7" s="20" t="s">
        <v>3198</v>
      </c>
      <c r="F7" s="20" t="s">
        <v>3199</v>
      </c>
      <c r="G7" s="21">
        <v>10</v>
      </c>
      <c r="H7" s="16">
        <v>26</v>
      </c>
      <c r="I7" s="16"/>
      <c r="J7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7" s="22"/>
      <c r="L7" s="23"/>
      <c r="M7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Tabela1746810121422303226816192527313336242101214161824262830384024810121416202226283032343624268101214246101224262442626282626810262862366810121416182022242426283032343840[[#This Row],[Uso diário]]*2</f>
        <v>20</v>
      </c>
      <c r="O7" s="19">
        <f>Tabela1746810121422303226816192527313336242101214161824262830384024810121416202226283032343624268101214246101224262442626282626810262862366810121416182022242426283032343840[[#This Row],[Total Acumulado]]-P7</f>
        <v>-50</v>
      </c>
      <c r="P7" s="48">
        <f>Tabela1746810121422303226816192527313336242101214161824262830384024810121416202226283032343624268101214246101224262442626282626810262862366810121416182022242426283032343840[[#This Row],[Uso diário]]*5</f>
        <v>50</v>
      </c>
      <c r="Q7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7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7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7" s="25">
        <v>20</v>
      </c>
    </row>
    <row r="8" spans="1:59" s="26" customFormat="1" x14ac:dyDescent="0.25">
      <c r="A8" s="16">
        <v>226296</v>
      </c>
      <c r="B8" s="30" t="s">
        <v>1483</v>
      </c>
      <c r="C8" s="20" t="s">
        <v>649</v>
      </c>
      <c r="D8" s="20" t="s">
        <v>725</v>
      </c>
      <c r="E8" s="20" t="s">
        <v>3200</v>
      </c>
      <c r="F8" s="20" t="s">
        <v>3201</v>
      </c>
      <c r="G8" s="21">
        <v>10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8" s="22"/>
      <c r="L8" s="23"/>
      <c r="M8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Tabela1746810121422303226816192527313336242101214161824262830384024810121416202226283032343624268101214246101224262442626282626810262862366810121416182022242426283032343840[[#This Row],[Uso diário]]*2</f>
        <v>20</v>
      </c>
      <c r="O8" s="19">
        <f>Tabela1746810121422303226816192527313336242101214161824262830384024810121416202226283032343624268101214246101224262442626282626810262862366810121416182022242426283032343840[[#This Row],[Total Acumulado]]-P8</f>
        <v>-50</v>
      </c>
      <c r="P8" s="48">
        <f>Tabela1746810121422303226816192527313336242101214161824262830384024810121416202226283032343624268101214246101224262442626282626810262862366810121416182022242426283032343840[[#This Row],[Uso diário]]*5</f>
        <v>50</v>
      </c>
      <c r="Q8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8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8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8" s="25">
        <v>20</v>
      </c>
    </row>
    <row r="9" spans="1:59" s="26" customFormat="1" x14ac:dyDescent="0.25">
      <c r="A9" s="16">
        <v>226298</v>
      </c>
      <c r="B9" s="30" t="s">
        <v>407</v>
      </c>
      <c r="C9" s="20" t="s">
        <v>649</v>
      </c>
      <c r="D9" s="20" t="s">
        <v>725</v>
      </c>
      <c r="E9" s="20" t="s">
        <v>3202</v>
      </c>
      <c r="F9" s="20" t="s">
        <v>3203</v>
      </c>
      <c r="G9" s="21">
        <v>10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9" s="22"/>
      <c r="L9" s="23"/>
      <c r="M9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Tabela1746810121422303226816192527313336242101214161824262830384024810121416202226283032343624268101214246101224262442626282626810262862366810121416182022242426283032343840[[#This Row],[Uso diário]]*2</f>
        <v>20</v>
      </c>
      <c r="O9" s="19">
        <f>Tabela1746810121422303226816192527313336242101214161824262830384024810121416202226283032343624268101214246101224262442626282626810262862366810121416182022242426283032343840[[#This Row],[Total Acumulado]]-P9</f>
        <v>-50</v>
      </c>
      <c r="P9" s="48">
        <f>Tabela1746810121422303226816192527313336242101214161824262830384024810121416202226283032343624268101214246101224262442626282626810262862366810121416182022242426283032343840[[#This Row],[Uso diário]]*5</f>
        <v>50</v>
      </c>
      <c r="Q9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9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9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9" s="25">
        <v>20</v>
      </c>
    </row>
    <row r="10" spans="1:59" s="26" customFormat="1" x14ac:dyDescent="0.25">
      <c r="A10" s="16">
        <v>224349</v>
      </c>
      <c r="B10" s="30" t="s">
        <v>409</v>
      </c>
      <c r="C10" s="20" t="s">
        <v>650</v>
      </c>
      <c r="D10" s="20" t="s">
        <v>726</v>
      </c>
      <c r="E10" s="20" t="s">
        <v>3204</v>
      </c>
      <c r="F10" s="20" t="s">
        <v>3205</v>
      </c>
      <c r="G10" s="21">
        <v>10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10" s="22"/>
      <c r="L10" s="23">
        <v>154</v>
      </c>
      <c r="M10" s="23">
        <f>SUM(Tabela1746810121422303226816192527313336242101214161824262830384024810121416202226283032343624268101214246101224262442626282626810262862366810121416182022242426283032343840[[#This Row],[Saldo no cartão]:[Recarga Pendente]])</f>
        <v>154</v>
      </c>
      <c r="N10" s="19">
        <f>Tabela1746810121422303226816192527313336242101214161824262830384024810121416202226283032343624268101214246101224262442626282626810262862366810121416182022242426283032343840[[#This Row],[Uso diário]]*2</f>
        <v>20</v>
      </c>
      <c r="O10" s="19">
        <f>Tabela1746810121422303226816192527313336242101214161824262830384024810121416202226283032343624268101214246101224262442626282626810262862366810121416182022242426283032343840[[#This Row],[Total Acumulado]]-P10</f>
        <v>104</v>
      </c>
      <c r="P10" s="48">
        <f>Tabela1746810121422303226816192527313336242101214161824262830384024810121416202226283032343624268101214246101224262442626282626810262862366810121416182022242426283032343840[[#This Row],[Uso diário]]*5</f>
        <v>50</v>
      </c>
      <c r="Q10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104</v>
      </c>
      <c r="R10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156</v>
      </c>
      <c r="S10" s="18" t="s">
        <v>11</v>
      </c>
      <c r="T10" s="25">
        <v>20</v>
      </c>
    </row>
    <row r="11" spans="1:59" s="26" customFormat="1" x14ac:dyDescent="0.25">
      <c r="A11" s="16">
        <v>208326</v>
      </c>
      <c r="B11" s="30" t="s">
        <v>1091</v>
      </c>
      <c r="C11" s="20" t="s">
        <v>635</v>
      </c>
      <c r="D11" s="20" t="s">
        <v>689</v>
      </c>
      <c r="E11" s="20" t="s">
        <v>3206</v>
      </c>
      <c r="F11" s="20" t="s">
        <v>3207</v>
      </c>
      <c r="G11" s="21">
        <v>18.8</v>
      </c>
      <c r="H11" s="16">
        <v>22</v>
      </c>
      <c r="I11" s="16"/>
      <c r="J11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413.6</v>
      </c>
      <c r="K11" s="22"/>
      <c r="L11" s="23"/>
      <c r="M11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Tabela1746810121422303226816192527313336242101214161824262830384024810121416202226283032343624268101214246101224262442626282626810262862366810121416182022242426283032343840[[#This Row],[Uso diário]]*2</f>
        <v>37.6</v>
      </c>
      <c r="O11" s="19">
        <f>Tabela1746810121422303226816192527313336242101214161824262830384024810121416202226283032343624268101214246101224262442626282626810262862366810121416182022242426283032343840[[#This Row],[Total Acumulado]]-P11</f>
        <v>-94</v>
      </c>
      <c r="P11" s="48">
        <f>Tabela1746810121422303226816192527313336242101214161824262830384024810121416202226283032343624268101214246101224262442626282626810262862366810121416182022242426283032343840[[#This Row],[Uso diário]]*5</f>
        <v>94</v>
      </c>
      <c r="Q11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1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413.6</v>
      </c>
      <c r="S11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1" s="25">
        <v>20</v>
      </c>
    </row>
    <row r="12" spans="1:59" s="26" customFormat="1" x14ac:dyDescent="0.25">
      <c r="A12" s="16">
        <v>220684</v>
      </c>
      <c r="B12" s="30" t="s">
        <v>410</v>
      </c>
      <c r="C12" s="20" t="s">
        <v>653</v>
      </c>
      <c r="D12" s="20" t="s">
        <v>714</v>
      </c>
      <c r="E12" s="20" t="s">
        <v>3208</v>
      </c>
      <c r="F12" s="20" t="s">
        <v>3209</v>
      </c>
      <c r="G12" s="21">
        <v>10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12" s="22"/>
      <c r="L12" s="23"/>
      <c r="M12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2" s="19">
        <f>Tabela1746810121422303226816192527313336242101214161824262830384024810121416202226283032343624268101214246101224262442626282626810262862366810121416182022242426283032343840[[#This Row],[Uso diário]]*2</f>
        <v>20</v>
      </c>
      <c r="O12" s="19">
        <f>Tabela1746810121422303226816192527313336242101214161824262830384024810121416202226283032343624268101214246101224262442626282626810262862366810121416182022242426283032343840[[#This Row],[Total Acumulado]]-P12</f>
        <v>-50</v>
      </c>
      <c r="P12" s="48">
        <f>Tabela1746810121422303226816192527313336242101214161824262830384024810121416202226283032343624268101214246101224262442626282626810262862366810121416182022242426283032343840[[#This Row],[Uso diário]]*5</f>
        <v>50</v>
      </c>
      <c r="Q12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2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12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2" s="25">
        <v>20</v>
      </c>
    </row>
    <row r="13" spans="1:59" s="26" customFormat="1" x14ac:dyDescent="0.25">
      <c r="A13" s="16">
        <v>209838</v>
      </c>
      <c r="B13" s="30" t="s">
        <v>1484</v>
      </c>
      <c r="C13" s="20" t="s">
        <v>654</v>
      </c>
      <c r="D13" s="20" t="s">
        <v>731</v>
      </c>
      <c r="E13" s="20" t="s">
        <v>3210</v>
      </c>
      <c r="F13" s="20" t="s">
        <v>3211</v>
      </c>
      <c r="G13" s="21">
        <v>18.8</v>
      </c>
      <c r="H13" s="16">
        <v>26</v>
      </c>
      <c r="I13" s="16">
        <v>1</v>
      </c>
      <c r="J13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470</v>
      </c>
      <c r="K13" s="22"/>
      <c r="L13" s="23"/>
      <c r="M13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Tabela1746810121422303226816192527313336242101214161824262830384024810121416202226283032343624268101214246101224262442626282626810262862366810121416182022242426283032343840[[#This Row],[Uso diário]]*2</f>
        <v>37.6</v>
      </c>
      <c r="O13" s="19">
        <f>Tabela1746810121422303226816192527313336242101214161824262830384024810121416202226283032343624268101214246101224262442626282626810262862366810121416182022242426283032343840[[#This Row],[Total Acumulado]]-P13</f>
        <v>-94</v>
      </c>
      <c r="P13" s="48">
        <f>Tabela1746810121422303226816192527313336242101214161824262830384024810121416202226283032343624268101214246101224262442626282626810262862366810121416182022242426283032343840[[#This Row],[Uso diário]]*5</f>
        <v>94</v>
      </c>
      <c r="Q13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3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470</v>
      </c>
      <c r="S13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3" s="25">
        <v>20</v>
      </c>
    </row>
    <row r="14" spans="1:59" s="26" customFormat="1" x14ac:dyDescent="0.25">
      <c r="A14" s="16">
        <v>232154</v>
      </c>
      <c r="B14" s="30" t="s">
        <v>888</v>
      </c>
      <c r="C14" s="20" t="s">
        <v>655</v>
      </c>
      <c r="D14" s="20" t="s">
        <v>713</v>
      </c>
      <c r="E14" s="20" t="s">
        <v>3212</v>
      </c>
      <c r="F14" s="20" t="s">
        <v>3213</v>
      </c>
      <c r="G14" s="21">
        <v>18.8</v>
      </c>
      <c r="H14" s="16">
        <v>26</v>
      </c>
      <c r="I14" s="16"/>
      <c r="J14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488.8</v>
      </c>
      <c r="K14" s="22"/>
      <c r="L14" s="23"/>
      <c r="M14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Tabela1746810121422303226816192527313336242101214161824262830384024810121416202226283032343624268101214246101224262442626282626810262862366810121416182022242426283032343840[[#This Row],[Uso diário]]*2</f>
        <v>37.6</v>
      </c>
      <c r="O14" s="19">
        <f>Tabela1746810121422303226816192527313336242101214161824262830384024810121416202226283032343624268101214246101224262442626282626810262862366810121416182022242426283032343840[[#This Row],[Total Acumulado]]-P14</f>
        <v>-94</v>
      </c>
      <c r="P14" s="48">
        <f>Tabela1746810121422303226816192527313336242101214161824262830384024810121416202226283032343624268101214246101224262442626282626810262862366810121416182022242426283032343840[[#This Row],[Uso diário]]*5</f>
        <v>94</v>
      </c>
      <c r="Q14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4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488.8</v>
      </c>
      <c r="S14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4" s="25">
        <v>20</v>
      </c>
    </row>
    <row r="15" spans="1:59" s="26" customFormat="1" x14ac:dyDescent="0.25">
      <c r="A15" s="16">
        <v>232785</v>
      </c>
      <c r="B15" s="30" t="s">
        <v>944</v>
      </c>
      <c r="C15" s="20" t="s">
        <v>655</v>
      </c>
      <c r="D15" s="20" t="s">
        <v>734</v>
      </c>
      <c r="E15" s="20" t="s">
        <v>3214</v>
      </c>
      <c r="F15" s="20" t="s">
        <v>3215</v>
      </c>
      <c r="G15" s="21">
        <v>10</v>
      </c>
      <c r="H15" s="16">
        <v>26</v>
      </c>
      <c r="I15" s="16"/>
      <c r="J15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260</v>
      </c>
      <c r="K15" s="22"/>
      <c r="L15" s="23"/>
      <c r="M15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5" s="19">
        <f>Tabela1746810121422303226816192527313336242101214161824262830384024810121416202226283032343624268101214246101224262442626282626810262862366810121416182022242426283032343840[[#This Row],[Uso diário]]*2</f>
        <v>20</v>
      </c>
      <c r="O15" s="19">
        <f>Tabela1746810121422303226816192527313336242101214161824262830384024810121416202226283032343624268101214246101224262442626282626810262862366810121416182022242426283032343840[[#This Row],[Total Acumulado]]-P15</f>
        <v>-50</v>
      </c>
      <c r="P15" s="48">
        <f>Tabela1746810121422303226816192527313336242101214161824262830384024810121416202226283032343624268101214246101224262442626282626810262862366810121416182022242426283032343840[[#This Row],[Uso diário]]*5</f>
        <v>50</v>
      </c>
      <c r="Q15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5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260</v>
      </c>
      <c r="S15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5" s="25">
        <v>20</v>
      </c>
    </row>
    <row r="16" spans="1:59" s="26" customFormat="1" x14ac:dyDescent="0.25">
      <c r="A16" s="16">
        <v>223228</v>
      </c>
      <c r="B16" s="30" t="s">
        <v>1081</v>
      </c>
      <c r="C16" s="20" t="s">
        <v>641</v>
      </c>
      <c r="D16" s="20" t="s">
        <v>705</v>
      </c>
      <c r="E16" s="20" t="s">
        <v>3216</v>
      </c>
      <c r="F16" s="20" t="s">
        <v>3217</v>
      </c>
      <c r="G16" s="21">
        <v>18.8</v>
      </c>
      <c r="H16" s="16">
        <v>26</v>
      </c>
      <c r="I16" s="16"/>
      <c r="J16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488.8</v>
      </c>
      <c r="K16" s="22"/>
      <c r="L16" s="23"/>
      <c r="M16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6" s="19">
        <f>Tabela1746810121422303226816192527313336242101214161824262830384024810121416202226283032343624268101214246101224262442626282626810262862366810121416182022242426283032343840[[#This Row],[Uso diário]]*2</f>
        <v>37.6</v>
      </c>
      <c r="O16" s="19">
        <f>Tabela1746810121422303226816192527313336242101214161824262830384024810121416202226283032343624268101214246101224262442626282626810262862366810121416182022242426283032343840[[#This Row],[Total Acumulado]]-P16</f>
        <v>-94</v>
      </c>
      <c r="P16" s="48">
        <f>Tabela1746810121422303226816192527313336242101214161824262830384024810121416202226283032343624268101214246101224262442626282626810262862366810121416182022242426283032343840[[#This Row],[Uso diário]]*5</f>
        <v>94</v>
      </c>
      <c r="Q16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6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488.8</v>
      </c>
      <c r="S16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6" s="25">
        <v>20</v>
      </c>
    </row>
    <row r="17" spans="1:20" s="26" customFormat="1" x14ac:dyDescent="0.25">
      <c r="A17" s="16">
        <v>231772</v>
      </c>
      <c r="B17" s="30" t="s">
        <v>840</v>
      </c>
      <c r="C17" s="20" t="s">
        <v>641</v>
      </c>
      <c r="D17" s="20" t="s">
        <v>704</v>
      </c>
      <c r="E17" s="20" t="s">
        <v>3218</v>
      </c>
      <c r="F17" s="20" t="s">
        <v>3219</v>
      </c>
      <c r="G17" s="21">
        <v>10</v>
      </c>
      <c r="H17" s="16">
        <v>26</v>
      </c>
      <c r="I17" s="16">
        <v>1</v>
      </c>
      <c r="J17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250</v>
      </c>
      <c r="K17" s="22"/>
      <c r="L17" s="23"/>
      <c r="M17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7" s="19">
        <f>Tabela1746810121422303226816192527313336242101214161824262830384024810121416202226283032343624268101214246101224262442626282626810262862366810121416182022242426283032343840[[#This Row],[Uso diário]]*2</f>
        <v>20</v>
      </c>
      <c r="O17" s="19">
        <f>Tabela1746810121422303226816192527313336242101214161824262830384024810121416202226283032343624268101214246101224262442626282626810262862366810121416182022242426283032343840[[#This Row],[Total Acumulado]]-P17</f>
        <v>-50</v>
      </c>
      <c r="P17" s="48">
        <f>Tabela1746810121422303226816192527313336242101214161824262830384024810121416202226283032343624268101214246101224262442626282626810262862366810121416182022242426283032343840[[#This Row],[Uso diário]]*5</f>
        <v>50</v>
      </c>
      <c r="Q17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7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250</v>
      </c>
      <c r="S17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7" s="25">
        <v>20</v>
      </c>
    </row>
    <row r="18" spans="1:20" s="26" customFormat="1" x14ac:dyDescent="0.25">
      <c r="A18" s="16">
        <v>232065</v>
      </c>
      <c r="B18" s="30" t="s">
        <v>841</v>
      </c>
      <c r="C18" s="20" t="s">
        <v>641</v>
      </c>
      <c r="D18" s="20" t="s">
        <v>704</v>
      </c>
      <c r="E18" s="20" t="s">
        <v>3220</v>
      </c>
      <c r="F18" s="20" t="s">
        <v>3221</v>
      </c>
      <c r="G18" s="21">
        <v>18.8</v>
      </c>
      <c r="H18" s="16">
        <v>26</v>
      </c>
      <c r="I18" s="16">
        <v>4</v>
      </c>
      <c r="J18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413.6</v>
      </c>
      <c r="K18" s="22"/>
      <c r="L18" s="23"/>
      <c r="M18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8" s="19">
        <f>Tabela1746810121422303226816192527313336242101214161824262830384024810121416202226283032343624268101214246101224262442626282626810262862366810121416182022242426283032343840[[#This Row],[Uso diário]]*2</f>
        <v>37.6</v>
      </c>
      <c r="O18" s="19">
        <f>Tabela1746810121422303226816192527313336242101214161824262830384024810121416202226283032343624268101214246101224262442626282626810262862366810121416182022242426283032343840[[#This Row],[Total Acumulado]]-P18</f>
        <v>-94</v>
      </c>
      <c r="P18" s="48">
        <f>Tabela1746810121422303226816192527313336242101214161824262830384024810121416202226283032343624268101214246101224262442626282626810262862366810121416182022242426283032343840[[#This Row],[Uso diário]]*5</f>
        <v>94</v>
      </c>
      <c r="Q18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8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413.6</v>
      </c>
      <c r="S18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8" s="25">
        <v>20</v>
      </c>
    </row>
    <row r="19" spans="1:20" s="26" customFormat="1" x14ac:dyDescent="0.25">
      <c r="A19" s="16">
        <v>230404</v>
      </c>
      <c r="B19" s="30" t="s">
        <v>408</v>
      </c>
      <c r="C19" s="20" t="s">
        <v>649</v>
      </c>
      <c r="D19" s="20" t="s">
        <v>725</v>
      </c>
      <c r="E19" s="56" t="s">
        <v>3156</v>
      </c>
      <c r="F19" s="56" t="s">
        <v>3157</v>
      </c>
      <c r="G19" s="21">
        <v>18.8</v>
      </c>
      <c r="H19" s="16">
        <v>11</v>
      </c>
      <c r="I19" s="16">
        <v>3</v>
      </c>
      <c r="J19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150.4</v>
      </c>
      <c r="K19" s="22"/>
      <c r="L19" s="23"/>
      <c r="M19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19" s="19">
        <f>Tabela1746810121422303226816192527313336242101214161824262830384024810121416202226283032343624268101214246101224262442626282626810262862366810121416182022242426283032343840[[#This Row],[Uso diário]]*2</f>
        <v>37.6</v>
      </c>
      <c r="O19" s="19">
        <f>Tabela1746810121422303226816192527313336242101214161824262830384024810121416202226283032343624268101214246101224262442626282626810262862366810121416182022242426283032343840[[#This Row],[Total Acumulado]]-P19</f>
        <v>-94</v>
      </c>
      <c r="P19" s="48">
        <f>Tabela1746810121422303226816192527313336242101214161824262830384024810121416202226283032343624268101214246101224262442626282626810262862366810121416182022242426283032343840[[#This Row],[Uso diário]]*5</f>
        <v>94</v>
      </c>
      <c r="Q19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19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150.4</v>
      </c>
      <c r="S19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19" s="25">
        <v>20</v>
      </c>
    </row>
    <row r="20" spans="1:20" s="26" customFormat="1" x14ac:dyDescent="0.25">
      <c r="A20" s="16">
        <v>216301</v>
      </c>
      <c r="B20" s="30" t="s">
        <v>1210</v>
      </c>
      <c r="C20" s="20" t="s">
        <v>641</v>
      </c>
      <c r="D20" s="20" t="s">
        <v>735</v>
      </c>
      <c r="E20" s="56" t="s">
        <v>3168</v>
      </c>
      <c r="F20" s="56" t="s">
        <v>3169</v>
      </c>
      <c r="G20" s="21">
        <v>18.8</v>
      </c>
      <c r="H20" s="16">
        <v>26</v>
      </c>
      <c r="I20" s="16"/>
      <c r="J20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488.8</v>
      </c>
      <c r="K20" s="22"/>
      <c r="L20" s="23"/>
      <c r="M20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20" s="19">
        <f>Tabela1746810121422303226816192527313336242101214161824262830384024810121416202226283032343624268101214246101224262442626282626810262862366810121416182022242426283032343840[[#This Row],[Uso diário]]*2</f>
        <v>37.6</v>
      </c>
      <c r="O20" s="19">
        <f>Tabela1746810121422303226816192527313336242101214161824262830384024810121416202226283032343624268101214246101224262442626282626810262862366810121416182022242426283032343840[[#This Row],[Total Acumulado]]-P20</f>
        <v>-94</v>
      </c>
      <c r="P20" s="48">
        <f>Tabela1746810121422303226816192527313336242101214161824262830384024810121416202226283032343624268101214246101224262442626282626810262862366810121416182022242426283032343840[[#This Row],[Uso diário]]*5</f>
        <v>94</v>
      </c>
      <c r="Q20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20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488.8</v>
      </c>
      <c r="S20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20" s="25">
        <v>20</v>
      </c>
    </row>
    <row r="21" spans="1:20" s="26" customFormat="1" x14ac:dyDescent="0.25">
      <c r="A21" s="16">
        <v>234983</v>
      </c>
      <c r="B21" s="30" t="s">
        <v>1447</v>
      </c>
      <c r="C21" s="20" t="s">
        <v>645</v>
      </c>
      <c r="D21" s="20" t="s">
        <v>711</v>
      </c>
      <c r="E21" s="56" t="s">
        <v>2548</v>
      </c>
      <c r="F21" s="56" t="s">
        <v>2549</v>
      </c>
      <c r="G21" s="21">
        <v>18.8</v>
      </c>
      <c r="H21" s="16">
        <v>26</v>
      </c>
      <c r="I21" s="16"/>
      <c r="J21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488.8</v>
      </c>
      <c r="K21" s="22"/>
      <c r="L21" s="23"/>
      <c r="M21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21" s="19">
        <f>Tabela1746810121422303226816192527313336242101214161824262830384024810121416202226283032343624268101214246101224262442626282626810262862366810121416182022242426283032343840[[#This Row],[Uso diário]]*2</f>
        <v>37.6</v>
      </c>
      <c r="O21" s="19">
        <f>Tabela1746810121422303226816192527313336242101214161824262830384024810121416202226283032343624268101214246101224262442626282626810262862366810121416182022242426283032343840[[#This Row],[Total Acumulado]]-P21</f>
        <v>-94</v>
      </c>
      <c r="P21" s="48">
        <f>Tabela1746810121422303226816192527313336242101214161824262830384024810121416202226283032343624268101214246101224262442626282626810262862366810121416182022242426283032343840[[#This Row],[Uso diário]]*5</f>
        <v>94</v>
      </c>
      <c r="Q21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21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488.8</v>
      </c>
      <c r="S21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21" s="25">
        <v>20</v>
      </c>
    </row>
    <row r="22" spans="1:20" s="26" customFormat="1" x14ac:dyDescent="0.25">
      <c r="A22" s="16">
        <v>234842</v>
      </c>
      <c r="B22" s="30" t="s">
        <v>1441</v>
      </c>
      <c r="C22" s="20" t="s">
        <v>651</v>
      </c>
      <c r="D22" s="20" t="s">
        <v>716</v>
      </c>
      <c r="E22" s="56" t="s">
        <v>2426</v>
      </c>
      <c r="F22" s="56" t="s">
        <v>2427</v>
      </c>
      <c r="G22" s="21">
        <v>13.4</v>
      </c>
      <c r="H22" s="16">
        <v>16</v>
      </c>
      <c r="I22" s="16"/>
      <c r="J22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214.4</v>
      </c>
      <c r="K22" s="22"/>
      <c r="L22" s="23"/>
      <c r="M22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22" s="19">
        <f>Tabela1746810121422303226816192527313336242101214161824262830384024810121416202226283032343624268101214246101224262442626282626810262862366810121416182022242426283032343840[[#This Row],[Uso diário]]*2</f>
        <v>26.8</v>
      </c>
      <c r="O22" s="19">
        <f>Tabela1746810121422303226816192527313336242101214161824262830384024810121416202226283032343624268101214246101224262442626282626810262862366810121416182022242426283032343840[[#This Row],[Total Acumulado]]-P22</f>
        <v>-67</v>
      </c>
      <c r="P22" s="48">
        <f>Tabela1746810121422303226816192527313336242101214161824262830384024810121416202226283032343624268101214246101224262442626282626810262862366810121416182022242426283032343840[[#This Row],[Uso diário]]*5</f>
        <v>67</v>
      </c>
      <c r="Q22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22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214.4</v>
      </c>
      <c r="S22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22" s="25">
        <v>20</v>
      </c>
    </row>
    <row r="23" spans="1:20" s="26" customFormat="1" x14ac:dyDescent="0.25">
      <c r="A23" s="16">
        <v>234982</v>
      </c>
      <c r="B23" s="30" t="s">
        <v>1443</v>
      </c>
      <c r="C23" s="20" t="s">
        <v>651</v>
      </c>
      <c r="D23" s="20" t="s">
        <v>719</v>
      </c>
      <c r="E23" s="56" t="s">
        <v>2428</v>
      </c>
      <c r="F23" s="56" t="s">
        <v>2429</v>
      </c>
      <c r="G23" s="21">
        <v>13.4</v>
      </c>
      <c r="H23" s="16">
        <v>16</v>
      </c>
      <c r="I23" s="16"/>
      <c r="J23" s="17">
        <f>(Tabela1746810121422303226816192527313336242101214161824262830384024810121416202226283032343624268101214246101224262442626282626810262862366810121416182022242426283032343840[[#This Row],[D]]-Tabela1746810121422303226816192527313336242101214161824262830384024810121416202226283032343624268101214246101224262442626282626810262862366810121416182022242426283032343840[[#This Row],[F]])*Tabela1746810121422303226816192527313336242101214161824262830384024810121416202226283032343624268101214246101224262442626282626810262862366810121416182022242426283032343840[[#This Row],[Uso diário]]</f>
        <v>214.4</v>
      </c>
      <c r="K23" s="22"/>
      <c r="L23" s="23"/>
      <c r="M23" s="23">
        <f>SUM(Tabela1746810121422303226816192527313336242101214161824262830384024810121416202226283032343624268101214246101224262442626282626810262862366810121416182022242426283032343840[[#This Row],[Saldo no cartão]:[Recarga Pendente]])</f>
        <v>0</v>
      </c>
      <c r="N23" s="19">
        <f>Tabela1746810121422303226816192527313336242101214161824262830384024810121416202226283032343624268101214246101224262442626282626810262862366810121416182022242426283032343840[[#This Row],[Uso diário]]*2</f>
        <v>26.8</v>
      </c>
      <c r="O23" s="19">
        <f>Tabela1746810121422303226816192527313336242101214161824262830384024810121416202226283032343624268101214246101224262442626282626810262862366810121416182022242426283032343840[[#This Row],[Total Acumulado]]-P23</f>
        <v>-67</v>
      </c>
      <c r="P23" s="48">
        <f>Tabela1746810121422303226816192527313336242101214161824262830384024810121416202226283032343624268101214246101224262442626282626810262862366810121416182022242426283032343840[[#This Row],[Uso diário]]*5</f>
        <v>67</v>
      </c>
      <c r="Q23" s="17">
        <f>IF(Tabela1746810121422303226816192527313336242101214161824262830384024810121416202226283032343624268101214246101224262442626282626810262862366810121416182022242426283032343840[[#This Row],[acumulo]]&lt;Tabela1746810121422303226816192527313336242101214161824262830384024810121416202226283032343624268101214246101224262442626282626810262862366810121416182022242426283032343840[[#This Row],[acumulo minimo]],0,Tabela1746810121422303226816192527313336242101214161824262830384024810121416202226283032343624268101214246101224262442626282626810262862366810121416182022242426283032343840[[#This Row],[acumulo]])</f>
        <v>0</v>
      </c>
      <c r="R23" s="24">
        <f>IF(Tabela1746810121422303226816192527313336242101214161824262830384024810121416202226283032343624268101214246101224262442626282626810262862366810121416182022242426283032343840[[#This Row],[Valor economizado]]&gt;Tabela1746810121422303226816192527313336242101214161824262830384024810121416202226283032343624268101214246101224262442626282626810262862366810121416182022242426283032343840[[#This Row],[Pedido Inicial]],0,Tabela1746810121422303226816192527313336242101214161824262830384024810121416202226283032343624268101214246101224262442626282626810262862366810121416182022242426283032343840[[#This Row],[Pedido Inicial]]-Tabela1746810121422303226816192527313336242101214161824262830384024810121416202226283032343624268101214246101224262442626282626810262862366810121416182022242426283032343840[[#This Row],[Valor economizado]])</f>
        <v>214.4</v>
      </c>
      <c r="S23" s="18" t="str">
        <f>IF(Tabela1746810121422303226816192527313336242101214161824262830384024810121416202226283032343624268101214246101224262442626282626810262862366810121416182022242426283032343840[[#This Row],[Pedido Final]]=0,"NÃO EFETUAR RECARGA","RECARGA NORMAL")</f>
        <v>RECARGA NORMAL</v>
      </c>
      <c r="T23" s="25">
        <v>20</v>
      </c>
    </row>
    <row r="24" spans="1:20" s="8" customFormat="1" x14ac:dyDescent="0.25">
      <c r="A24" s="13" t="s">
        <v>13</v>
      </c>
      <c r="B24" s="13"/>
      <c r="C24" s="13"/>
      <c r="D24" s="13"/>
      <c r="E24" s="20"/>
      <c r="F24" s="20"/>
      <c r="G24" s="33"/>
      <c r="H24" s="13"/>
      <c r="I24" s="13"/>
      <c r="J24" s="14">
        <f>SUBTOTAL(109,Tabela1746810121422303226816192527313336242101214161824262830384024810121416202226283032343624268101214246101224262442626282626810262862366810121416182022242426283032343840[Pedido Inicial])</f>
        <v>6631.5999999999995</v>
      </c>
      <c r="K24" s="15"/>
      <c r="L24" s="15"/>
      <c r="M24" s="15"/>
      <c r="N24" s="15"/>
      <c r="O24" s="15"/>
      <c r="P24" s="15"/>
      <c r="Q24" s="15"/>
      <c r="R24" s="14">
        <f>SUBTOTAL(109,Tabela1746810121422303226816192527313336242101214161824262830384024810121416202226283032343624268101214246101224262442626282626810262862366810121416182022242426283032343840[Pedido Final])</f>
        <v>6527.5999999999995</v>
      </c>
      <c r="S24" s="31">
        <f>SUBTOTAL(103,Tabela1746810121422303226816192527313336242101214161824262830384024810121416202226283032343624268101214246101224262442626282626810262862366810121416182022242426283032343840[Status])</f>
        <v>20</v>
      </c>
      <c r="T24" s="13"/>
    </row>
    <row r="25" spans="1:20" s="8" customFormat="1" x14ac:dyDescent="0.25">
      <c r="A25" s="13"/>
      <c r="B25" s="13"/>
      <c r="C25" s="13"/>
      <c r="D25" s="13"/>
      <c r="E25" s="20"/>
      <c r="F25" s="20"/>
      <c r="G25" s="33"/>
      <c r="H25" s="13"/>
      <c r="I25" s="13"/>
      <c r="J25" s="14"/>
      <c r="K25" s="15"/>
      <c r="L25" s="15"/>
      <c r="M25" s="15"/>
      <c r="N25" s="15"/>
      <c r="O25" s="15"/>
      <c r="P25" s="15"/>
      <c r="Q25" s="15"/>
      <c r="R25" s="14"/>
      <c r="S25" s="31"/>
      <c r="T25" s="13"/>
    </row>
    <row r="26" spans="1:20" s="8" customFormat="1" x14ac:dyDescent="0.25">
      <c r="A26" s="13"/>
      <c r="B26" s="13"/>
      <c r="C26" s="13"/>
      <c r="D26" s="13"/>
      <c r="E26" s="20"/>
      <c r="F26" s="20"/>
      <c r="G26" s="33"/>
      <c r="H26" s="13"/>
      <c r="I26" s="13"/>
      <c r="J26" s="14"/>
      <c r="K26" s="15"/>
      <c r="L26" s="15"/>
      <c r="M26" s="15"/>
      <c r="N26" s="15"/>
      <c r="O26" s="15"/>
      <c r="P26" s="15"/>
      <c r="Q26" s="15"/>
      <c r="R26" s="14"/>
      <c r="S26" s="31"/>
      <c r="T26" s="13"/>
    </row>
    <row r="27" spans="1:20" s="8" customFormat="1" x14ac:dyDescent="0.25">
      <c r="A27" s="1"/>
      <c r="B27" s="54" t="s">
        <v>14</v>
      </c>
      <c r="C27" s="55"/>
      <c r="D27" s="13"/>
      <c r="F27" s="37"/>
      <c r="G27" s="37"/>
      <c r="H27" s="37"/>
      <c r="I27" s="37"/>
      <c r="J27" s="28"/>
      <c r="K27" s="3"/>
      <c r="L27" s="1"/>
      <c r="M27" s="1"/>
      <c r="N27" s="1"/>
      <c r="O27" s="1"/>
      <c r="P27" s="1"/>
      <c r="Q27" s="1"/>
      <c r="R27" s="4" t="s">
        <v>26</v>
      </c>
      <c r="S27" s="39" t="s">
        <v>15</v>
      </c>
    </row>
    <row r="28" spans="1:20" s="8" customFormat="1" x14ac:dyDescent="0.25">
      <c r="A28" s="1"/>
      <c r="B28" s="50" t="s">
        <v>24</v>
      </c>
      <c r="C28" s="45">
        <f>Tabela1746810121422303226816192527313336242101214161824262830384024810121416202226283032343624268101214246101224262442626282626810262862366810121416182022242426283032343840[[#Totals],[Pedido Inicial]]</f>
        <v>6631.5999999999995</v>
      </c>
      <c r="D28" s="13"/>
      <c r="F28" s="41"/>
      <c r="G28" s="41"/>
      <c r="H28" s="34"/>
      <c r="I28" s="34"/>
      <c r="J28" s="34"/>
      <c r="K28" s="5"/>
      <c r="L28" s="1"/>
      <c r="M28" s="1"/>
      <c r="N28" s="1"/>
      <c r="O28" s="1"/>
      <c r="P28" s="1"/>
      <c r="Q28" s="1"/>
      <c r="R28" s="58" t="s">
        <v>28</v>
      </c>
      <c r="S28" s="59">
        <f>COUNTIF(Tabela1746810121422303226816192527313336242101214161824262830384024810121416202226283032343624268101214246101224262442626282626810262862366810121416182022242426283032343840[Status],Tabela257911131523313337917202628323437353111315171925272931394135911131517212327293133353735379111315357111335373453737393737911373973377911131517192123253527293133353941[[#This Row],[STATUS]])</f>
        <v>19</v>
      </c>
    </row>
    <row r="29" spans="1:20" s="8" customFormat="1" x14ac:dyDescent="0.25">
      <c r="A29" s="1"/>
      <c r="B29" s="50" t="s">
        <v>25</v>
      </c>
      <c r="C29" s="45">
        <f>Tabela1746810121422303226816192527313336242101214161824262830384024810121416202226283032343624268101214246101224262442626282626810262862366810121416182022242426283032343840[[#Totals],[Pedido Final]]</f>
        <v>6527.5999999999995</v>
      </c>
      <c r="D29" s="13"/>
      <c r="F29" s="41"/>
      <c r="G29" s="41"/>
      <c r="H29" s="34"/>
      <c r="I29" s="34"/>
      <c r="J29" s="34"/>
      <c r="K29" s="5"/>
      <c r="L29" s="1"/>
      <c r="M29" s="1"/>
      <c r="N29" s="1"/>
      <c r="O29" s="1"/>
      <c r="P29" s="1"/>
      <c r="R29" s="58" t="s">
        <v>11</v>
      </c>
      <c r="S29" s="59">
        <f>COUNTIF(Tabela1746810121422303226816192527313336242101214161824262830384024810121416202226283032343624268101214246101224262442626282626810262862366810121416182022242426283032343840[Status],Tabela257911131523313337917202628323437353111315171925272931394135911131517212327293133353735379111315357111335373453737393737911373973377911131517192123253527293133353941[[#This Row],[STATUS]])</f>
        <v>1</v>
      </c>
    </row>
    <row r="30" spans="1:20" s="8" customFormat="1" x14ac:dyDescent="0.25">
      <c r="A30" s="1"/>
      <c r="B30" s="51" t="str">
        <f>_xlfn.CONCAT("ECONOMIA"," ",ROUND(C30/C28,2)*100,"%")</f>
        <v>ECONOMIA 2%</v>
      </c>
      <c r="C30" s="46">
        <f>SUM(C28-C29)</f>
        <v>104</v>
      </c>
      <c r="D30" s="13"/>
      <c r="F30" s="41"/>
      <c r="G30" s="41"/>
      <c r="H30" s="36"/>
      <c r="I30" s="36"/>
      <c r="J30" s="38"/>
      <c r="K30" s="36"/>
      <c r="L30" s="1"/>
      <c r="M30" s="1"/>
      <c r="N30" s="1"/>
      <c r="O30" s="1"/>
      <c r="P30" s="1"/>
      <c r="Q30" s="35"/>
      <c r="R30" s="58" t="s">
        <v>12</v>
      </c>
      <c r="S30" s="59">
        <f>COUNTIF(Tabela1746810121422303226816192527313336242101214161824262830384024810121416202226283032343624268101214246101224262442626282626810262862366810121416182022242426283032343840[Status],Tabela257911131523313337917202628323437353111315171925272931394135911131517212327293133353735379111315357111335373453737393737911373973377911131517192123253527293133353941[[#This Row],[STATUS]])</f>
        <v>0</v>
      </c>
    </row>
    <row r="31" spans="1:20" s="8" customFormat="1" x14ac:dyDescent="0.25">
      <c r="A31" s="1"/>
      <c r="B31" s="51" t="str">
        <f>_xlfn.CONCAT("HPOD"," ",ROUND(C31/C30,2)*100,"%")</f>
        <v>HPOD 12%</v>
      </c>
      <c r="C31" s="46">
        <f>C30*12%</f>
        <v>12.48</v>
      </c>
      <c r="D31" s="13"/>
      <c r="F31" s="41"/>
      <c r="G31" s="41"/>
      <c r="H31" s="36"/>
      <c r="I31" s="36"/>
      <c r="J31" s="38"/>
      <c r="K31" s="36"/>
      <c r="L31" s="1"/>
      <c r="M31" s="1"/>
      <c r="N31" s="1"/>
      <c r="O31" s="1"/>
      <c r="P31" s="1"/>
      <c r="Q31" s="1"/>
      <c r="R31" s="6" t="s">
        <v>27</v>
      </c>
      <c r="S31" s="40">
        <f>SUBTOTAL(109,Tabela257911131523313337917202628323437353111315171925272931394135911131517212327293133353735379111315357111335373453737393737911373973377911131517192123253527293133353941[Coluna1])</f>
        <v>20</v>
      </c>
    </row>
    <row r="32" spans="1:20" s="8" customFormat="1" x14ac:dyDescent="0.25">
      <c r="A32" s="1"/>
      <c r="B32" s="3"/>
      <c r="C32" s="47"/>
      <c r="D32" s="1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6"/>
    </row>
    <row r="33" spans="1:20" s="8" customFormat="1" x14ac:dyDescent="0.25">
      <c r="A33" s="1"/>
      <c r="B33" s="3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35"/>
      <c r="P33" s="1"/>
      <c r="Q33" s="1"/>
      <c r="R33" s="1"/>
      <c r="S33" s="1"/>
      <c r="T33" s="1"/>
    </row>
    <row r="34" spans="1:20" s="8" customFormat="1" x14ac:dyDescent="0.25">
      <c r="A34" s="26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1"/>
    </row>
    <row r="35" spans="1:20" s="8" customFormat="1" x14ac:dyDescent="0.25">
      <c r="A35" s="26"/>
      <c r="B35" s="12"/>
      <c r="C35" s="12"/>
      <c r="D35" s="12"/>
      <c r="E35" s="27"/>
      <c r="F35" s="27"/>
      <c r="G35" s="27"/>
      <c r="H35" s="27"/>
      <c r="I35" s="27"/>
      <c r="J35" s="27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8"/>
      <c r="F36" s="28"/>
      <c r="G36" s="28"/>
      <c r="H36" s="28"/>
      <c r="I36" s="28"/>
      <c r="J36" s="28"/>
      <c r="K36" s="27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8"/>
      <c r="F37" s="28"/>
      <c r="G37" s="28"/>
      <c r="H37" s="28"/>
      <c r="I37" s="28"/>
      <c r="J37" s="28"/>
      <c r="K37" s="27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26"/>
      <c r="B38" s="12"/>
      <c r="C38" s="12"/>
      <c r="D38" s="12"/>
      <c r="E38" s="28"/>
      <c r="F38" s="28"/>
      <c r="G38" s="28"/>
      <c r="H38" s="28"/>
      <c r="I38" s="28"/>
      <c r="J38" s="28"/>
      <c r="K38" s="27"/>
      <c r="L38" s="26"/>
      <c r="M38" s="26"/>
      <c r="N38" s="26"/>
      <c r="O38" s="26"/>
      <c r="P38" s="29"/>
      <c r="Q38" s="26"/>
      <c r="R38" s="26"/>
      <c r="S38" s="26"/>
      <c r="T38" s="26"/>
    </row>
    <row r="39" spans="1:20" s="8" customFormat="1" x14ac:dyDescent="0.25">
      <c r="A39" s="26"/>
      <c r="B39" s="12"/>
      <c r="C39" s="12"/>
      <c r="D39" s="12"/>
      <c r="E39" s="26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6"/>
      <c r="Q39" s="26"/>
      <c r="R39" s="26"/>
      <c r="S39" s="26"/>
      <c r="T39" s="26"/>
    </row>
    <row r="40" spans="1:20" s="8" customFormat="1" x14ac:dyDescent="0.25">
      <c r="A40" s="26"/>
      <c r="B40" s="12"/>
      <c r="C40" s="12"/>
      <c r="D40" s="12"/>
      <c r="E40" s="28"/>
      <c r="F40" s="28"/>
      <c r="G40" s="28"/>
      <c r="H40" s="28"/>
      <c r="I40" s="28"/>
      <c r="J40" s="28"/>
      <c r="K40" s="29"/>
      <c r="L40" s="26"/>
      <c r="M40" s="26"/>
      <c r="N40" s="26"/>
      <c r="O40" s="26"/>
      <c r="P40" s="26"/>
      <c r="Q40" s="26"/>
      <c r="R40" s="26"/>
      <c r="S40" s="26"/>
      <c r="T40" s="26"/>
    </row>
    <row r="41" spans="1:20" s="8" customFormat="1" x14ac:dyDescent="0.25">
      <c r="A41" s="26"/>
      <c r="B41" s="12"/>
      <c r="C41" s="12"/>
      <c r="D41" s="12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 spans="1:20" s="8" customFormat="1" x14ac:dyDescent="0.25">
      <c r="A42" s="26"/>
      <c r="B42" s="12"/>
      <c r="C42" s="12"/>
      <c r="D42" s="12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9"/>
    </row>
    <row r="43" spans="1:20" s="8" customFormat="1" x14ac:dyDescent="0.25">
      <c r="A43" s="26"/>
      <c r="B43" s="12"/>
      <c r="C43" s="12"/>
      <c r="D43" s="12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spans="1:20" s="8" customFormat="1" x14ac:dyDescent="0.25">
      <c r="A44" s="26"/>
      <c r="B44" s="12"/>
      <c r="C44" s="12"/>
      <c r="D44" s="12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 spans="1:20" s="8" customFormat="1" x14ac:dyDescent="0.25">
      <c r="A45" s="26"/>
      <c r="B45" s="12"/>
      <c r="C45" s="12"/>
      <c r="D45" s="12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 spans="1:20" s="8" customFormat="1" x14ac:dyDescent="0.25">
      <c r="A46" s="26"/>
      <c r="B46" s="12"/>
      <c r="C46" s="12"/>
      <c r="D46" s="12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0" s="8" customFormat="1" x14ac:dyDescent="0.25">
      <c r="A47" s="26"/>
      <c r="B47" s="12"/>
      <c r="C47" s="12"/>
      <c r="D47" s="12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 spans="1:20" s="8" customFormat="1" x14ac:dyDescent="0.25">
      <c r="A48" s="1"/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6"/>
    </row>
    <row r="49" spans="1:20" s="8" customFormat="1" x14ac:dyDescent="0.25">
      <c r="A49" s="1"/>
      <c r="B49" s="3"/>
      <c r="C49" s="3"/>
      <c r="D49" s="3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8" customFormat="1" x14ac:dyDescent="0.25">
      <c r="A50" s="1"/>
      <c r="B50" s="3"/>
      <c r="C50" s="3"/>
      <c r="D50" s="3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1">
    <mergeCell ref="A2:T2"/>
  </mergeCells>
  <conditionalFormatting sqref="A24:A1048576 A1:A19">
    <cfRule type="duplicateValues" dxfId="17" priority="4"/>
    <cfRule type="duplicateValues" dxfId="16" priority="5"/>
  </conditionalFormatting>
  <conditionalFormatting sqref="B24:B1048576 B1:B19">
    <cfRule type="duplicateValues" dxfId="15" priority="6"/>
  </conditionalFormatting>
  <conditionalFormatting sqref="B28:C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{07658EF1-D42A-4E98-ADCA-40B3C7EE5B4A}</x14:id>
        </ext>
      </extLst>
    </cfRule>
  </conditionalFormatting>
  <conditionalFormatting sqref="H28:J29 F28:G3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{73F47619-ED86-4E77-A5AC-7B422DBFA749}</x14:id>
        </ext>
      </extLst>
    </cfRule>
  </conditionalFormatting>
  <conditionalFormatting sqref="R28:S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{39D1D82D-747B-4F99-9DAA-9435DDB6767D}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658EF1-D42A-4E98-ADCA-40B3C7EE5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B28:C31</xm:sqref>
        </x14:conditionalFormatting>
        <x14:conditionalFormatting xmlns:xm="http://schemas.microsoft.com/office/excel/2006/main">
          <x14:cfRule type="dataBar" id="{73F47619-ED86-4E77-A5AC-7B422DBFA749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H28:J29 F28:G31</xm:sqref>
        </x14:conditionalFormatting>
        <x14:conditionalFormatting xmlns:xm="http://schemas.microsoft.com/office/excel/2006/main">
          <x14:cfRule type="dataBar" id="{39D1D82D-747B-4F99-9DAA-9435DDB67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R28:S30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8E30-8305-43B0-911B-6DCC515EAE14}">
  <sheetPr>
    <pageSetUpPr fitToPage="1"/>
  </sheetPr>
  <dimension ref="A1:BG47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6.28515625" style="3" bestFit="1" customWidth="1"/>
    <col min="3" max="3" width="11.140625" style="3" bestFit="1" customWidth="1"/>
    <col min="4" max="4" width="23.8554687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228647</v>
      </c>
      <c r="B4" s="30" t="s">
        <v>345</v>
      </c>
      <c r="C4" s="20" t="s">
        <v>647</v>
      </c>
      <c r="D4" s="20" t="s">
        <v>720</v>
      </c>
      <c r="E4" s="20" t="s">
        <v>3222</v>
      </c>
      <c r="F4" s="20" t="s">
        <v>3223</v>
      </c>
      <c r="G4" s="21">
        <v>10</v>
      </c>
      <c r="H4" s="16">
        <v>26</v>
      </c>
      <c r="I4" s="16">
        <v>3</v>
      </c>
      <c r="J4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230</v>
      </c>
      <c r="K4" s="22"/>
      <c r="L4" s="23"/>
      <c r="M4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Tabela174681012142230322681619252731333624210121416182426283038402481012141620222628303234362426810121424610122426244262628262681026286236681012141618202224242628303234384042[[#This Row],[Uso diário]]*2</f>
        <v>20</v>
      </c>
      <c r="O4" s="19">
        <f>Tabela174681012142230322681619252731333624210121416182426283038402481012141620222628303234362426810121424610122426244262628262681026286236681012141618202224242628303234384042[[#This Row],[Total Acumulado]]-P4</f>
        <v>-50</v>
      </c>
      <c r="P4" s="48">
        <f>Tabela174681012142230322681619252731333624210121416182426283038402481012141620222628303234362426810121424610122426244262628262681026286236681012141618202224242628303234384042[[#This Row],[Uso diário]]*5</f>
        <v>50</v>
      </c>
      <c r="Q4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4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230</v>
      </c>
      <c r="S4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4" s="25">
        <v>21</v>
      </c>
    </row>
    <row r="5" spans="1:59" s="26" customFormat="1" x14ac:dyDescent="0.25">
      <c r="A5" s="16">
        <v>228704</v>
      </c>
      <c r="B5" s="30" t="s">
        <v>1092</v>
      </c>
      <c r="C5" s="20" t="s">
        <v>647</v>
      </c>
      <c r="D5" s="20" t="s">
        <v>720</v>
      </c>
      <c r="E5" s="20" t="s">
        <v>3224</v>
      </c>
      <c r="F5" s="20" t="s">
        <v>3225</v>
      </c>
      <c r="G5" s="21">
        <v>10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260</v>
      </c>
      <c r="K5" s="22"/>
      <c r="L5" s="23"/>
      <c r="M5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Tabela174681012142230322681619252731333624210121416182426283038402481012141620222628303234362426810121424610122426244262628262681026286236681012141618202224242628303234384042[[#This Row],[Uso diário]]*2</f>
        <v>20</v>
      </c>
      <c r="O5" s="19">
        <f>Tabela174681012142230322681619252731333624210121416182426283038402481012141620222628303234362426810121424610122426244262628262681026286236681012141618202224242628303234384042[[#This Row],[Total Acumulado]]-P5</f>
        <v>-50</v>
      </c>
      <c r="P5" s="48">
        <f>Tabela174681012142230322681619252731333624210121416182426283038402481012141620222628303234362426810121424610122426244262628262681026286236681012141618202224242628303234384042[[#This Row],[Uso diário]]*5</f>
        <v>50</v>
      </c>
      <c r="Q5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5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260</v>
      </c>
      <c r="S5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5" s="25">
        <v>21</v>
      </c>
    </row>
    <row r="6" spans="1:59" s="26" customFormat="1" x14ac:dyDescent="0.25">
      <c r="A6" s="16">
        <v>219638</v>
      </c>
      <c r="B6" s="30" t="s">
        <v>1485</v>
      </c>
      <c r="C6" s="20" t="s">
        <v>629</v>
      </c>
      <c r="D6" s="20" t="s">
        <v>682</v>
      </c>
      <c r="E6" s="20" t="s">
        <v>3226</v>
      </c>
      <c r="F6" s="20" t="s">
        <v>3227</v>
      </c>
      <c r="G6" s="21">
        <v>18.8</v>
      </c>
      <c r="H6" s="16">
        <v>26</v>
      </c>
      <c r="I6" s="16">
        <v>1</v>
      </c>
      <c r="J6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470</v>
      </c>
      <c r="K6" s="22"/>
      <c r="L6" s="23"/>
      <c r="M6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Tabela174681012142230322681619252731333624210121416182426283038402481012141620222628303234362426810121424610122426244262628262681026286236681012141618202224242628303234384042[[#This Row],[Uso diário]]*2</f>
        <v>37.6</v>
      </c>
      <c r="O6" s="19">
        <f>Tabela174681012142230322681619252731333624210121416182426283038402481012141620222628303234362426810121424610122426244262628262681026286236681012141618202224242628303234384042[[#This Row],[Total Acumulado]]-P6</f>
        <v>-94</v>
      </c>
      <c r="P6" s="48">
        <f>Tabela174681012142230322681619252731333624210121416182426283038402481012141620222628303234362426810121424610122426244262628262681026286236681012141618202224242628303234384042[[#This Row],[Uso diário]]*5</f>
        <v>94</v>
      </c>
      <c r="Q6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6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470</v>
      </c>
      <c r="S6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6" s="25">
        <v>21</v>
      </c>
    </row>
    <row r="7" spans="1:59" s="26" customFormat="1" x14ac:dyDescent="0.25">
      <c r="A7" s="16">
        <v>230669</v>
      </c>
      <c r="B7" s="30" t="s">
        <v>351</v>
      </c>
      <c r="C7" s="20" t="s">
        <v>651</v>
      </c>
      <c r="D7" s="20" t="s">
        <v>717</v>
      </c>
      <c r="E7" s="20" t="s">
        <v>3228</v>
      </c>
      <c r="F7" s="20" t="s">
        <v>3229</v>
      </c>
      <c r="G7" s="21">
        <v>10</v>
      </c>
      <c r="H7" s="16">
        <v>16</v>
      </c>
      <c r="I7" s="16"/>
      <c r="J7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160</v>
      </c>
      <c r="K7" s="22"/>
      <c r="L7" s="23"/>
      <c r="M7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Tabela174681012142230322681619252731333624210121416182426283038402481012141620222628303234362426810121424610122426244262628262681026286236681012141618202224242628303234384042[[#This Row],[Uso diário]]*2</f>
        <v>20</v>
      </c>
      <c r="O7" s="19">
        <f>Tabela174681012142230322681619252731333624210121416182426283038402481012141620222628303234362426810121424610122426244262628262681026286236681012141618202224242628303234384042[[#This Row],[Total Acumulado]]-P7</f>
        <v>-50</v>
      </c>
      <c r="P7" s="48">
        <f>Tabela174681012142230322681619252731333624210121416182426283038402481012141620222628303234362426810121424610122426244262628262681026286236681012141618202224242628303234384042[[#This Row],[Uso diário]]*5</f>
        <v>50</v>
      </c>
      <c r="Q7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7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160</v>
      </c>
      <c r="S7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7" s="25">
        <v>21</v>
      </c>
    </row>
    <row r="8" spans="1:59" s="26" customFormat="1" x14ac:dyDescent="0.25">
      <c r="A8" s="16">
        <v>212411</v>
      </c>
      <c r="B8" s="30" t="s">
        <v>411</v>
      </c>
      <c r="C8" s="20" t="s">
        <v>635</v>
      </c>
      <c r="D8" s="20" t="s">
        <v>698</v>
      </c>
      <c r="E8" s="20" t="s">
        <v>3230</v>
      </c>
      <c r="F8" s="20" t="s">
        <v>3231</v>
      </c>
      <c r="G8" s="21">
        <v>18.8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488.8</v>
      </c>
      <c r="K8" s="22"/>
      <c r="L8" s="23"/>
      <c r="M8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Tabela174681012142230322681619252731333624210121416182426283038402481012141620222628303234362426810121424610122426244262628262681026286236681012141618202224242628303234384042[[#This Row],[Uso diário]]*2</f>
        <v>37.6</v>
      </c>
      <c r="O8" s="19">
        <f>Tabela174681012142230322681619252731333624210121416182426283038402481012141620222628303234362426810121424610122426244262628262681026286236681012141618202224242628303234384042[[#This Row],[Total Acumulado]]-P8</f>
        <v>-94</v>
      </c>
      <c r="P8" s="48">
        <f>Tabela174681012142230322681619252731333624210121416182426283038402481012141620222628303234362426810121424610122426244262628262681026286236681012141618202224242628303234384042[[#This Row],[Uso diário]]*5</f>
        <v>94</v>
      </c>
      <c r="Q8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8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488.8</v>
      </c>
      <c r="S8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8" s="25">
        <v>21</v>
      </c>
    </row>
    <row r="9" spans="1:59" s="26" customFormat="1" x14ac:dyDescent="0.25">
      <c r="A9" s="16">
        <v>233225</v>
      </c>
      <c r="B9" s="30" t="s">
        <v>996</v>
      </c>
      <c r="C9" s="20" t="s">
        <v>636</v>
      </c>
      <c r="D9" s="20" t="s">
        <v>729</v>
      </c>
      <c r="E9" s="20" t="s">
        <v>3232</v>
      </c>
      <c r="F9" s="20" t="s">
        <v>3233</v>
      </c>
      <c r="G9" s="21">
        <v>10</v>
      </c>
      <c r="H9" s="16">
        <v>20</v>
      </c>
      <c r="I9" s="16"/>
      <c r="J9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200</v>
      </c>
      <c r="K9" s="22"/>
      <c r="L9" s="23"/>
      <c r="M9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Tabela174681012142230322681619252731333624210121416182426283038402481012141620222628303234362426810121424610122426244262628262681026286236681012141618202224242628303234384042[[#This Row],[Uso diário]]*2</f>
        <v>20</v>
      </c>
      <c r="O9" s="19">
        <f>Tabela174681012142230322681619252731333624210121416182426283038402481012141620222628303234362426810121424610122426244262628262681026286236681012141618202224242628303234384042[[#This Row],[Total Acumulado]]-P9</f>
        <v>-50</v>
      </c>
      <c r="P9" s="48">
        <f>Tabela174681012142230322681619252731333624210121416182426283038402481012141620222628303234362426810121424610122426244262628262681026286236681012141618202224242628303234384042[[#This Row],[Uso diário]]*5</f>
        <v>50</v>
      </c>
      <c r="Q9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9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200</v>
      </c>
      <c r="S9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9" s="25">
        <v>21</v>
      </c>
    </row>
    <row r="10" spans="1:59" s="26" customFormat="1" x14ac:dyDescent="0.25">
      <c r="A10" s="16">
        <v>233226</v>
      </c>
      <c r="B10" s="30" t="s">
        <v>997</v>
      </c>
      <c r="C10" s="20" t="s">
        <v>636</v>
      </c>
      <c r="D10" s="20" t="s">
        <v>729</v>
      </c>
      <c r="E10" s="20" t="s">
        <v>3234</v>
      </c>
      <c r="F10" s="20" t="s">
        <v>3235</v>
      </c>
      <c r="G10" s="21">
        <v>10</v>
      </c>
      <c r="H10" s="16">
        <v>20</v>
      </c>
      <c r="I10" s="16">
        <v>1</v>
      </c>
      <c r="J10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190</v>
      </c>
      <c r="K10" s="22"/>
      <c r="L10" s="23"/>
      <c r="M10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Tabela174681012142230322681619252731333624210121416182426283038402481012141620222628303234362426810121424610122426244262628262681026286236681012141618202224242628303234384042[[#This Row],[Uso diário]]*2</f>
        <v>20</v>
      </c>
      <c r="O10" s="19">
        <f>Tabela174681012142230322681619252731333624210121416182426283038402481012141620222628303234362426810121424610122426244262628262681026286236681012141618202224242628303234384042[[#This Row],[Total Acumulado]]-P10</f>
        <v>-50</v>
      </c>
      <c r="P10" s="48">
        <f>Tabela174681012142230322681619252731333624210121416182426283038402481012141620222628303234362426810121424610122426244262628262681026286236681012141618202224242628303234384042[[#This Row],[Uso diário]]*5</f>
        <v>50</v>
      </c>
      <c r="Q10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0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190</v>
      </c>
      <c r="S10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0" s="25">
        <v>21</v>
      </c>
    </row>
    <row r="11" spans="1:59" s="26" customFormat="1" x14ac:dyDescent="0.25">
      <c r="A11" s="16">
        <v>233227</v>
      </c>
      <c r="B11" s="30" t="s">
        <v>998</v>
      </c>
      <c r="C11" s="20" t="s">
        <v>636</v>
      </c>
      <c r="D11" s="20" t="s">
        <v>729</v>
      </c>
      <c r="E11" s="20" t="s">
        <v>3236</v>
      </c>
      <c r="F11" s="20" t="s">
        <v>3237</v>
      </c>
      <c r="G11" s="21">
        <v>5</v>
      </c>
      <c r="H11" s="16">
        <v>22</v>
      </c>
      <c r="I11" s="16"/>
      <c r="J11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110</v>
      </c>
      <c r="K11" s="22"/>
      <c r="L11" s="23"/>
      <c r="M11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Tabela174681012142230322681619252731333624210121416182426283038402481012141620222628303234362426810121424610122426244262628262681026286236681012141618202224242628303234384042[[#This Row],[Uso diário]]*2</f>
        <v>10</v>
      </c>
      <c r="O11" s="19">
        <f>Tabela174681012142230322681619252731333624210121416182426283038402481012141620222628303234362426810121424610122426244262628262681026286236681012141618202224242628303234384042[[#This Row],[Total Acumulado]]-P11</f>
        <v>-25</v>
      </c>
      <c r="P11" s="48">
        <f>Tabela174681012142230322681619252731333624210121416182426283038402481012141620222628303234362426810121424610122426244262628262681026286236681012141618202224242628303234384042[[#This Row],[Uso diário]]*5</f>
        <v>25</v>
      </c>
      <c r="Q11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1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110</v>
      </c>
      <c r="S11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1" s="25">
        <v>21</v>
      </c>
    </row>
    <row r="12" spans="1:59" s="26" customFormat="1" x14ac:dyDescent="0.25">
      <c r="A12" s="16">
        <v>233228</v>
      </c>
      <c r="B12" s="30" t="s">
        <v>999</v>
      </c>
      <c r="C12" s="20" t="s">
        <v>636</v>
      </c>
      <c r="D12" s="20" t="s">
        <v>729</v>
      </c>
      <c r="E12" s="20" t="s">
        <v>3238</v>
      </c>
      <c r="F12" s="20" t="s">
        <v>3239</v>
      </c>
      <c r="G12" s="21">
        <v>10</v>
      </c>
      <c r="H12" s="16">
        <v>20</v>
      </c>
      <c r="I12" s="16">
        <v>1</v>
      </c>
      <c r="J12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190</v>
      </c>
      <c r="K12" s="22"/>
      <c r="L12" s="23"/>
      <c r="M12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2" s="19">
        <f>Tabela174681012142230322681619252731333624210121416182426283038402481012141620222628303234362426810121424610122426244262628262681026286236681012141618202224242628303234384042[[#This Row],[Uso diário]]*2</f>
        <v>20</v>
      </c>
      <c r="O12" s="19">
        <f>Tabela174681012142230322681619252731333624210121416182426283038402481012141620222628303234362426810121424610122426244262628262681026286236681012141618202224242628303234384042[[#This Row],[Total Acumulado]]-P12</f>
        <v>-50</v>
      </c>
      <c r="P12" s="48">
        <f>Tabela174681012142230322681619252731333624210121416182426283038402481012141620222628303234362426810121424610122426244262628262681026286236681012141618202224242628303234384042[[#This Row],[Uso diário]]*5</f>
        <v>50</v>
      </c>
      <c r="Q12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2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190</v>
      </c>
      <c r="S12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2" s="25">
        <v>21</v>
      </c>
    </row>
    <row r="13" spans="1:59" s="26" customFormat="1" x14ac:dyDescent="0.25">
      <c r="A13" s="16">
        <v>233229</v>
      </c>
      <c r="B13" s="30" t="s">
        <v>1000</v>
      </c>
      <c r="C13" s="20" t="s">
        <v>636</v>
      </c>
      <c r="D13" s="20" t="s">
        <v>729</v>
      </c>
      <c r="E13" s="20" t="s">
        <v>3240</v>
      </c>
      <c r="F13" s="20" t="s">
        <v>3241</v>
      </c>
      <c r="G13" s="21">
        <v>10</v>
      </c>
      <c r="H13" s="16">
        <v>20</v>
      </c>
      <c r="I13" s="16">
        <v>2</v>
      </c>
      <c r="J13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180</v>
      </c>
      <c r="K13" s="22"/>
      <c r="L13" s="23"/>
      <c r="M13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Tabela174681012142230322681619252731333624210121416182426283038402481012141620222628303234362426810121424610122426244262628262681026286236681012141618202224242628303234384042[[#This Row],[Uso diário]]*2</f>
        <v>20</v>
      </c>
      <c r="O13" s="19">
        <f>Tabela174681012142230322681619252731333624210121416182426283038402481012141620222628303234362426810121424610122426244262628262681026286236681012141618202224242628303234384042[[#This Row],[Total Acumulado]]-P13</f>
        <v>-50</v>
      </c>
      <c r="P13" s="48">
        <f>Tabela174681012142230322681619252731333624210121416182426283038402481012141620222628303234362426810121424610122426244262628262681026286236681012141618202224242628303234384042[[#This Row],[Uso diário]]*5</f>
        <v>50</v>
      </c>
      <c r="Q13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3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180</v>
      </c>
      <c r="S13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3" s="25">
        <v>21</v>
      </c>
    </row>
    <row r="14" spans="1:59" s="26" customFormat="1" x14ac:dyDescent="0.25">
      <c r="A14" s="16">
        <v>233230</v>
      </c>
      <c r="B14" s="30" t="s">
        <v>1001</v>
      </c>
      <c r="C14" s="20" t="s">
        <v>636</v>
      </c>
      <c r="D14" s="20" t="s">
        <v>729</v>
      </c>
      <c r="E14" s="20" t="s">
        <v>3242</v>
      </c>
      <c r="F14" s="20" t="s">
        <v>3243</v>
      </c>
      <c r="G14" s="21">
        <v>5</v>
      </c>
      <c r="H14" s="16">
        <v>22</v>
      </c>
      <c r="I14" s="16">
        <v>1</v>
      </c>
      <c r="J14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105</v>
      </c>
      <c r="K14" s="22"/>
      <c r="L14" s="23"/>
      <c r="M14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Tabela174681012142230322681619252731333624210121416182426283038402481012141620222628303234362426810121424610122426244262628262681026286236681012141618202224242628303234384042[[#This Row],[Uso diário]]*2</f>
        <v>10</v>
      </c>
      <c r="O14" s="19">
        <f>Tabela174681012142230322681619252731333624210121416182426283038402481012141620222628303234362426810121424610122426244262628262681026286236681012141618202224242628303234384042[[#This Row],[Total Acumulado]]-P14</f>
        <v>-25</v>
      </c>
      <c r="P14" s="48">
        <f>Tabela174681012142230322681619252731333624210121416182426283038402481012141620222628303234362426810121424610122426244262628262681026286236681012141618202224242628303234384042[[#This Row],[Uso diário]]*5</f>
        <v>25</v>
      </c>
      <c r="Q14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4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105</v>
      </c>
      <c r="S14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4" s="25">
        <v>21</v>
      </c>
    </row>
    <row r="15" spans="1:59" s="26" customFormat="1" x14ac:dyDescent="0.25">
      <c r="A15" s="16">
        <v>233231</v>
      </c>
      <c r="B15" s="30" t="s">
        <v>1002</v>
      </c>
      <c r="C15" s="20" t="s">
        <v>636</v>
      </c>
      <c r="D15" s="20" t="s">
        <v>729</v>
      </c>
      <c r="E15" s="20" t="s">
        <v>3244</v>
      </c>
      <c r="F15" s="20" t="s">
        <v>3245</v>
      </c>
      <c r="G15" s="21">
        <v>5</v>
      </c>
      <c r="H15" s="16">
        <v>20</v>
      </c>
      <c r="I15" s="16"/>
      <c r="J15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100</v>
      </c>
      <c r="K15" s="22"/>
      <c r="L15" s="23"/>
      <c r="M15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5" s="19">
        <f>Tabela174681012142230322681619252731333624210121416182426283038402481012141620222628303234362426810121424610122426244262628262681026286236681012141618202224242628303234384042[[#This Row],[Uso diário]]*2</f>
        <v>10</v>
      </c>
      <c r="O15" s="19">
        <f>Tabela174681012142230322681619252731333624210121416182426283038402481012141620222628303234362426810121424610122426244262628262681026286236681012141618202224242628303234384042[[#This Row],[Total Acumulado]]-P15</f>
        <v>-25</v>
      </c>
      <c r="P15" s="48">
        <f>Tabela174681012142230322681619252731333624210121416182426283038402481012141620222628303234362426810121424610122426244262628262681026286236681012141618202224242628303234384042[[#This Row],[Uso diário]]*5</f>
        <v>25</v>
      </c>
      <c r="Q15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5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100</v>
      </c>
      <c r="S15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5" s="25">
        <v>21</v>
      </c>
    </row>
    <row r="16" spans="1:59" s="26" customFormat="1" x14ac:dyDescent="0.25">
      <c r="A16" s="16">
        <v>233232</v>
      </c>
      <c r="B16" s="30" t="s">
        <v>1003</v>
      </c>
      <c r="C16" s="20" t="s">
        <v>636</v>
      </c>
      <c r="D16" s="20" t="s">
        <v>729</v>
      </c>
      <c r="E16" s="20" t="s">
        <v>3246</v>
      </c>
      <c r="F16" s="20" t="s">
        <v>3247</v>
      </c>
      <c r="G16" s="21">
        <v>5</v>
      </c>
      <c r="H16" s="16">
        <v>22</v>
      </c>
      <c r="I16" s="16">
        <v>1</v>
      </c>
      <c r="J16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105</v>
      </c>
      <c r="K16" s="22"/>
      <c r="L16" s="23"/>
      <c r="M16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6" s="19">
        <f>Tabela174681012142230322681619252731333624210121416182426283038402481012141620222628303234362426810121424610122426244262628262681026286236681012141618202224242628303234384042[[#This Row],[Uso diário]]*2</f>
        <v>10</v>
      </c>
      <c r="O16" s="19">
        <f>Tabela174681012142230322681619252731333624210121416182426283038402481012141620222628303234362426810121424610122426244262628262681026286236681012141618202224242628303234384042[[#This Row],[Total Acumulado]]-P16</f>
        <v>-25</v>
      </c>
      <c r="P16" s="48">
        <f>Tabela174681012142230322681619252731333624210121416182426283038402481012141620222628303234362426810121424610122426244262628262681026286236681012141618202224242628303234384042[[#This Row],[Uso diário]]*5</f>
        <v>25</v>
      </c>
      <c r="Q16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6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105</v>
      </c>
      <c r="S16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6" s="25">
        <v>21</v>
      </c>
    </row>
    <row r="17" spans="1:20" s="26" customFormat="1" x14ac:dyDescent="0.25">
      <c r="A17" s="16">
        <v>233233</v>
      </c>
      <c r="B17" s="30" t="s">
        <v>1004</v>
      </c>
      <c r="C17" s="20" t="s">
        <v>636</v>
      </c>
      <c r="D17" s="20" t="s">
        <v>729</v>
      </c>
      <c r="E17" s="20" t="s">
        <v>3248</v>
      </c>
      <c r="F17" s="20" t="s">
        <v>3249</v>
      </c>
      <c r="G17" s="21">
        <v>10</v>
      </c>
      <c r="H17" s="16">
        <v>20</v>
      </c>
      <c r="I17" s="16">
        <v>4</v>
      </c>
      <c r="J17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160</v>
      </c>
      <c r="K17" s="22"/>
      <c r="L17" s="23"/>
      <c r="M17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7" s="19">
        <f>Tabela174681012142230322681619252731333624210121416182426283038402481012141620222628303234362426810121424610122426244262628262681026286236681012141618202224242628303234384042[[#This Row],[Uso diário]]*2</f>
        <v>20</v>
      </c>
      <c r="O17" s="19">
        <f>Tabela174681012142230322681619252731333624210121416182426283038402481012141620222628303234362426810121424610122426244262628262681026286236681012141618202224242628303234384042[[#This Row],[Total Acumulado]]-P17</f>
        <v>-50</v>
      </c>
      <c r="P17" s="48">
        <f>Tabela174681012142230322681619252731333624210121416182426283038402481012141620222628303234362426810121424610122426244262628262681026286236681012141618202224242628303234384042[[#This Row],[Uso diário]]*5</f>
        <v>50</v>
      </c>
      <c r="Q17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7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160</v>
      </c>
      <c r="S17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7" s="25">
        <v>21</v>
      </c>
    </row>
    <row r="18" spans="1:20" s="26" customFormat="1" x14ac:dyDescent="0.25">
      <c r="A18" s="16">
        <v>233234</v>
      </c>
      <c r="B18" s="30" t="s">
        <v>1005</v>
      </c>
      <c r="C18" s="20" t="s">
        <v>636</v>
      </c>
      <c r="D18" s="20" t="s">
        <v>729</v>
      </c>
      <c r="E18" s="20" t="s">
        <v>3250</v>
      </c>
      <c r="F18" s="20" t="s">
        <v>3251</v>
      </c>
      <c r="G18" s="21">
        <v>5</v>
      </c>
      <c r="H18" s="16">
        <v>22</v>
      </c>
      <c r="I18" s="16"/>
      <c r="J18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110</v>
      </c>
      <c r="K18" s="22"/>
      <c r="L18" s="23"/>
      <c r="M18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8" s="19">
        <f>Tabela174681012142230322681619252731333624210121416182426283038402481012141620222628303234362426810121424610122426244262628262681026286236681012141618202224242628303234384042[[#This Row],[Uso diário]]*2</f>
        <v>10</v>
      </c>
      <c r="O18" s="19">
        <f>Tabela174681012142230322681619252731333624210121416182426283038402481012141620222628303234362426810121424610122426244262628262681026286236681012141618202224242628303234384042[[#This Row],[Total Acumulado]]-P18</f>
        <v>-25</v>
      </c>
      <c r="P18" s="48">
        <f>Tabela174681012142230322681619252731333624210121416182426283038402481012141620222628303234362426810121424610122426244262628262681026286236681012141618202224242628303234384042[[#This Row],[Uso diário]]*5</f>
        <v>25</v>
      </c>
      <c r="Q18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8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110</v>
      </c>
      <c r="S18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8" s="25">
        <v>21</v>
      </c>
    </row>
    <row r="19" spans="1:20" s="26" customFormat="1" x14ac:dyDescent="0.25">
      <c r="A19" s="16">
        <v>231479</v>
      </c>
      <c r="B19" s="30" t="s">
        <v>793</v>
      </c>
      <c r="C19" s="20" t="s">
        <v>654</v>
      </c>
      <c r="D19" s="20" t="s">
        <v>715</v>
      </c>
      <c r="E19" s="20" t="s">
        <v>3252</v>
      </c>
      <c r="F19" s="20" t="s">
        <v>3253</v>
      </c>
      <c r="G19" s="21">
        <v>10</v>
      </c>
      <c r="H19" s="16">
        <v>26</v>
      </c>
      <c r="I19" s="16"/>
      <c r="J19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260</v>
      </c>
      <c r="K19" s="22"/>
      <c r="L19" s="23"/>
      <c r="M19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19" s="19">
        <f>Tabela174681012142230322681619252731333624210121416182426283038402481012141620222628303234362426810121424610122426244262628262681026286236681012141618202224242628303234384042[[#This Row],[Uso diário]]*2</f>
        <v>20</v>
      </c>
      <c r="O19" s="19">
        <f>Tabela174681012142230322681619252731333624210121416182426283038402481012141620222628303234362426810121424610122426244262628262681026286236681012141618202224242628303234384042[[#This Row],[Total Acumulado]]-P19</f>
        <v>-50</v>
      </c>
      <c r="P19" s="48">
        <f>Tabela174681012142230322681619252731333624210121416182426283038402481012141620222628303234362426810121424610122426244262628262681026286236681012141618202224242628303234384042[[#This Row],[Uso diário]]*5</f>
        <v>50</v>
      </c>
      <c r="Q19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19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260</v>
      </c>
      <c r="S19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19" s="25">
        <v>21</v>
      </c>
    </row>
    <row r="20" spans="1:20" s="26" customFormat="1" x14ac:dyDescent="0.25">
      <c r="A20" s="16">
        <v>223242</v>
      </c>
      <c r="B20" s="30" t="s">
        <v>412</v>
      </c>
      <c r="C20" s="20" t="s">
        <v>641</v>
      </c>
      <c r="D20" s="20" t="s">
        <v>704</v>
      </c>
      <c r="E20" s="20" t="s">
        <v>3254</v>
      </c>
      <c r="F20" s="20" t="s">
        <v>3255</v>
      </c>
      <c r="G20" s="21">
        <v>10</v>
      </c>
      <c r="H20" s="16">
        <v>26</v>
      </c>
      <c r="I20" s="16"/>
      <c r="J20" s="17">
        <f>(Tabela174681012142230322681619252731333624210121416182426283038402481012141620222628303234362426810121424610122426244262628262681026286236681012141618202224242628303234384042[[#This Row],[D]]-Tabela174681012142230322681619252731333624210121416182426283038402481012141620222628303234362426810121424610122426244262628262681026286236681012141618202224242628303234384042[[#This Row],[F]])*Tabela174681012142230322681619252731333624210121416182426283038402481012141620222628303234362426810121424610122426244262628262681026286236681012141618202224242628303234384042[[#This Row],[Uso diário]]</f>
        <v>260</v>
      </c>
      <c r="K20" s="22"/>
      <c r="L20" s="23"/>
      <c r="M20" s="23">
        <f>SUM(Tabela174681012142230322681619252731333624210121416182426283038402481012141620222628303234362426810121424610122426244262628262681026286236681012141618202224242628303234384042[[#This Row],[Saldo no cartão]:[Recarga Pendente]])</f>
        <v>0</v>
      </c>
      <c r="N20" s="19">
        <f>Tabela174681012142230322681619252731333624210121416182426283038402481012141620222628303234362426810121424610122426244262628262681026286236681012141618202224242628303234384042[[#This Row],[Uso diário]]*2</f>
        <v>20</v>
      </c>
      <c r="O20" s="19">
        <f>Tabela174681012142230322681619252731333624210121416182426283038402481012141620222628303234362426810121424610122426244262628262681026286236681012141618202224242628303234384042[[#This Row],[Total Acumulado]]-P20</f>
        <v>-50</v>
      </c>
      <c r="P20" s="48">
        <f>Tabela174681012142230322681619252731333624210121416182426283038402481012141620222628303234362426810121424610122426244262628262681026286236681012141618202224242628303234384042[[#This Row],[Uso diário]]*5</f>
        <v>50</v>
      </c>
      <c r="Q20" s="17">
        <f>IF(Tabela174681012142230322681619252731333624210121416182426283038402481012141620222628303234362426810121424610122426244262628262681026286236681012141618202224242628303234384042[[#This Row],[acumulo]]&lt;Tabela174681012142230322681619252731333624210121416182426283038402481012141620222628303234362426810121424610122426244262628262681026286236681012141618202224242628303234384042[[#This Row],[acumulo minimo]],0,Tabela174681012142230322681619252731333624210121416182426283038402481012141620222628303234362426810121424610122426244262628262681026286236681012141618202224242628303234384042[[#This Row],[acumulo]])</f>
        <v>0</v>
      </c>
      <c r="R20" s="24">
        <f>IF(Tabela174681012142230322681619252731333624210121416182426283038402481012141620222628303234362426810121424610122426244262628262681026286236681012141618202224242628303234384042[[#This Row],[Valor economizado]]&gt;Tabela174681012142230322681619252731333624210121416182426283038402481012141620222628303234362426810121424610122426244262628262681026286236681012141618202224242628303234384042[[#This Row],[Pedido Inicial]],0,Tabela174681012142230322681619252731333624210121416182426283038402481012141620222628303234362426810121424610122426244262628262681026286236681012141618202224242628303234384042[[#This Row],[Pedido Inicial]]-Tabela174681012142230322681619252731333624210121416182426283038402481012141620222628303234362426810121424610122426244262628262681026286236681012141618202224242628303234384042[[#This Row],[Valor economizado]])</f>
        <v>260</v>
      </c>
      <c r="S20" s="18" t="str">
        <f>IF(Tabela174681012142230322681619252731333624210121416182426283038402481012141620222628303234362426810121424610122426244262628262681026286236681012141618202224242628303234384042[[#This Row],[Pedido Final]]=0,"NÃO EFETUAR RECARGA","RECARGA NORMAL")</f>
        <v>RECARGA NORMAL</v>
      </c>
      <c r="T20" s="25">
        <v>21</v>
      </c>
    </row>
    <row r="21" spans="1:20" s="8" customFormat="1" x14ac:dyDescent="0.25">
      <c r="A21" s="13" t="s">
        <v>13</v>
      </c>
      <c r="B21" s="13"/>
      <c r="C21" s="13"/>
      <c r="D21" s="13"/>
      <c r="E21" s="20"/>
      <c r="F21" s="20"/>
      <c r="G21" s="33"/>
      <c r="H21" s="13"/>
      <c r="I21" s="13"/>
      <c r="J21" s="14">
        <f>SUBTOTAL(109,Tabela174681012142230322681619252731333624210121416182426283038402481012141620222628303234362426810121424610122426244262628262681026286236681012141618202224242628303234384042[Pedido Inicial])</f>
        <v>3578.8</v>
      </c>
      <c r="K21" s="15"/>
      <c r="L21" s="15"/>
      <c r="M21" s="15"/>
      <c r="N21" s="15"/>
      <c r="O21" s="15"/>
      <c r="P21" s="15"/>
      <c r="Q21" s="15"/>
      <c r="R21" s="14">
        <f>SUBTOTAL(109,Tabela174681012142230322681619252731333624210121416182426283038402481012141620222628303234362426810121424610122426244262628262681026286236681012141618202224242628303234384042[Pedido Final])</f>
        <v>3578.8</v>
      </c>
      <c r="S21" s="31">
        <f>SUBTOTAL(103,Tabela174681012142230322681619252731333624210121416182426283038402481012141620222628303234362426810121424610122426244262628262681026286236681012141618202224242628303234384042[Status])</f>
        <v>17</v>
      </c>
      <c r="T21" s="13"/>
    </row>
    <row r="22" spans="1:20" s="8" customFormat="1" x14ac:dyDescent="0.25">
      <c r="A22" s="13"/>
      <c r="B22" s="13"/>
      <c r="C22" s="13"/>
      <c r="D22" s="13"/>
      <c r="E22" s="20"/>
      <c r="F22" s="20"/>
      <c r="G22" s="33"/>
      <c r="H22" s="13"/>
      <c r="I22" s="13"/>
      <c r="J22" s="14"/>
      <c r="K22" s="15"/>
      <c r="L22" s="15"/>
      <c r="M22" s="15"/>
      <c r="N22" s="15"/>
      <c r="O22" s="15"/>
      <c r="P22" s="15"/>
      <c r="Q22" s="15"/>
      <c r="R22" s="14"/>
      <c r="S22" s="31"/>
      <c r="T22" s="13"/>
    </row>
    <row r="23" spans="1:20" s="8" customFormat="1" x14ac:dyDescent="0.25">
      <c r="A23" s="13"/>
      <c r="B23" s="13"/>
      <c r="C23" s="13"/>
      <c r="D23" s="13"/>
      <c r="E23" s="20"/>
      <c r="F23" s="20"/>
      <c r="G23" s="33"/>
      <c r="H23" s="13"/>
      <c r="I23" s="13"/>
      <c r="J23" s="14"/>
      <c r="K23" s="15"/>
      <c r="L23" s="15"/>
      <c r="M23" s="15"/>
      <c r="N23" s="15"/>
      <c r="O23" s="15"/>
      <c r="P23" s="15"/>
      <c r="Q23" s="15"/>
      <c r="R23" s="14"/>
      <c r="S23" s="31"/>
      <c r="T23" s="13"/>
    </row>
    <row r="24" spans="1:20" s="8" customFormat="1" x14ac:dyDescent="0.25">
      <c r="A24" s="1"/>
      <c r="B24" s="54" t="s">
        <v>14</v>
      </c>
      <c r="C24" s="55"/>
      <c r="D24" s="13"/>
      <c r="F24" s="37"/>
      <c r="G24" s="37"/>
      <c r="H24" s="37"/>
      <c r="I24" s="37"/>
      <c r="J24" s="28"/>
      <c r="K24" s="3"/>
      <c r="L24" s="1"/>
      <c r="M24" s="1"/>
      <c r="N24" s="1"/>
      <c r="O24" s="1"/>
      <c r="P24" s="1"/>
      <c r="Q24" s="1"/>
      <c r="R24" s="4" t="s">
        <v>26</v>
      </c>
      <c r="S24" s="39" t="s">
        <v>15</v>
      </c>
    </row>
    <row r="25" spans="1:20" s="8" customFormat="1" x14ac:dyDescent="0.25">
      <c r="A25" s="1"/>
      <c r="B25" s="50" t="s">
        <v>24</v>
      </c>
      <c r="C25" s="45">
        <f>Tabela174681012142230322681619252731333624210121416182426283038402481012141620222628303234362426810121424610122426244262628262681026286236681012141618202224242628303234384042[[#Totals],[Pedido Inicial]]</f>
        <v>3578.8</v>
      </c>
      <c r="D25" s="13"/>
      <c r="F25" s="41"/>
      <c r="G25" s="41"/>
      <c r="H25" s="34"/>
      <c r="I25" s="34"/>
      <c r="J25" s="34"/>
      <c r="K25" s="5"/>
      <c r="L25" s="1"/>
      <c r="M25" s="1"/>
      <c r="N25" s="1"/>
      <c r="O25" s="1"/>
      <c r="P25" s="1"/>
      <c r="Q25" s="1"/>
      <c r="R25" s="58" t="s">
        <v>28</v>
      </c>
      <c r="S25" s="59">
        <f>COUNTIF(Tabela174681012142230322681619252731333624210121416182426283038402481012141620222628303234362426810121424610122426244262628262681026286236681012141618202224242628303234384042[Status],Tabela25791113152331333791720262832343735311131517192527293139413591113151721232729313335373537911131535711133537345373739373791137397337791113151719212325352729313335394143[[#This Row],[STATUS]])</f>
        <v>17</v>
      </c>
    </row>
    <row r="26" spans="1:20" s="8" customFormat="1" x14ac:dyDescent="0.25">
      <c r="A26" s="1"/>
      <c r="B26" s="50" t="s">
        <v>25</v>
      </c>
      <c r="C26" s="45">
        <f>Tabela174681012142230322681619252731333624210121416182426283038402481012141620222628303234362426810121424610122426244262628262681026286236681012141618202224242628303234384042[[#Totals],[Pedido Final]]</f>
        <v>3578.8</v>
      </c>
      <c r="D26" s="13"/>
      <c r="F26" s="41"/>
      <c r="G26" s="41"/>
      <c r="H26" s="34"/>
      <c r="I26" s="34"/>
      <c r="J26" s="34"/>
      <c r="K26" s="5"/>
      <c r="L26" s="1"/>
      <c r="M26" s="1"/>
      <c r="N26" s="1"/>
      <c r="O26" s="1"/>
      <c r="P26" s="1"/>
      <c r="R26" s="58" t="s">
        <v>11</v>
      </c>
      <c r="S26" s="59">
        <f>COUNTIF(Tabela174681012142230322681619252731333624210121416182426283038402481012141620222628303234362426810121424610122426244262628262681026286236681012141618202224242628303234384042[Status],Tabela25791113152331333791720262832343735311131517192527293139413591113151721232729313335373537911131535711133537345373739373791137397337791113151719212325352729313335394143[[#This Row],[STATUS]])</f>
        <v>0</v>
      </c>
    </row>
    <row r="27" spans="1:20" s="8" customFormat="1" x14ac:dyDescent="0.25">
      <c r="A27" s="1"/>
      <c r="B27" s="51" t="str">
        <f>_xlfn.CONCAT("ECONOMIA"," ",ROUND(C27/C25,2)*100,"%")</f>
        <v>ECONOMIA 0%</v>
      </c>
      <c r="C27" s="46">
        <f>SUM(C25-C26)</f>
        <v>0</v>
      </c>
      <c r="D27" s="13"/>
      <c r="F27" s="41"/>
      <c r="G27" s="41"/>
      <c r="H27" s="36"/>
      <c r="I27" s="36"/>
      <c r="J27" s="38"/>
      <c r="K27" s="36"/>
      <c r="L27" s="1"/>
      <c r="M27" s="1"/>
      <c r="N27" s="1"/>
      <c r="O27" s="1"/>
      <c r="P27" s="1"/>
      <c r="Q27" s="35"/>
      <c r="R27" s="58" t="s">
        <v>12</v>
      </c>
      <c r="S27" s="59">
        <f>COUNTIF(Tabela174681012142230322681619252731333624210121416182426283038402481012141620222628303234362426810121424610122426244262628262681026286236681012141618202224242628303234384042[Status],Tabela25791113152331333791720262832343735311131517192527293139413591113151721232729313335373537911131535711133537345373739373791137397337791113151719212325352729313335394143[[#This Row],[STATUS]])</f>
        <v>0</v>
      </c>
    </row>
    <row r="28" spans="1:20" s="8" customFormat="1" x14ac:dyDescent="0.25">
      <c r="A28" s="1"/>
      <c r="B28" s="51" t="e">
        <f>_xlfn.CONCAT("HPOD"," ",ROUND(C28/C27,2)*100,"%")</f>
        <v>#DIV/0!</v>
      </c>
      <c r="C28" s="46">
        <f>C27*12%</f>
        <v>0</v>
      </c>
      <c r="D28" s="13"/>
      <c r="F28" s="41"/>
      <c r="G28" s="41"/>
      <c r="H28" s="36"/>
      <c r="I28" s="36"/>
      <c r="J28" s="38"/>
      <c r="K28" s="36"/>
      <c r="L28" s="1"/>
      <c r="M28" s="1"/>
      <c r="N28" s="1"/>
      <c r="O28" s="1"/>
      <c r="P28" s="1"/>
      <c r="Q28" s="1"/>
      <c r="R28" s="6" t="s">
        <v>27</v>
      </c>
      <c r="S28" s="40">
        <f>SUBTOTAL(109,Tabela25791113152331333791720262832343735311131517192527293139413591113151721232729313335373537911131535711133537345373739373791137397337791113151719212325352729313335394143[Coluna1])</f>
        <v>17</v>
      </c>
    </row>
    <row r="29" spans="1:20" s="8" customFormat="1" x14ac:dyDescent="0.25">
      <c r="A29" s="1"/>
      <c r="B29" s="3"/>
      <c r="C29" s="47"/>
      <c r="D29" s="1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6"/>
    </row>
    <row r="30" spans="1:20" s="8" customFormat="1" x14ac:dyDescent="0.25">
      <c r="A30" s="1"/>
      <c r="B30" s="3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35"/>
      <c r="P30" s="1"/>
      <c r="Q30" s="1"/>
      <c r="R30" s="1"/>
      <c r="S30" s="1"/>
      <c r="T30" s="1"/>
    </row>
    <row r="31" spans="1:20" s="8" customFormat="1" x14ac:dyDescent="0.25">
      <c r="A31" s="26"/>
      <c r="B31" s="12"/>
      <c r="C31" s="12"/>
      <c r="D31" s="1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1"/>
    </row>
    <row r="32" spans="1:20" s="8" customFormat="1" x14ac:dyDescent="0.25">
      <c r="A32" s="26"/>
      <c r="B32" s="12"/>
      <c r="C32" s="12"/>
      <c r="D32" s="12"/>
      <c r="E32" s="27"/>
      <c r="F32" s="27"/>
      <c r="G32" s="27"/>
      <c r="H32" s="27"/>
      <c r="I32" s="27"/>
      <c r="J32" s="27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s="8" customFormat="1" x14ac:dyDescent="0.25">
      <c r="A33" s="26"/>
      <c r="B33" s="12"/>
      <c r="C33" s="12"/>
      <c r="D33" s="12"/>
      <c r="E33" s="28"/>
      <c r="F33" s="28"/>
      <c r="G33" s="28"/>
      <c r="H33" s="28"/>
      <c r="I33" s="28"/>
      <c r="J33" s="28"/>
      <c r="K33" s="27"/>
      <c r="L33" s="26"/>
      <c r="M33" s="26"/>
      <c r="N33" s="26"/>
      <c r="O33" s="26"/>
      <c r="P33" s="26"/>
      <c r="Q33" s="26"/>
      <c r="R33" s="26"/>
      <c r="S33" s="26"/>
      <c r="T33" s="26"/>
    </row>
    <row r="34" spans="1:20" s="8" customFormat="1" x14ac:dyDescent="0.25">
      <c r="A34" s="26"/>
      <c r="B34" s="12"/>
      <c r="C34" s="12"/>
      <c r="D34" s="12"/>
      <c r="E34" s="28"/>
      <c r="F34" s="28"/>
      <c r="G34" s="28"/>
      <c r="H34" s="28"/>
      <c r="I34" s="28"/>
      <c r="J34" s="28"/>
      <c r="K34" s="27"/>
      <c r="L34" s="26"/>
      <c r="M34" s="26"/>
      <c r="N34" s="26"/>
      <c r="O34" s="26"/>
      <c r="P34" s="26"/>
      <c r="Q34" s="26"/>
      <c r="R34" s="26"/>
      <c r="S34" s="26"/>
      <c r="T34" s="26"/>
    </row>
    <row r="35" spans="1:20" s="8" customFormat="1" x14ac:dyDescent="0.25">
      <c r="A35" s="26"/>
      <c r="B35" s="12"/>
      <c r="C35" s="12"/>
      <c r="D35" s="12"/>
      <c r="E35" s="28"/>
      <c r="F35" s="28"/>
      <c r="G35" s="28"/>
      <c r="H35" s="28"/>
      <c r="I35" s="28"/>
      <c r="J35" s="28"/>
      <c r="K35" s="27"/>
      <c r="L35" s="26"/>
      <c r="M35" s="26"/>
      <c r="N35" s="26"/>
      <c r="O35" s="26"/>
      <c r="P35" s="29"/>
      <c r="Q35" s="26"/>
      <c r="R35" s="26"/>
      <c r="S35" s="26"/>
      <c r="T35" s="26"/>
    </row>
    <row r="36" spans="1:20" s="8" customFormat="1" x14ac:dyDescent="0.25">
      <c r="A36" s="26"/>
      <c r="B36" s="12"/>
      <c r="C36" s="12"/>
      <c r="D36" s="12"/>
      <c r="E36" s="26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6"/>
      <c r="Q36" s="26"/>
      <c r="R36" s="26"/>
      <c r="S36" s="26"/>
      <c r="T36" s="26"/>
    </row>
    <row r="37" spans="1:20" s="8" customFormat="1" x14ac:dyDescent="0.25">
      <c r="A37" s="26"/>
      <c r="B37" s="12"/>
      <c r="C37" s="12"/>
      <c r="D37" s="12"/>
      <c r="E37" s="28"/>
      <c r="F37" s="28"/>
      <c r="G37" s="28"/>
      <c r="H37" s="28"/>
      <c r="I37" s="28"/>
      <c r="J37" s="28"/>
      <c r="K37" s="29"/>
      <c r="L37" s="26"/>
      <c r="M37" s="26"/>
      <c r="N37" s="26"/>
      <c r="O37" s="26"/>
      <c r="P37" s="26"/>
      <c r="Q37" s="26"/>
      <c r="R37" s="26"/>
      <c r="S37" s="26"/>
      <c r="T37" s="26"/>
    </row>
    <row r="38" spans="1:20" s="8" customFormat="1" x14ac:dyDescent="0.25">
      <c r="A38" s="26"/>
      <c r="B38" s="12"/>
      <c r="C38" s="12"/>
      <c r="D38" s="12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8" customFormat="1" x14ac:dyDescent="0.25">
      <c r="A39" s="26"/>
      <c r="B39" s="12"/>
      <c r="C39" s="12"/>
      <c r="D39" s="12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9"/>
    </row>
    <row r="40" spans="1:20" s="8" customFormat="1" x14ac:dyDescent="0.25">
      <c r="A40" s="26"/>
      <c r="B40" s="12"/>
      <c r="C40" s="12"/>
      <c r="D40" s="12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spans="1:20" s="8" customFormat="1" x14ac:dyDescent="0.25">
      <c r="A41" s="26"/>
      <c r="B41" s="12"/>
      <c r="C41" s="12"/>
      <c r="D41" s="12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 spans="1:20" s="8" customFormat="1" x14ac:dyDescent="0.25">
      <c r="A42" s="26"/>
      <c r="B42" s="12"/>
      <c r="C42" s="12"/>
      <c r="D42" s="12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 spans="1:20" s="8" customFormat="1" x14ac:dyDescent="0.25">
      <c r="A43" s="26"/>
      <c r="B43" s="12"/>
      <c r="C43" s="12"/>
      <c r="D43" s="12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spans="1:20" s="8" customFormat="1" x14ac:dyDescent="0.25">
      <c r="A44" s="26"/>
      <c r="B44" s="12"/>
      <c r="C44" s="12"/>
      <c r="D44" s="12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 spans="1:20" s="8" customFormat="1" x14ac:dyDescent="0.25">
      <c r="A45" s="1"/>
      <c r="B45" s="3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6"/>
    </row>
    <row r="46" spans="1:20" s="8" customFormat="1" x14ac:dyDescent="0.25">
      <c r="A46" s="1"/>
      <c r="B46" s="3"/>
      <c r="C46" s="3"/>
      <c r="D46" s="3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8" customFormat="1" x14ac:dyDescent="0.25">
      <c r="A47" s="1"/>
      <c r="B47" s="3"/>
      <c r="C47" s="3"/>
      <c r="D47" s="3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</row>
  </sheetData>
  <mergeCells count="1">
    <mergeCell ref="A2:T2"/>
  </mergeCells>
  <conditionalFormatting sqref="A1:A1048576">
    <cfRule type="duplicateValues" dxfId="14" priority="4"/>
    <cfRule type="duplicateValues" dxfId="13" priority="5"/>
  </conditionalFormatting>
  <conditionalFormatting sqref="B1:B1048576">
    <cfRule type="duplicateValues" dxfId="12" priority="6"/>
  </conditionalFormatting>
  <conditionalFormatting sqref="B25:C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{EAD7F243-A06B-4A4C-B77D-0C98DFA180C5}</x14:id>
        </ext>
      </extLst>
    </cfRule>
  </conditionalFormatting>
  <conditionalFormatting sqref="H25:J26 F25:G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{447400C3-3C3F-45ED-A696-77505F3917FD}</x14:id>
        </ext>
      </extLst>
    </cfRule>
  </conditionalFormatting>
  <conditionalFormatting sqref="R25:S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{CF939D59-16A9-4010-84FE-65C4D02FCA8B}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D7F243-A06B-4A4C-B77D-0C98DFA180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B25:C28</xm:sqref>
        </x14:conditionalFormatting>
        <x14:conditionalFormatting xmlns:xm="http://schemas.microsoft.com/office/excel/2006/main">
          <x14:cfRule type="dataBar" id="{447400C3-3C3F-45ED-A696-77505F3917FD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H25:J26 F25:G28</xm:sqref>
        </x14:conditionalFormatting>
        <x14:conditionalFormatting xmlns:xm="http://schemas.microsoft.com/office/excel/2006/main">
          <x14:cfRule type="dataBar" id="{CF939D59-16A9-4010-84FE-65C4D02FC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R25:S27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3CC8-036E-4F93-8E92-24D4B5BA3EEC}">
  <sheetPr>
    <pageSetUpPr fitToPage="1"/>
  </sheetPr>
  <dimension ref="A1:BF249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31" style="3" bestFit="1" customWidth="1"/>
    <col min="3" max="3" width="16.28515625" style="3" bestFit="1" customWidth="1"/>
    <col min="4" max="4" width="34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8" width="8.7109375" style="8" customWidth="1"/>
    <col min="59" max="233" width="8.7109375" style="7" customWidth="1"/>
    <col min="234" max="16384" width="9.140625" style="7"/>
  </cols>
  <sheetData>
    <row r="1" spans="1:58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58" s="1" customFormat="1" ht="38.450000000000003" customHeight="1" x14ac:dyDescent="0.25">
      <c r="A2" s="69" t="s">
        <v>4213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8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spans="1:58" s="26" customFormat="1" x14ac:dyDescent="0.25">
      <c r="A4" s="16">
        <v>222087</v>
      </c>
      <c r="B4" s="30" t="s">
        <v>413</v>
      </c>
      <c r="C4" s="20" t="s">
        <v>647</v>
      </c>
      <c r="D4" s="20" t="s">
        <v>722</v>
      </c>
      <c r="E4" s="20" t="s">
        <v>3256</v>
      </c>
      <c r="F4" s="20" t="s">
        <v>3257</v>
      </c>
      <c r="G4" s="21">
        <v>18.8</v>
      </c>
      <c r="H4" s="16">
        <v>26</v>
      </c>
      <c r="I4" s="16">
        <v>1</v>
      </c>
      <c r="J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470</v>
      </c>
      <c r="K4" s="22"/>
      <c r="L4" s="23"/>
      <c r="M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Tabela17468101214223032268161925273133362421012141618242628303840248101214162022262830323436242681012142461012242624426262826268102628623668101214161820222424262830323438404244[[#This Row],[Uso diário]]*2</f>
        <v>37.6</v>
      </c>
      <c r="O4" s="19">
        <f>Tabela17468101214223032268161925273133362421012141618242628303840248101214162022262830323436242681012142461012242624426262826268102628623668101214161820222424262830323438404244[[#This Row],[Total Acumulado]]-P4</f>
        <v>-94</v>
      </c>
      <c r="P4" s="48">
        <f>Tabela17468101214223032268161925273133362421012141618242628303840248101214162022262830323436242681012142461012242624426262826268102628623668101214161820222424262830323438404244[[#This Row],[Uso diário]]*5</f>
        <v>94</v>
      </c>
      <c r="Q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470</v>
      </c>
      <c r="S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" s="25">
        <v>22</v>
      </c>
    </row>
    <row r="5" spans="1:58" s="26" customFormat="1" x14ac:dyDescent="0.25">
      <c r="A5" s="16">
        <v>222663</v>
      </c>
      <c r="B5" s="30" t="s">
        <v>414</v>
      </c>
      <c r="C5" s="20" t="s">
        <v>647</v>
      </c>
      <c r="D5" s="20" t="s">
        <v>720</v>
      </c>
      <c r="E5" s="20" t="s">
        <v>3258</v>
      </c>
      <c r="F5" s="20" t="s">
        <v>3259</v>
      </c>
      <c r="G5" s="21">
        <v>15.4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400.40000000000003</v>
      </c>
      <c r="K5" s="22"/>
      <c r="L5" s="23"/>
      <c r="M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Tabela17468101214223032268161925273133362421012141618242628303840248101214162022262830323436242681012142461012242624426262826268102628623668101214161820222424262830323438404244[[#This Row],[Uso diário]]*2</f>
        <v>30.8</v>
      </c>
      <c r="O5" s="19">
        <f>Tabela17468101214223032268161925273133362421012141618242628303840248101214162022262830323436242681012142461012242624426262826268102628623668101214161820222424262830323438404244[[#This Row],[Total Acumulado]]-P5</f>
        <v>-77</v>
      </c>
      <c r="P5" s="48">
        <f>Tabela17468101214223032268161925273133362421012141618242628303840248101214162022262830323436242681012142461012242624426262826268102628623668101214161820222424262830323438404244[[#This Row],[Uso diário]]*5</f>
        <v>77</v>
      </c>
      <c r="Q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400.40000000000003</v>
      </c>
      <c r="S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" s="25">
        <v>22</v>
      </c>
    </row>
    <row r="6" spans="1:58" s="26" customFormat="1" x14ac:dyDescent="0.25">
      <c r="A6" s="16">
        <v>223133</v>
      </c>
      <c r="B6" s="30" t="s">
        <v>415</v>
      </c>
      <c r="C6" s="20" t="s">
        <v>647</v>
      </c>
      <c r="D6" s="20" t="s">
        <v>720</v>
      </c>
      <c r="E6" s="20" t="s">
        <v>3260</v>
      </c>
      <c r="F6" s="20" t="s">
        <v>3261</v>
      </c>
      <c r="G6" s="21">
        <v>13.4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6" s="22"/>
      <c r="L6" s="23"/>
      <c r="M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Tabela17468101214223032268161925273133362421012141618242628303840248101214162022262830323436242681012142461012242624426262826268102628623668101214161820222424262830323438404244[[#This Row],[Uso diário]]*2</f>
        <v>26.8</v>
      </c>
      <c r="O6" s="19">
        <f>Tabela17468101214223032268161925273133362421012141618242628303840248101214162022262830323436242681012142461012242624426262826268102628623668101214161820222424262830323438404244[[#This Row],[Total Acumulado]]-P6</f>
        <v>-67</v>
      </c>
      <c r="P6" s="48">
        <f>Tabela17468101214223032268161925273133362421012141618242628303840248101214162022262830323436242681012142461012242624426262826268102628623668101214161820222424262830323438404244[[#This Row],[Uso diário]]*5</f>
        <v>67</v>
      </c>
      <c r="Q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" s="25">
        <v>22</v>
      </c>
    </row>
    <row r="7" spans="1:58" s="26" customFormat="1" x14ac:dyDescent="0.25">
      <c r="A7" s="16">
        <v>223409</v>
      </c>
      <c r="B7" s="30" t="s">
        <v>416</v>
      </c>
      <c r="C7" s="20" t="s">
        <v>647</v>
      </c>
      <c r="D7" s="20" t="s">
        <v>721</v>
      </c>
      <c r="E7" s="20" t="s">
        <v>3262</v>
      </c>
      <c r="F7" s="20" t="s">
        <v>3263</v>
      </c>
      <c r="G7" s="21">
        <v>18.8</v>
      </c>
      <c r="H7" s="16">
        <v>26</v>
      </c>
      <c r="I7" s="16">
        <v>1</v>
      </c>
      <c r="J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470</v>
      </c>
      <c r="K7" s="22"/>
      <c r="L7" s="23"/>
      <c r="M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Tabela17468101214223032268161925273133362421012141618242628303840248101214162022262830323436242681012142461012242624426262826268102628623668101214161820222424262830323438404244[[#This Row],[Uso diário]]*2</f>
        <v>37.6</v>
      </c>
      <c r="O7" s="19">
        <f>Tabela17468101214223032268161925273133362421012141618242628303840248101214162022262830323436242681012142461012242624426262826268102628623668101214161820222424262830323438404244[[#This Row],[Total Acumulado]]-P7</f>
        <v>-94</v>
      </c>
      <c r="P7" s="48">
        <f>Tabela17468101214223032268161925273133362421012141618242628303840248101214162022262830323436242681012142461012242624426262826268102628623668101214161820222424262830323438404244[[#This Row],[Uso diário]]*5</f>
        <v>94</v>
      </c>
      <c r="Q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470</v>
      </c>
      <c r="S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" s="25">
        <v>22</v>
      </c>
    </row>
    <row r="8" spans="1:58" s="26" customFormat="1" x14ac:dyDescent="0.25">
      <c r="A8" s="16">
        <v>223566</v>
      </c>
      <c r="B8" s="30" t="s">
        <v>321</v>
      </c>
      <c r="C8" s="20" t="s">
        <v>647</v>
      </c>
      <c r="D8" s="20" t="s">
        <v>723</v>
      </c>
      <c r="E8" s="20" t="s">
        <v>3264</v>
      </c>
      <c r="F8" s="20" t="s">
        <v>3265</v>
      </c>
      <c r="G8" s="21">
        <v>18.8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8" s="22"/>
      <c r="L8" s="23"/>
      <c r="M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Tabela17468101214223032268161925273133362421012141618242628303840248101214162022262830323436242681012142461012242624426262826268102628623668101214161820222424262830323438404244[[#This Row],[Uso diário]]*2</f>
        <v>37.6</v>
      </c>
      <c r="O8" s="19">
        <f>Tabela17468101214223032268161925273133362421012141618242628303840248101214162022262830323436242681012142461012242624426262826268102628623668101214161820222424262830323438404244[[#This Row],[Total Acumulado]]-P8</f>
        <v>-94</v>
      </c>
      <c r="P8" s="48">
        <f>Tabela17468101214223032268161925273133362421012141618242628303840248101214162022262830323436242681012142461012242624426262826268102628623668101214161820222424262830323438404244[[#This Row],[Uso diário]]*5</f>
        <v>94</v>
      </c>
      <c r="Q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" s="25">
        <v>22</v>
      </c>
    </row>
    <row r="9" spans="1:58" s="26" customFormat="1" x14ac:dyDescent="0.25">
      <c r="A9" s="16">
        <v>224395</v>
      </c>
      <c r="B9" s="30" t="s">
        <v>417</v>
      </c>
      <c r="C9" s="20" t="s">
        <v>647</v>
      </c>
      <c r="D9" s="20" t="s">
        <v>720</v>
      </c>
      <c r="E9" s="20" t="s">
        <v>3266</v>
      </c>
      <c r="F9" s="20" t="s">
        <v>3267</v>
      </c>
      <c r="G9" s="21">
        <v>13.4</v>
      </c>
      <c r="H9" s="16">
        <v>26</v>
      </c>
      <c r="I9" s="16"/>
      <c r="J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9" s="22"/>
      <c r="L9" s="23"/>
      <c r="M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Tabela17468101214223032268161925273133362421012141618242628303840248101214162022262830323436242681012142461012242624426262826268102628623668101214161820222424262830323438404244[[#This Row],[Uso diário]]*2</f>
        <v>26.8</v>
      </c>
      <c r="O9" s="19">
        <f>Tabela17468101214223032268161925273133362421012141618242628303840248101214162022262830323436242681012142461012242624426262826268102628623668101214161820222424262830323438404244[[#This Row],[Total Acumulado]]-P9</f>
        <v>-67</v>
      </c>
      <c r="P9" s="48">
        <f>Tabela17468101214223032268161925273133362421012141618242628303840248101214162022262830323436242681012142461012242624426262826268102628623668101214161820222424262830323438404244[[#This Row],[Uso diário]]*5</f>
        <v>67</v>
      </c>
      <c r="Q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" s="25">
        <v>22</v>
      </c>
    </row>
    <row r="10" spans="1:58" s="26" customFormat="1" x14ac:dyDescent="0.25">
      <c r="A10" s="16">
        <v>229731</v>
      </c>
      <c r="B10" s="30" t="s">
        <v>1211</v>
      </c>
      <c r="C10" s="20" t="s">
        <v>647</v>
      </c>
      <c r="D10" s="20" t="s">
        <v>724</v>
      </c>
      <c r="E10" s="20" t="s">
        <v>3268</v>
      </c>
      <c r="F10" s="20" t="s">
        <v>3269</v>
      </c>
      <c r="G10" s="21">
        <v>13.4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0" s="22"/>
      <c r="L10" s="23"/>
      <c r="M1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Tabela17468101214223032268161925273133362421012141618242628303840248101214162022262830323436242681012142461012242624426262826268102628623668101214161820222424262830323438404244[[#This Row],[Uso diário]]*2</f>
        <v>26.8</v>
      </c>
      <c r="O10" s="19">
        <f>Tabela17468101214223032268161925273133362421012141618242628303840248101214162022262830323436242681012142461012242624426262826268102628623668101214161820222424262830323438404244[[#This Row],[Total Acumulado]]-P10</f>
        <v>-67</v>
      </c>
      <c r="P10" s="48">
        <f>Tabela17468101214223032268161925273133362421012141618242628303840248101214162022262830323436242681012142461012242624426262826268102628623668101214161820222424262830323438404244[[#This Row],[Uso diário]]*5</f>
        <v>67</v>
      </c>
      <c r="Q1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" s="25">
        <v>22</v>
      </c>
    </row>
    <row r="11" spans="1:58" s="26" customFormat="1" x14ac:dyDescent="0.25">
      <c r="A11" s="16">
        <v>230091</v>
      </c>
      <c r="B11" s="30" t="s">
        <v>1486</v>
      </c>
      <c r="C11" s="20" t="s">
        <v>647</v>
      </c>
      <c r="D11" s="20" t="s">
        <v>721</v>
      </c>
      <c r="E11" s="20" t="s">
        <v>3270</v>
      </c>
      <c r="F11" s="20" t="s">
        <v>3271</v>
      </c>
      <c r="G11" s="21">
        <v>13.4</v>
      </c>
      <c r="H11" s="16">
        <v>26</v>
      </c>
      <c r="I11" s="16"/>
      <c r="J1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1" s="22"/>
      <c r="L11" s="23"/>
      <c r="M1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Tabela17468101214223032268161925273133362421012141618242628303840248101214162022262830323436242681012142461012242624426262826268102628623668101214161820222424262830323438404244[[#This Row],[Uso diário]]*2</f>
        <v>26.8</v>
      </c>
      <c r="O11" s="19">
        <f>Tabela17468101214223032268161925273133362421012141618242628303840248101214162022262830323436242681012142461012242624426262826268102628623668101214161820222424262830323438404244[[#This Row],[Total Acumulado]]-P11</f>
        <v>-67</v>
      </c>
      <c r="P11" s="48">
        <f>Tabela17468101214223032268161925273133362421012141618242628303840248101214162022262830323436242681012142461012242624426262826268102628623668101214161820222424262830323438404244[[#This Row],[Uso diário]]*5</f>
        <v>67</v>
      </c>
      <c r="Q1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" s="25">
        <v>22</v>
      </c>
    </row>
    <row r="12" spans="1:58" s="26" customFormat="1" x14ac:dyDescent="0.25">
      <c r="A12" s="16">
        <v>230944</v>
      </c>
      <c r="B12" s="30" t="s">
        <v>418</v>
      </c>
      <c r="C12" s="20" t="s">
        <v>647</v>
      </c>
      <c r="D12" s="20" t="s">
        <v>721</v>
      </c>
      <c r="E12" s="20" t="s">
        <v>3272</v>
      </c>
      <c r="F12" s="20" t="s">
        <v>3273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" s="19">
        <f>Tabela17468101214223032268161925273133362421012141618242628303840248101214162022262830323436242681012142461012242624426262826268102628623668101214161820222424262830323438404244[[#This Row],[Uso diário]]*2</f>
        <v>26.8</v>
      </c>
      <c r="O12" s="19">
        <f>Tabela17468101214223032268161925273133362421012141618242628303840248101214162022262830323436242681012142461012242624426262826268102628623668101214161820222424262830323438404244[[#This Row],[Total Acumulado]]-P12</f>
        <v>-67</v>
      </c>
      <c r="P12" s="48">
        <f>Tabela17468101214223032268161925273133362421012141618242628303840248101214162022262830323436242681012142461012242624426262826268102628623668101214161820222424262830323438404244[[#This Row],[Uso diário]]*5</f>
        <v>67</v>
      </c>
      <c r="Q1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" s="25">
        <v>22</v>
      </c>
    </row>
    <row r="13" spans="1:58" s="26" customFormat="1" x14ac:dyDescent="0.25">
      <c r="A13" s="16">
        <v>230989</v>
      </c>
      <c r="B13" s="30" t="s">
        <v>1487</v>
      </c>
      <c r="C13" s="20" t="s">
        <v>647</v>
      </c>
      <c r="D13" s="20" t="s">
        <v>724</v>
      </c>
      <c r="E13" s="20" t="s">
        <v>3274</v>
      </c>
      <c r="F13" s="20" t="s">
        <v>3275</v>
      </c>
      <c r="G13" s="21">
        <v>13.4</v>
      </c>
      <c r="H13" s="16">
        <v>26</v>
      </c>
      <c r="I13" s="16"/>
      <c r="J1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3" s="22"/>
      <c r="L13" s="23"/>
      <c r="M1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Tabela17468101214223032268161925273133362421012141618242628303840248101214162022262830323436242681012142461012242624426262826268102628623668101214161820222424262830323438404244[[#This Row],[Uso diário]]*2</f>
        <v>26.8</v>
      </c>
      <c r="O13" s="19">
        <f>Tabela17468101214223032268161925273133362421012141618242628303840248101214162022262830323436242681012142461012242624426262826268102628623668101214161820222424262830323438404244[[#This Row],[Total Acumulado]]-P13</f>
        <v>-67</v>
      </c>
      <c r="P13" s="48">
        <f>Tabela17468101214223032268161925273133362421012141618242628303840248101214162022262830323436242681012142461012242624426262826268102628623668101214161820222424262830323438404244[[#This Row],[Uso diário]]*5</f>
        <v>67</v>
      </c>
      <c r="Q1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" s="25">
        <v>22</v>
      </c>
    </row>
    <row r="14" spans="1:58" s="26" customFormat="1" x14ac:dyDescent="0.25">
      <c r="A14" s="16">
        <v>231198</v>
      </c>
      <c r="B14" s="30" t="s">
        <v>771</v>
      </c>
      <c r="C14" s="20" t="s">
        <v>647</v>
      </c>
      <c r="D14" s="20" t="s">
        <v>720</v>
      </c>
      <c r="E14" s="20" t="s">
        <v>3276</v>
      </c>
      <c r="F14" s="20" t="s">
        <v>3277</v>
      </c>
      <c r="G14" s="21">
        <v>13.4</v>
      </c>
      <c r="H14" s="16">
        <v>26</v>
      </c>
      <c r="I14" s="16"/>
      <c r="J1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4" s="22"/>
      <c r="L14" s="23"/>
      <c r="M1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Tabela17468101214223032268161925273133362421012141618242628303840248101214162022262830323436242681012142461012242624426262826268102628623668101214161820222424262830323438404244[[#This Row],[Uso diário]]*2</f>
        <v>26.8</v>
      </c>
      <c r="O14" s="19">
        <f>Tabela17468101214223032268161925273133362421012141618242628303840248101214162022262830323436242681012142461012242624426262826268102628623668101214161820222424262830323438404244[[#This Row],[Total Acumulado]]-P14</f>
        <v>-67</v>
      </c>
      <c r="P14" s="48">
        <f>Tabela17468101214223032268161925273133362421012141618242628303840248101214162022262830323436242681012142461012242624426262826268102628623668101214161820222424262830323438404244[[#This Row],[Uso diário]]*5</f>
        <v>67</v>
      </c>
      <c r="Q1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" s="25">
        <v>22</v>
      </c>
    </row>
    <row r="15" spans="1:58" s="26" customFormat="1" x14ac:dyDescent="0.25">
      <c r="A15" s="16">
        <v>231614</v>
      </c>
      <c r="B15" s="30" t="s">
        <v>842</v>
      </c>
      <c r="C15" s="20" t="s">
        <v>647</v>
      </c>
      <c r="D15" s="20" t="s">
        <v>721</v>
      </c>
      <c r="E15" s="20" t="s">
        <v>3278</v>
      </c>
      <c r="F15" s="20" t="s">
        <v>3279</v>
      </c>
      <c r="G15" s="21">
        <v>13.4</v>
      </c>
      <c r="H15" s="16">
        <v>26</v>
      </c>
      <c r="I15" s="16"/>
      <c r="J1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" s="22"/>
      <c r="L15" s="23"/>
      <c r="M1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" s="19">
        <f>Tabela17468101214223032268161925273133362421012141618242628303840248101214162022262830323436242681012142461012242624426262826268102628623668101214161820222424262830323438404244[[#This Row],[Uso diário]]*2</f>
        <v>26.8</v>
      </c>
      <c r="O15" s="19">
        <f>Tabela17468101214223032268161925273133362421012141618242628303840248101214162022262830323436242681012142461012242624426262826268102628623668101214161820222424262830323438404244[[#This Row],[Total Acumulado]]-P15</f>
        <v>-67</v>
      </c>
      <c r="P15" s="48">
        <f>Tabela17468101214223032268161925273133362421012141618242628303840248101214162022262830323436242681012142461012242624426262826268102628623668101214161820222424262830323438404244[[#This Row],[Uso diário]]*5</f>
        <v>67</v>
      </c>
      <c r="Q1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" s="25">
        <v>22</v>
      </c>
    </row>
    <row r="16" spans="1:58" s="26" customFormat="1" x14ac:dyDescent="0.25">
      <c r="A16" s="16">
        <v>231775</v>
      </c>
      <c r="B16" s="30" t="s">
        <v>843</v>
      </c>
      <c r="C16" s="20" t="s">
        <v>647</v>
      </c>
      <c r="D16" s="20" t="s">
        <v>721</v>
      </c>
      <c r="E16" s="20" t="s">
        <v>3280</v>
      </c>
      <c r="F16" s="20" t="s">
        <v>3281</v>
      </c>
      <c r="G16" s="21">
        <v>13.4</v>
      </c>
      <c r="H16" s="16">
        <v>26</v>
      </c>
      <c r="I16" s="16"/>
      <c r="J1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" s="22"/>
      <c r="L16" s="23"/>
      <c r="M1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" s="19">
        <f>Tabela17468101214223032268161925273133362421012141618242628303840248101214162022262830323436242681012142461012242624426262826268102628623668101214161820222424262830323438404244[[#This Row],[Uso diário]]*2</f>
        <v>26.8</v>
      </c>
      <c r="O16" s="19">
        <f>Tabela17468101214223032268161925273133362421012141618242628303840248101214162022262830323436242681012142461012242624426262826268102628623668101214161820222424262830323438404244[[#This Row],[Total Acumulado]]-P16</f>
        <v>-67</v>
      </c>
      <c r="P16" s="48">
        <f>Tabela17468101214223032268161925273133362421012141618242628303840248101214162022262830323436242681012142461012242624426262826268102628623668101214161820222424262830323438404244[[#This Row],[Uso diário]]*5</f>
        <v>67</v>
      </c>
      <c r="Q1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" s="25">
        <v>22</v>
      </c>
    </row>
    <row r="17" spans="1:20" s="26" customFormat="1" x14ac:dyDescent="0.25">
      <c r="A17" s="16">
        <v>234152</v>
      </c>
      <c r="B17" s="30" t="s">
        <v>1212</v>
      </c>
      <c r="C17" s="20" t="s">
        <v>647</v>
      </c>
      <c r="D17" s="20" t="s">
        <v>721</v>
      </c>
      <c r="E17" s="20" t="s">
        <v>3282</v>
      </c>
      <c r="F17" s="20" t="s">
        <v>3283</v>
      </c>
      <c r="G17" s="21">
        <v>13.4</v>
      </c>
      <c r="H17" s="16">
        <v>26</v>
      </c>
      <c r="I17" s="16"/>
      <c r="J1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" s="22"/>
      <c r="L17" s="23"/>
      <c r="M1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" s="19">
        <f>Tabela17468101214223032268161925273133362421012141618242628303840248101214162022262830323436242681012142461012242624426262826268102628623668101214161820222424262830323438404244[[#This Row],[Uso diário]]*2</f>
        <v>26.8</v>
      </c>
      <c r="O17" s="19">
        <f>Tabela17468101214223032268161925273133362421012141618242628303840248101214162022262830323436242681012142461012242624426262826268102628623668101214161820222424262830323438404244[[#This Row],[Total Acumulado]]-P17</f>
        <v>-67</v>
      </c>
      <c r="P17" s="48">
        <f>Tabela17468101214223032268161925273133362421012141618242628303840248101214162022262830323436242681012142461012242624426262826268102628623668101214161820222424262830323438404244[[#This Row],[Uso diário]]*5</f>
        <v>67</v>
      </c>
      <c r="Q1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" s="25">
        <v>22</v>
      </c>
    </row>
    <row r="18" spans="1:20" s="26" customFormat="1" x14ac:dyDescent="0.25">
      <c r="A18" s="16">
        <v>234587</v>
      </c>
      <c r="B18" s="30" t="s">
        <v>1325</v>
      </c>
      <c r="C18" s="20" t="s">
        <v>647</v>
      </c>
      <c r="D18" s="20" t="s">
        <v>721</v>
      </c>
      <c r="E18" s="20" t="s">
        <v>3284</v>
      </c>
      <c r="F18" s="20" t="s">
        <v>3285</v>
      </c>
      <c r="G18" s="21">
        <v>13.4</v>
      </c>
      <c r="H18" s="16">
        <v>26</v>
      </c>
      <c r="I18" s="16"/>
      <c r="J1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" s="22"/>
      <c r="L18" s="23"/>
      <c r="M1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" s="19">
        <f>Tabela17468101214223032268161925273133362421012141618242628303840248101214162022262830323436242681012142461012242624426262826268102628623668101214161820222424262830323438404244[[#This Row],[Uso diário]]*2</f>
        <v>26.8</v>
      </c>
      <c r="O18" s="19">
        <f>Tabela17468101214223032268161925273133362421012141618242628303840248101214162022262830323436242681012142461012242624426262826268102628623668101214161820222424262830323438404244[[#This Row],[Total Acumulado]]-P18</f>
        <v>-67</v>
      </c>
      <c r="P18" s="48">
        <f>Tabela17468101214223032268161925273133362421012141618242628303840248101214162022262830323436242681012142461012242624426262826268102628623668101214161820222424262830323438404244[[#This Row],[Uso diário]]*5</f>
        <v>67</v>
      </c>
      <c r="Q1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" s="25">
        <v>22</v>
      </c>
    </row>
    <row r="19" spans="1:20" s="26" customFormat="1" x14ac:dyDescent="0.25">
      <c r="A19" s="16">
        <v>222311</v>
      </c>
      <c r="B19" s="30" t="s">
        <v>419</v>
      </c>
      <c r="C19" s="20" t="s">
        <v>658</v>
      </c>
      <c r="D19" s="20" t="s">
        <v>752</v>
      </c>
      <c r="E19" s="20" t="s">
        <v>3286</v>
      </c>
      <c r="F19" s="20" t="s">
        <v>3287</v>
      </c>
      <c r="G19" s="21">
        <v>13.7</v>
      </c>
      <c r="H19" s="16">
        <v>26</v>
      </c>
      <c r="I19" s="16"/>
      <c r="J1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356.2</v>
      </c>
      <c r="K19" s="22"/>
      <c r="L19" s="23"/>
      <c r="M1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" s="19">
        <f>Tabela17468101214223032268161925273133362421012141618242628303840248101214162022262830323436242681012142461012242624426262826268102628623668101214161820222424262830323438404244[[#This Row],[Uso diário]]*2</f>
        <v>27.4</v>
      </c>
      <c r="O19" s="19">
        <f>Tabela17468101214223032268161925273133362421012141618242628303840248101214162022262830323436242681012142461012242624426262826268102628623668101214161820222424262830323438404244[[#This Row],[Total Acumulado]]-P19</f>
        <v>-68.5</v>
      </c>
      <c r="P19" s="48">
        <f>Tabela17468101214223032268161925273133362421012141618242628303840248101214162022262830323436242681012142461012242624426262826268102628623668101214161820222424262830323438404244[[#This Row],[Uso diário]]*5</f>
        <v>68.5</v>
      </c>
      <c r="Q1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356.2</v>
      </c>
      <c r="S1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" s="25">
        <v>22</v>
      </c>
    </row>
    <row r="20" spans="1:20" s="26" customFormat="1" x14ac:dyDescent="0.25">
      <c r="A20" s="16">
        <v>220673</v>
      </c>
      <c r="B20" s="30" t="s">
        <v>420</v>
      </c>
      <c r="C20" s="20" t="s">
        <v>630</v>
      </c>
      <c r="D20" s="20" t="s">
        <v>736</v>
      </c>
      <c r="E20" s="20" t="s">
        <v>3288</v>
      </c>
      <c r="F20" s="20" t="s">
        <v>3289</v>
      </c>
      <c r="G20" s="21">
        <v>18.8</v>
      </c>
      <c r="H20" s="16">
        <v>22</v>
      </c>
      <c r="I20" s="16">
        <v>1</v>
      </c>
      <c r="J2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394.8</v>
      </c>
      <c r="K20" s="22"/>
      <c r="L20" s="23">
        <v>219.45</v>
      </c>
      <c r="M20" s="23">
        <f>SUM(Tabela17468101214223032268161925273133362421012141618242628303840248101214162022262830323436242681012142461012242624426262826268102628623668101214161820222424262830323438404244[[#This Row],[Saldo no cartão]:[Recarga Pendente]])</f>
        <v>219.45</v>
      </c>
      <c r="N20" s="19">
        <f>Tabela17468101214223032268161925273133362421012141618242628303840248101214162022262830323436242681012142461012242624426262826268102628623668101214161820222424262830323438404244[[#This Row],[Uso diário]]*2</f>
        <v>37.6</v>
      </c>
      <c r="O20" s="19">
        <f>Tabela17468101214223032268161925273133362421012141618242628303840248101214162022262830323436242681012142461012242624426262826268102628623668101214161820222424262830323438404244[[#This Row],[Total Acumulado]]-P20</f>
        <v>125.44999999999999</v>
      </c>
      <c r="P20" s="48">
        <f>Tabela17468101214223032268161925273133362421012141618242628303840248101214162022262830323436242681012142461012242624426262826268102628623668101214161820222424262830323438404244[[#This Row],[Uso diário]]*5</f>
        <v>94</v>
      </c>
      <c r="Q2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125.44999999999999</v>
      </c>
      <c r="R2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269.35000000000002</v>
      </c>
      <c r="S20" s="18" t="s">
        <v>11</v>
      </c>
      <c r="T20" s="25">
        <v>22</v>
      </c>
    </row>
    <row r="21" spans="1:20" s="26" customFormat="1" x14ac:dyDescent="0.25">
      <c r="A21" s="16">
        <v>213598</v>
      </c>
      <c r="B21" s="30" t="s">
        <v>421</v>
      </c>
      <c r="C21" s="20" t="s">
        <v>648</v>
      </c>
      <c r="D21" s="20" t="s">
        <v>737</v>
      </c>
      <c r="E21" s="20" t="s">
        <v>3290</v>
      </c>
      <c r="F21" s="20" t="s">
        <v>3291</v>
      </c>
      <c r="G21" s="21">
        <v>14.2</v>
      </c>
      <c r="H21" s="16">
        <v>26</v>
      </c>
      <c r="I21" s="16"/>
      <c r="J2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369.2</v>
      </c>
      <c r="K21" s="22"/>
      <c r="L21" s="23"/>
      <c r="M2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" s="19">
        <f>Tabela17468101214223032268161925273133362421012141618242628303840248101214162022262830323436242681012142461012242624426262826268102628623668101214161820222424262830323438404244[[#This Row],[Uso diário]]*2</f>
        <v>28.4</v>
      </c>
      <c r="O21" s="19">
        <f>Tabela17468101214223032268161925273133362421012141618242628303840248101214162022262830323436242681012142461012242624426262826268102628623668101214161820222424262830323438404244[[#This Row],[Total Acumulado]]-P21</f>
        <v>-71</v>
      </c>
      <c r="P21" s="48">
        <f>Tabela17468101214223032268161925273133362421012141618242628303840248101214162022262830323436242681012142461012242624426262826268102628623668101214161820222424262830323438404244[[#This Row],[Uso diário]]*5</f>
        <v>71</v>
      </c>
      <c r="Q2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369.2</v>
      </c>
      <c r="S2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" s="25">
        <v>22</v>
      </c>
    </row>
    <row r="22" spans="1:20" s="26" customFormat="1" x14ac:dyDescent="0.25">
      <c r="A22" s="16">
        <v>222511</v>
      </c>
      <c r="B22" s="30" t="s">
        <v>440</v>
      </c>
      <c r="C22" s="20" t="s">
        <v>648</v>
      </c>
      <c r="D22" s="20" t="s">
        <v>718</v>
      </c>
      <c r="E22" s="20" t="s">
        <v>3292</v>
      </c>
      <c r="F22" s="20" t="s">
        <v>3293</v>
      </c>
      <c r="G22" s="21">
        <v>13.4</v>
      </c>
      <c r="H22" s="16">
        <v>26</v>
      </c>
      <c r="I22" s="16">
        <v>1</v>
      </c>
      <c r="J2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22" s="22"/>
      <c r="L22" s="23"/>
      <c r="M2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2" s="19">
        <f>Tabela17468101214223032268161925273133362421012141618242628303840248101214162022262830323436242681012142461012242624426262826268102628623668101214161820222424262830323438404244[[#This Row],[Uso diário]]*2</f>
        <v>26.8</v>
      </c>
      <c r="O22" s="19">
        <f>Tabela17468101214223032268161925273133362421012141618242628303840248101214162022262830323436242681012142461012242624426262826268102628623668101214161820222424262830323438404244[[#This Row],[Total Acumulado]]-P22</f>
        <v>-67</v>
      </c>
      <c r="P22" s="48">
        <f>Tabela17468101214223032268161925273133362421012141618242628303840248101214162022262830323436242681012142461012242624426262826268102628623668101214161820222424262830323438404244[[#This Row],[Uso diário]]*5</f>
        <v>67</v>
      </c>
      <c r="Q2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2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2" s="25">
        <v>22</v>
      </c>
    </row>
    <row r="23" spans="1:20" s="26" customFormat="1" x14ac:dyDescent="0.25">
      <c r="A23" s="16">
        <v>225664</v>
      </c>
      <c r="B23" s="30" t="s">
        <v>1488</v>
      </c>
      <c r="C23" s="20" t="s">
        <v>648</v>
      </c>
      <c r="D23" s="20" t="s">
        <v>718</v>
      </c>
      <c r="E23" s="20" t="s">
        <v>3294</v>
      </c>
      <c r="F23" s="20" t="s">
        <v>3295</v>
      </c>
      <c r="G23" s="21">
        <v>13.4</v>
      </c>
      <c r="H23" s="16">
        <v>26</v>
      </c>
      <c r="I23" s="16"/>
      <c r="J2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3" s="22"/>
      <c r="L23" s="23"/>
      <c r="M2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3" s="19">
        <f>Tabela17468101214223032268161925273133362421012141618242628303840248101214162022262830323436242681012142461012242624426262826268102628623668101214161820222424262830323438404244[[#This Row],[Uso diário]]*2</f>
        <v>26.8</v>
      </c>
      <c r="O23" s="19">
        <f>Tabela17468101214223032268161925273133362421012141618242628303840248101214162022262830323436242681012142461012242624426262826268102628623668101214161820222424262830323438404244[[#This Row],[Total Acumulado]]-P23</f>
        <v>-67</v>
      </c>
      <c r="P23" s="48">
        <f>Tabela17468101214223032268161925273133362421012141618242628303840248101214162022262830323436242681012142461012242624426262826268102628623668101214161820222424262830323438404244[[#This Row],[Uso diário]]*5</f>
        <v>67</v>
      </c>
      <c r="Q2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3" s="25">
        <v>22</v>
      </c>
    </row>
    <row r="24" spans="1:20" s="26" customFormat="1" x14ac:dyDescent="0.25">
      <c r="A24" s="16">
        <v>229502</v>
      </c>
      <c r="B24" s="30" t="s">
        <v>422</v>
      </c>
      <c r="C24" s="20" t="s">
        <v>648</v>
      </c>
      <c r="D24" s="20" t="s">
        <v>718</v>
      </c>
      <c r="E24" s="20" t="s">
        <v>3296</v>
      </c>
      <c r="F24" s="20" t="s">
        <v>3297</v>
      </c>
      <c r="G24" s="21">
        <v>13.4</v>
      </c>
      <c r="H24" s="16">
        <v>26</v>
      </c>
      <c r="I24" s="16"/>
      <c r="J2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4" s="22"/>
      <c r="L24" s="23"/>
      <c r="M2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4" s="19">
        <f>Tabela17468101214223032268161925273133362421012141618242628303840248101214162022262830323436242681012142461012242624426262826268102628623668101214161820222424262830323438404244[[#This Row],[Uso diário]]*2</f>
        <v>26.8</v>
      </c>
      <c r="O24" s="19">
        <f>Tabela17468101214223032268161925273133362421012141618242628303840248101214162022262830323436242681012142461012242624426262826268102628623668101214161820222424262830323438404244[[#This Row],[Total Acumulado]]-P24</f>
        <v>-67</v>
      </c>
      <c r="P24" s="48">
        <f>Tabela17468101214223032268161925273133362421012141618242628303840248101214162022262830323436242681012142461012242624426262826268102628623668101214161820222424262830323438404244[[#This Row],[Uso diário]]*5</f>
        <v>67</v>
      </c>
      <c r="Q2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4" s="25">
        <v>22</v>
      </c>
    </row>
    <row r="25" spans="1:20" s="26" customFormat="1" x14ac:dyDescent="0.25">
      <c r="A25" s="16">
        <v>231826</v>
      </c>
      <c r="B25" s="30" t="s">
        <v>844</v>
      </c>
      <c r="C25" s="20" t="s">
        <v>648</v>
      </c>
      <c r="D25" s="20" t="s">
        <v>718</v>
      </c>
      <c r="E25" s="20" t="s">
        <v>3298</v>
      </c>
      <c r="F25" s="20" t="s">
        <v>3299</v>
      </c>
      <c r="G25" s="21">
        <v>13.4</v>
      </c>
      <c r="H25" s="16">
        <v>26</v>
      </c>
      <c r="I25" s="16">
        <v>1</v>
      </c>
      <c r="J2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25" s="22"/>
      <c r="L25" s="23"/>
      <c r="M2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5" s="19">
        <f>Tabela17468101214223032268161925273133362421012141618242628303840248101214162022262830323436242681012142461012242624426262826268102628623668101214161820222424262830323438404244[[#This Row],[Uso diário]]*2</f>
        <v>26.8</v>
      </c>
      <c r="O25" s="19">
        <f>Tabela17468101214223032268161925273133362421012141618242628303840248101214162022262830323436242681012142461012242624426262826268102628623668101214161820222424262830323438404244[[#This Row],[Total Acumulado]]-P25</f>
        <v>-67</v>
      </c>
      <c r="P25" s="48">
        <f>Tabela17468101214223032268161925273133362421012141618242628303840248101214162022262830323436242681012142461012242624426262826268102628623668101214161820222424262830323438404244[[#This Row],[Uso diário]]*5</f>
        <v>67</v>
      </c>
      <c r="Q2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2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5" s="25">
        <v>22</v>
      </c>
    </row>
    <row r="26" spans="1:20" s="26" customFormat="1" x14ac:dyDescent="0.25">
      <c r="A26" s="16">
        <v>234119</v>
      </c>
      <c r="B26" s="30" t="s">
        <v>1213</v>
      </c>
      <c r="C26" s="20" t="s">
        <v>648</v>
      </c>
      <c r="D26" s="20" t="s">
        <v>718</v>
      </c>
      <c r="E26" s="20" t="s">
        <v>3300</v>
      </c>
      <c r="F26" s="20" t="s">
        <v>3301</v>
      </c>
      <c r="G26" s="21">
        <v>13.4</v>
      </c>
      <c r="H26" s="16">
        <v>26</v>
      </c>
      <c r="I26" s="16"/>
      <c r="J2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6" s="22"/>
      <c r="L26" s="23"/>
      <c r="M2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6" s="19">
        <f>Tabela17468101214223032268161925273133362421012141618242628303840248101214162022262830323436242681012142461012242624426262826268102628623668101214161820222424262830323438404244[[#This Row],[Uso diário]]*2</f>
        <v>26.8</v>
      </c>
      <c r="O26" s="19">
        <f>Tabela17468101214223032268161925273133362421012141618242628303840248101214162022262830323436242681012142461012242624426262826268102628623668101214161820222424262830323438404244[[#This Row],[Total Acumulado]]-P26</f>
        <v>-67</v>
      </c>
      <c r="P26" s="48">
        <f>Tabela17468101214223032268161925273133362421012141618242628303840248101214162022262830323436242681012142461012242624426262826268102628623668101214161820222424262830323438404244[[#This Row],[Uso diário]]*5</f>
        <v>67</v>
      </c>
      <c r="Q2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6" s="25">
        <v>22</v>
      </c>
    </row>
    <row r="27" spans="1:20" s="26" customFormat="1" x14ac:dyDescent="0.25">
      <c r="A27" s="16">
        <v>234996</v>
      </c>
      <c r="B27" s="30" t="s">
        <v>1489</v>
      </c>
      <c r="C27" s="20" t="s">
        <v>648</v>
      </c>
      <c r="D27" s="20" t="s">
        <v>718</v>
      </c>
      <c r="E27" s="20" t="s">
        <v>3302</v>
      </c>
      <c r="F27" s="20" t="s">
        <v>3303</v>
      </c>
      <c r="G27" s="21">
        <v>13.4</v>
      </c>
      <c r="H27" s="16">
        <v>26</v>
      </c>
      <c r="I27" s="16"/>
      <c r="J2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7" s="22"/>
      <c r="L27" s="23">
        <v>11.9</v>
      </c>
      <c r="M27" s="23">
        <f>SUM(Tabela17468101214223032268161925273133362421012141618242628303840248101214162022262830323436242681012142461012242624426262826268102628623668101214161820222424262830323438404244[[#This Row],[Saldo no cartão]:[Recarga Pendente]])</f>
        <v>11.9</v>
      </c>
      <c r="N27" s="19">
        <f>Tabela17468101214223032268161925273133362421012141618242628303840248101214162022262830323436242681012142461012242624426262826268102628623668101214161820222424262830323438404244[[#This Row],[Uso diário]]*2</f>
        <v>26.8</v>
      </c>
      <c r="O27" s="19">
        <f>Tabela17468101214223032268161925273133362421012141618242628303840248101214162022262830323436242681012142461012242624426262826268102628623668101214161820222424262830323438404244[[#This Row],[Total Acumulado]]-P27</f>
        <v>-55.1</v>
      </c>
      <c r="P27" s="48">
        <f>Tabela17468101214223032268161925273133362421012141618242628303840248101214162022262830323436242681012142461012242624426262826268102628623668101214161820222424262830323438404244[[#This Row],[Uso diário]]*5</f>
        <v>67</v>
      </c>
      <c r="Q2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7" s="25">
        <v>22</v>
      </c>
    </row>
    <row r="28" spans="1:20" s="26" customFormat="1" x14ac:dyDescent="0.25">
      <c r="A28" s="16">
        <v>221013</v>
      </c>
      <c r="B28" s="30" t="s">
        <v>434</v>
      </c>
      <c r="C28" s="20" t="s">
        <v>649</v>
      </c>
      <c r="D28" s="20" t="s">
        <v>725</v>
      </c>
      <c r="E28" s="20" t="s">
        <v>3304</v>
      </c>
      <c r="F28" s="20" t="s">
        <v>3305</v>
      </c>
      <c r="G28" s="21">
        <v>14.2</v>
      </c>
      <c r="H28" s="16">
        <v>26</v>
      </c>
      <c r="I28" s="16"/>
      <c r="J2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369.2</v>
      </c>
      <c r="K28" s="22"/>
      <c r="L28" s="23"/>
      <c r="M2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8" s="19">
        <f>Tabela17468101214223032268161925273133362421012141618242628303840248101214162022262830323436242681012142461012242624426262826268102628623668101214161820222424262830323438404244[[#This Row],[Uso diário]]*2</f>
        <v>28.4</v>
      </c>
      <c r="O28" s="19">
        <f>Tabela17468101214223032268161925273133362421012141618242628303840248101214162022262830323436242681012142461012242624426262826268102628623668101214161820222424262830323438404244[[#This Row],[Total Acumulado]]-P28</f>
        <v>-71</v>
      </c>
      <c r="P28" s="48">
        <f>Tabela17468101214223032268161925273133362421012141618242628303840248101214162022262830323436242681012142461012242624426262826268102628623668101214161820222424262830323438404244[[#This Row],[Uso diário]]*5</f>
        <v>71</v>
      </c>
      <c r="Q2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369.2</v>
      </c>
      <c r="S2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8" s="25">
        <v>22</v>
      </c>
    </row>
    <row r="29" spans="1:20" s="26" customFormat="1" x14ac:dyDescent="0.25">
      <c r="A29" s="16">
        <v>226325</v>
      </c>
      <c r="B29" s="30" t="s">
        <v>423</v>
      </c>
      <c r="C29" s="20" t="s">
        <v>649</v>
      </c>
      <c r="D29" s="20" t="s">
        <v>725</v>
      </c>
      <c r="E29" s="20" t="s">
        <v>3306</v>
      </c>
      <c r="F29" s="20" t="s">
        <v>3307</v>
      </c>
      <c r="G29" s="21">
        <v>18.8</v>
      </c>
      <c r="H29" s="16">
        <v>26</v>
      </c>
      <c r="I29" s="16"/>
      <c r="J2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29" s="22"/>
      <c r="L29" s="23"/>
      <c r="M2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9" s="19">
        <f>Tabela17468101214223032268161925273133362421012141618242628303840248101214162022262830323436242681012142461012242624426262826268102628623668101214161820222424262830323438404244[[#This Row],[Uso diário]]*2</f>
        <v>37.6</v>
      </c>
      <c r="O29" s="19">
        <f>Tabela17468101214223032268161925273133362421012141618242628303840248101214162022262830323436242681012142461012242624426262826268102628623668101214161820222424262830323438404244[[#This Row],[Total Acumulado]]-P29</f>
        <v>-94</v>
      </c>
      <c r="P29" s="48">
        <f>Tabela17468101214223032268161925273133362421012141618242628303840248101214162022262830323436242681012142461012242624426262826268102628623668101214161820222424262830323438404244[[#This Row],[Uso diário]]*5</f>
        <v>94</v>
      </c>
      <c r="Q2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2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9" s="25">
        <v>22</v>
      </c>
    </row>
    <row r="30" spans="1:20" s="26" customFormat="1" x14ac:dyDescent="0.25">
      <c r="A30" s="16">
        <v>226336</v>
      </c>
      <c r="B30" s="30" t="s">
        <v>424</v>
      </c>
      <c r="C30" s="20" t="s">
        <v>649</v>
      </c>
      <c r="D30" s="20" t="s">
        <v>725</v>
      </c>
      <c r="E30" s="20" t="s">
        <v>3308</v>
      </c>
      <c r="F30" s="20" t="s">
        <v>3309</v>
      </c>
      <c r="G30" s="21">
        <v>18.8</v>
      </c>
      <c r="H30" s="16">
        <v>26</v>
      </c>
      <c r="I30" s="16"/>
      <c r="J3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30" s="22"/>
      <c r="L30" s="23"/>
      <c r="M3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0" s="19">
        <f>Tabela17468101214223032268161925273133362421012141618242628303840248101214162022262830323436242681012142461012242624426262826268102628623668101214161820222424262830323438404244[[#This Row],[Uso diário]]*2</f>
        <v>37.6</v>
      </c>
      <c r="O30" s="19">
        <f>Tabela17468101214223032268161925273133362421012141618242628303840248101214162022262830323436242681012142461012242624426262826268102628623668101214161820222424262830323438404244[[#This Row],[Total Acumulado]]-P30</f>
        <v>-94</v>
      </c>
      <c r="P30" s="48">
        <f>Tabela17468101214223032268161925273133362421012141618242628303840248101214162022262830323436242681012142461012242624426262826268102628623668101214161820222424262830323438404244[[#This Row],[Uso diário]]*5</f>
        <v>94</v>
      </c>
      <c r="Q3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3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0" s="25">
        <v>22</v>
      </c>
    </row>
    <row r="31" spans="1:20" s="26" customFormat="1" x14ac:dyDescent="0.25">
      <c r="A31" s="16">
        <v>226370</v>
      </c>
      <c r="B31" s="30" t="s">
        <v>426</v>
      </c>
      <c r="C31" s="20" t="s">
        <v>649</v>
      </c>
      <c r="D31" s="20" t="s">
        <v>725</v>
      </c>
      <c r="E31" s="20" t="s">
        <v>3310</v>
      </c>
      <c r="F31" s="20" t="s">
        <v>3311</v>
      </c>
      <c r="G31" s="21">
        <v>13.4</v>
      </c>
      <c r="H31" s="16">
        <v>26</v>
      </c>
      <c r="I31" s="16"/>
      <c r="J3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31" s="22"/>
      <c r="L31" s="23">
        <v>164.5</v>
      </c>
      <c r="M31" s="23">
        <f>SUM(Tabela17468101214223032268161925273133362421012141618242628303840248101214162022262830323436242681012142461012242624426262826268102628623668101214161820222424262830323438404244[[#This Row],[Saldo no cartão]:[Recarga Pendente]])</f>
        <v>164.5</v>
      </c>
      <c r="N31" s="19">
        <f>Tabela17468101214223032268161925273133362421012141618242628303840248101214162022262830323436242681012142461012242624426262826268102628623668101214161820222424262830323438404244[[#This Row],[Uso diário]]*2</f>
        <v>26.8</v>
      </c>
      <c r="O31" s="19">
        <f>Tabela17468101214223032268161925273133362421012141618242628303840248101214162022262830323436242681012142461012242624426262826268102628623668101214161820222424262830323438404244[[#This Row],[Total Acumulado]]-P31</f>
        <v>97.5</v>
      </c>
      <c r="P31" s="48">
        <f>Tabela17468101214223032268161925273133362421012141618242628303840248101214162022262830323436242681012142461012242624426262826268102628623668101214161820222424262830323438404244[[#This Row],[Uso diário]]*5</f>
        <v>67</v>
      </c>
      <c r="Q3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97.5</v>
      </c>
      <c r="R3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250.90000000000003</v>
      </c>
      <c r="S31" s="18" t="s">
        <v>11</v>
      </c>
      <c r="T31" s="25">
        <v>22</v>
      </c>
    </row>
    <row r="32" spans="1:20" s="26" customFormat="1" x14ac:dyDescent="0.25">
      <c r="A32" s="16">
        <v>226420</v>
      </c>
      <c r="B32" s="30" t="s">
        <v>427</v>
      </c>
      <c r="C32" s="20" t="s">
        <v>649</v>
      </c>
      <c r="D32" s="20" t="s">
        <v>750</v>
      </c>
      <c r="E32" s="20" t="s">
        <v>3312</v>
      </c>
      <c r="F32" s="20" t="s">
        <v>3313</v>
      </c>
      <c r="G32" s="21">
        <v>13.4</v>
      </c>
      <c r="H32" s="16">
        <v>26</v>
      </c>
      <c r="I32" s="16"/>
      <c r="J3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32" s="22"/>
      <c r="L32" s="23"/>
      <c r="M3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2" s="19">
        <f>Tabela17468101214223032268161925273133362421012141618242628303840248101214162022262830323436242681012142461012242624426262826268102628623668101214161820222424262830323438404244[[#This Row],[Uso diário]]*2</f>
        <v>26.8</v>
      </c>
      <c r="O32" s="19">
        <f>Tabela17468101214223032268161925273133362421012141618242628303840248101214162022262830323436242681012142461012242624426262826268102628623668101214161820222424262830323438404244[[#This Row],[Total Acumulado]]-P32</f>
        <v>-67</v>
      </c>
      <c r="P32" s="48">
        <f>Tabela17468101214223032268161925273133362421012141618242628303840248101214162022262830323436242681012142461012242624426262826268102628623668101214161820222424262830323438404244[[#This Row],[Uso diário]]*5</f>
        <v>67</v>
      </c>
      <c r="Q3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3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2" s="25">
        <v>22</v>
      </c>
    </row>
    <row r="33" spans="1:20" s="26" customFormat="1" x14ac:dyDescent="0.25">
      <c r="A33" s="16">
        <v>227015</v>
      </c>
      <c r="B33" s="30" t="s">
        <v>1490</v>
      </c>
      <c r="C33" s="20" t="s">
        <v>649</v>
      </c>
      <c r="D33" s="20" t="s">
        <v>725</v>
      </c>
      <c r="E33" s="20" t="s">
        <v>3314</v>
      </c>
      <c r="F33" s="20" t="s">
        <v>3315</v>
      </c>
      <c r="G33" s="21">
        <v>18.8</v>
      </c>
      <c r="H33" s="16">
        <v>26</v>
      </c>
      <c r="I33" s="16"/>
      <c r="J3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33" s="22"/>
      <c r="L33" s="23"/>
      <c r="M3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3" s="19">
        <f>Tabela17468101214223032268161925273133362421012141618242628303840248101214162022262830323436242681012142461012242624426262826268102628623668101214161820222424262830323438404244[[#This Row],[Uso diário]]*2</f>
        <v>37.6</v>
      </c>
      <c r="O33" s="19">
        <f>Tabela17468101214223032268161925273133362421012141618242628303840248101214162022262830323436242681012142461012242624426262826268102628623668101214161820222424262830323438404244[[#This Row],[Total Acumulado]]-P33</f>
        <v>-94</v>
      </c>
      <c r="P33" s="48">
        <f>Tabela17468101214223032268161925273133362421012141618242628303840248101214162022262830323436242681012142461012242624426262826268102628623668101214161820222424262830323438404244[[#This Row],[Uso diário]]*5</f>
        <v>94</v>
      </c>
      <c r="Q3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3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3" s="25">
        <v>22</v>
      </c>
    </row>
    <row r="34" spans="1:20" s="26" customFormat="1" x14ac:dyDescent="0.25">
      <c r="A34" s="16">
        <v>228782</v>
      </c>
      <c r="B34" s="30" t="s">
        <v>429</v>
      </c>
      <c r="C34" s="20" t="s">
        <v>649</v>
      </c>
      <c r="D34" s="20" t="s">
        <v>725</v>
      </c>
      <c r="E34" s="20" t="s">
        <v>3316</v>
      </c>
      <c r="F34" s="20" t="s">
        <v>3317</v>
      </c>
      <c r="G34" s="21">
        <v>13.4</v>
      </c>
      <c r="H34" s="16">
        <v>26</v>
      </c>
      <c r="I34" s="16"/>
      <c r="J3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34" s="22"/>
      <c r="L34" s="23"/>
      <c r="M3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4" s="19">
        <f>Tabela17468101214223032268161925273133362421012141618242628303840248101214162022262830323436242681012142461012242624426262826268102628623668101214161820222424262830323438404244[[#This Row],[Uso diário]]*2</f>
        <v>26.8</v>
      </c>
      <c r="O34" s="19">
        <f>Tabela17468101214223032268161925273133362421012141618242628303840248101214162022262830323436242681012142461012242624426262826268102628623668101214161820222424262830323438404244[[#This Row],[Total Acumulado]]-P34</f>
        <v>-67</v>
      </c>
      <c r="P34" s="48">
        <f>Tabela17468101214223032268161925273133362421012141618242628303840248101214162022262830323436242681012142461012242624426262826268102628623668101214161820222424262830323438404244[[#This Row],[Uso diário]]*5</f>
        <v>67</v>
      </c>
      <c r="Q3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3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4" s="25">
        <v>22</v>
      </c>
    </row>
    <row r="35" spans="1:20" s="26" customFormat="1" x14ac:dyDescent="0.25">
      <c r="A35" s="16">
        <v>230873</v>
      </c>
      <c r="B35" s="30" t="s">
        <v>538</v>
      </c>
      <c r="C35" s="20" t="s">
        <v>649</v>
      </c>
      <c r="D35" s="20" t="s">
        <v>725</v>
      </c>
      <c r="E35" s="20" t="s">
        <v>3318</v>
      </c>
      <c r="F35" s="20" t="s">
        <v>3319</v>
      </c>
      <c r="G35" s="21">
        <v>13.4</v>
      </c>
      <c r="H35" s="16">
        <v>26</v>
      </c>
      <c r="I35" s="16">
        <v>1</v>
      </c>
      <c r="J3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35" s="22"/>
      <c r="L35" s="23"/>
      <c r="M3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5" s="19">
        <f>Tabela17468101214223032268161925273133362421012141618242628303840248101214162022262830323436242681012142461012242624426262826268102628623668101214161820222424262830323438404244[[#This Row],[Uso diário]]*2</f>
        <v>26.8</v>
      </c>
      <c r="O35" s="19">
        <f>Tabela17468101214223032268161925273133362421012141618242628303840248101214162022262830323436242681012142461012242624426262826268102628623668101214161820222424262830323438404244[[#This Row],[Total Acumulado]]-P35</f>
        <v>-67</v>
      </c>
      <c r="P35" s="48">
        <f>Tabela17468101214223032268161925273133362421012141618242628303840248101214162022262830323436242681012142461012242624426262826268102628623668101214161820222424262830323438404244[[#This Row],[Uso diário]]*5</f>
        <v>67</v>
      </c>
      <c r="Q3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3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5" s="25">
        <v>22</v>
      </c>
    </row>
    <row r="36" spans="1:20" s="26" customFormat="1" x14ac:dyDescent="0.25">
      <c r="A36" s="16">
        <v>231456</v>
      </c>
      <c r="B36" s="30" t="s">
        <v>794</v>
      </c>
      <c r="C36" s="20" t="s">
        <v>649</v>
      </c>
      <c r="D36" s="20" t="s">
        <v>725</v>
      </c>
      <c r="E36" s="20" t="s">
        <v>3320</v>
      </c>
      <c r="F36" s="20" t="s">
        <v>3321</v>
      </c>
      <c r="G36" s="21">
        <v>13.4</v>
      </c>
      <c r="H36" s="16">
        <v>26</v>
      </c>
      <c r="I36" s="16">
        <v>1</v>
      </c>
      <c r="J3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36" s="22"/>
      <c r="L36" s="23"/>
      <c r="M3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6" s="19">
        <f>Tabela17468101214223032268161925273133362421012141618242628303840248101214162022262830323436242681012142461012242624426262826268102628623668101214161820222424262830323438404244[[#This Row],[Uso diário]]*2</f>
        <v>26.8</v>
      </c>
      <c r="O36" s="19">
        <f>Tabela17468101214223032268161925273133362421012141618242628303840248101214162022262830323436242681012142461012242624426262826268102628623668101214161820222424262830323438404244[[#This Row],[Total Acumulado]]-P36</f>
        <v>-67</v>
      </c>
      <c r="P36" s="48">
        <f>Tabela17468101214223032268161925273133362421012141618242628303840248101214162022262830323436242681012142461012242624426262826268102628623668101214161820222424262830323438404244[[#This Row],[Uso diário]]*5</f>
        <v>67</v>
      </c>
      <c r="Q3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3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6" s="25">
        <v>22</v>
      </c>
    </row>
    <row r="37" spans="1:20" s="26" customFormat="1" x14ac:dyDescent="0.25">
      <c r="A37" s="16">
        <v>231994</v>
      </c>
      <c r="B37" s="30" t="s">
        <v>845</v>
      </c>
      <c r="C37" s="20" t="s">
        <v>649</v>
      </c>
      <c r="D37" s="20" t="s">
        <v>725</v>
      </c>
      <c r="E37" s="20" t="s">
        <v>3322</v>
      </c>
      <c r="F37" s="20" t="s">
        <v>3323</v>
      </c>
      <c r="G37" s="21">
        <v>13.4</v>
      </c>
      <c r="H37" s="16">
        <v>26</v>
      </c>
      <c r="I37" s="16">
        <v>1</v>
      </c>
      <c r="J3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37" s="22"/>
      <c r="L37" s="23"/>
      <c r="M3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7" s="19">
        <f>Tabela17468101214223032268161925273133362421012141618242628303840248101214162022262830323436242681012142461012242624426262826268102628623668101214161820222424262830323438404244[[#This Row],[Uso diário]]*2</f>
        <v>26.8</v>
      </c>
      <c r="O37" s="19">
        <f>Tabela17468101214223032268161925273133362421012141618242628303840248101214162022262830323436242681012142461012242624426262826268102628623668101214161820222424262830323438404244[[#This Row],[Total Acumulado]]-P37</f>
        <v>-67</v>
      </c>
      <c r="P37" s="48">
        <f>Tabela17468101214223032268161925273133362421012141618242628303840248101214162022262830323436242681012142461012242624426262826268102628623668101214161820222424262830323438404244[[#This Row],[Uso diário]]*5</f>
        <v>67</v>
      </c>
      <c r="Q3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3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7" s="25">
        <v>22</v>
      </c>
    </row>
    <row r="38" spans="1:20" s="26" customFormat="1" x14ac:dyDescent="0.25">
      <c r="A38" s="16">
        <v>234228</v>
      </c>
      <c r="B38" s="30" t="s">
        <v>1214</v>
      </c>
      <c r="C38" s="20" t="s">
        <v>649</v>
      </c>
      <c r="D38" s="20" t="s">
        <v>725</v>
      </c>
      <c r="E38" s="20" t="s">
        <v>3324</v>
      </c>
      <c r="F38" s="20" t="s">
        <v>3325</v>
      </c>
      <c r="G38" s="21">
        <v>13.4</v>
      </c>
      <c r="H38" s="16">
        <v>26</v>
      </c>
      <c r="I38" s="16"/>
      <c r="J3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38" s="22"/>
      <c r="L38" s="23"/>
      <c r="M3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8" s="19">
        <f>Tabela17468101214223032268161925273133362421012141618242628303840248101214162022262830323436242681012142461012242624426262826268102628623668101214161820222424262830323438404244[[#This Row],[Uso diário]]*2</f>
        <v>26.8</v>
      </c>
      <c r="O38" s="19">
        <f>Tabela17468101214223032268161925273133362421012141618242628303840248101214162022262830323436242681012142461012242624426262826268102628623668101214161820222424262830323438404244[[#This Row],[Total Acumulado]]-P38</f>
        <v>-67</v>
      </c>
      <c r="P38" s="48">
        <f>Tabela17468101214223032268161925273133362421012141618242628303840248101214162022262830323436242681012142461012242624426262826268102628623668101214161820222424262830323438404244[[#This Row],[Uso diário]]*5</f>
        <v>67</v>
      </c>
      <c r="Q3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3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8" s="25">
        <v>22</v>
      </c>
    </row>
    <row r="39" spans="1:20" s="26" customFormat="1" x14ac:dyDescent="0.25">
      <c r="A39" s="16">
        <v>229280</v>
      </c>
      <c r="B39" s="30" t="s">
        <v>1215</v>
      </c>
      <c r="C39" s="20" t="s">
        <v>650</v>
      </c>
      <c r="D39" s="20" t="s">
        <v>726</v>
      </c>
      <c r="E39" s="20" t="s">
        <v>3326</v>
      </c>
      <c r="F39" s="20" t="s">
        <v>3327</v>
      </c>
      <c r="G39" s="21">
        <v>13.4</v>
      </c>
      <c r="H39" s="16">
        <v>26</v>
      </c>
      <c r="I39" s="16"/>
      <c r="J3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39" s="22"/>
      <c r="L39" s="23"/>
      <c r="M3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39" s="19">
        <f>Tabela17468101214223032268161925273133362421012141618242628303840248101214162022262830323436242681012142461012242624426262826268102628623668101214161820222424262830323438404244[[#This Row],[Uso diário]]*2</f>
        <v>26.8</v>
      </c>
      <c r="O39" s="19">
        <f>Tabela17468101214223032268161925273133362421012141618242628303840248101214162022262830323436242681012142461012242624426262826268102628623668101214161820222424262830323438404244[[#This Row],[Total Acumulado]]-P39</f>
        <v>-67</v>
      </c>
      <c r="P39" s="48">
        <f>Tabela17468101214223032268161925273133362421012141618242628303840248101214162022262830323436242681012142461012242624426262826268102628623668101214161820222424262830323438404244[[#This Row],[Uso diário]]*5</f>
        <v>67</v>
      </c>
      <c r="Q3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3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3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39" s="25">
        <v>22</v>
      </c>
    </row>
    <row r="40" spans="1:20" s="26" customFormat="1" x14ac:dyDescent="0.25">
      <c r="A40" s="16">
        <v>231825</v>
      </c>
      <c r="B40" s="30" t="s">
        <v>846</v>
      </c>
      <c r="C40" s="20" t="s">
        <v>650</v>
      </c>
      <c r="D40" s="20" t="s">
        <v>726</v>
      </c>
      <c r="E40" s="20" t="s">
        <v>3328</v>
      </c>
      <c r="F40" s="20" t="s">
        <v>3329</v>
      </c>
      <c r="G40" s="21">
        <v>13.4</v>
      </c>
      <c r="H40" s="16">
        <v>26</v>
      </c>
      <c r="I40" s="16"/>
      <c r="J4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40" s="22"/>
      <c r="L40" s="23"/>
      <c r="M4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0" s="19">
        <f>Tabela17468101214223032268161925273133362421012141618242628303840248101214162022262830323436242681012142461012242624426262826268102628623668101214161820222424262830323438404244[[#This Row],[Uso diário]]*2</f>
        <v>26.8</v>
      </c>
      <c r="O40" s="19">
        <f>Tabela17468101214223032268161925273133362421012141618242628303840248101214162022262830323436242681012142461012242624426262826268102628623668101214161820222424262830323438404244[[#This Row],[Total Acumulado]]-P40</f>
        <v>-67</v>
      </c>
      <c r="P40" s="48">
        <f>Tabela17468101214223032268161925273133362421012141618242628303840248101214162022262830323436242681012142461012242624426262826268102628623668101214161820222424262830323438404244[[#This Row],[Uso diário]]*5</f>
        <v>67</v>
      </c>
      <c r="Q4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4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0" s="25">
        <v>22</v>
      </c>
    </row>
    <row r="41" spans="1:20" s="26" customFormat="1" x14ac:dyDescent="0.25">
      <c r="A41" s="16">
        <v>231899</v>
      </c>
      <c r="B41" s="30" t="s">
        <v>847</v>
      </c>
      <c r="C41" s="20" t="s">
        <v>650</v>
      </c>
      <c r="D41" s="20" t="s">
        <v>726</v>
      </c>
      <c r="E41" s="20" t="s">
        <v>3330</v>
      </c>
      <c r="F41" s="20" t="s">
        <v>3331</v>
      </c>
      <c r="G41" s="21">
        <v>13.4</v>
      </c>
      <c r="H41" s="16">
        <v>26</v>
      </c>
      <c r="I41" s="16">
        <v>3</v>
      </c>
      <c r="J4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308.2</v>
      </c>
      <c r="K41" s="22"/>
      <c r="L41" s="23"/>
      <c r="M4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1" s="19">
        <f>Tabela17468101214223032268161925273133362421012141618242628303840248101214162022262830323436242681012142461012242624426262826268102628623668101214161820222424262830323438404244[[#This Row],[Uso diário]]*2</f>
        <v>26.8</v>
      </c>
      <c r="O41" s="19">
        <f>Tabela17468101214223032268161925273133362421012141618242628303840248101214162022262830323436242681012142461012242624426262826268102628623668101214161820222424262830323438404244[[#This Row],[Total Acumulado]]-P41</f>
        <v>-67</v>
      </c>
      <c r="P41" s="48">
        <f>Tabela17468101214223032268161925273133362421012141618242628303840248101214162022262830323436242681012142461012242624426262826268102628623668101214161820222424262830323438404244[[#This Row],[Uso diário]]*5</f>
        <v>67</v>
      </c>
      <c r="Q4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308.2</v>
      </c>
      <c r="S4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1" s="25">
        <v>22</v>
      </c>
    </row>
    <row r="42" spans="1:20" s="26" customFormat="1" x14ac:dyDescent="0.25">
      <c r="A42" s="16">
        <v>232818</v>
      </c>
      <c r="B42" s="30" t="s">
        <v>945</v>
      </c>
      <c r="C42" s="20" t="s">
        <v>650</v>
      </c>
      <c r="D42" s="20" t="s">
        <v>726</v>
      </c>
      <c r="E42" s="20" t="s">
        <v>3332</v>
      </c>
      <c r="F42" s="20" t="s">
        <v>3333</v>
      </c>
      <c r="G42" s="21">
        <v>13.4</v>
      </c>
      <c r="H42" s="16">
        <v>26</v>
      </c>
      <c r="I42" s="16"/>
      <c r="J4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42" s="22"/>
      <c r="L42" s="23"/>
      <c r="M4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2" s="19">
        <f>Tabela17468101214223032268161925273133362421012141618242628303840248101214162022262830323436242681012142461012242624426262826268102628623668101214161820222424262830323438404244[[#This Row],[Uso diário]]*2</f>
        <v>26.8</v>
      </c>
      <c r="O42" s="19">
        <f>Tabela17468101214223032268161925273133362421012141618242628303840248101214162022262830323436242681012142461012242624426262826268102628623668101214161820222424262830323438404244[[#This Row],[Total Acumulado]]-P42</f>
        <v>-67</v>
      </c>
      <c r="P42" s="48">
        <f>Tabela17468101214223032268161925273133362421012141618242628303840248101214162022262830323436242681012142461012242624426262826268102628623668101214161820222424262830323438404244[[#This Row],[Uso diário]]*5</f>
        <v>67</v>
      </c>
      <c r="Q4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4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2" s="25">
        <v>22</v>
      </c>
    </row>
    <row r="43" spans="1:20" s="26" customFormat="1" x14ac:dyDescent="0.25">
      <c r="A43" s="16">
        <v>234588</v>
      </c>
      <c r="B43" s="30" t="s">
        <v>1326</v>
      </c>
      <c r="C43" s="20" t="s">
        <v>650</v>
      </c>
      <c r="D43" s="20" t="s">
        <v>726</v>
      </c>
      <c r="E43" s="20" t="s">
        <v>3334</v>
      </c>
      <c r="F43" s="20" t="s">
        <v>3335</v>
      </c>
      <c r="G43" s="21">
        <v>13.4</v>
      </c>
      <c r="H43" s="16">
        <v>26</v>
      </c>
      <c r="I43" s="16"/>
      <c r="J4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43" s="22"/>
      <c r="L43" s="23"/>
      <c r="M4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3" s="19">
        <f>Tabela17468101214223032268161925273133362421012141618242628303840248101214162022262830323436242681012142461012242624426262826268102628623668101214161820222424262830323438404244[[#This Row],[Uso diário]]*2</f>
        <v>26.8</v>
      </c>
      <c r="O43" s="19">
        <f>Tabela17468101214223032268161925273133362421012141618242628303840248101214162022262830323436242681012142461012242624426262826268102628623668101214161820222424262830323438404244[[#This Row],[Total Acumulado]]-P43</f>
        <v>-67</v>
      </c>
      <c r="P43" s="48">
        <f>Tabela17468101214223032268161925273133362421012141618242628303840248101214162022262830323436242681012142461012242624426262826268102628623668101214161820222424262830323438404244[[#This Row],[Uso diário]]*5</f>
        <v>67</v>
      </c>
      <c r="Q4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4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3" s="25">
        <v>22</v>
      </c>
    </row>
    <row r="44" spans="1:20" s="26" customFormat="1" x14ac:dyDescent="0.25">
      <c r="A44" s="16">
        <v>234919</v>
      </c>
      <c r="B44" s="30" t="s">
        <v>1491</v>
      </c>
      <c r="C44" s="20" t="s">
        <v>650</v>
      </c>
      <c r="D44" s="20" t="s">
        <v>726</v>
      </c>
      <c r="E44" s="20" t="s">
        <v>3336</v>
      </c>
      <c r="F44" s="20" t="s">
        <v>3337</v>
      </c>
      <c r="G44" s="21">
        <v>13.4</v>
      </c>
      <c r="H44" s="16">
        <v>26</v>
      </c>
      <c r="I44" s="16">
        <v>1</v>
      </c>
      <c r="J4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44" s="22"/>
      <c r="L44" s="23"/>
      <c r="M4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4" s="19">
        <f>Tabela17468101214223032268161925273133362421012141618242628303840248101214162022262830323436242681012142461012242624426262826268102628623668101214161820222424262830323438404244[[#This Row],[Uso diário]]*2</f>
        <v>26.8</v>
      </c>
      <c r="O44" s="19">
        <f>Tabela17468101214223032268161925273133362421012141618242628303840248101214162022262830323436242681012142461012242624426262826268102628623668101214161820222424262830323438404244[[#This Row],[Total Acumulado]]-P44</f>
        <v>-67</v>
      </c>
      <c r="P44" s="48">
        <f>Tabela17468101214223032268161925273133362421012141618242628303840248101214162022262830323436242681012142461012242624426262826268102628623668101214161820222424262830323438404244[[#This Row],[Uso diário]]*5</f>
        <v>67</v>
      </c>
      <c r="Q4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4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4" s="25">
        <v>22</v>
      </c>
    </row>
    <row r="45" spans="1:20" s="26" customFormat="1" x14ac:dyDescent="0.25">
      <c r="A45" s="16">
        <v>234920</v>
      </c>
      <c r="B45" s="30" t="s">
        <v>1492</v>
      </c>
      <c r="C45" s="20" t="s">
        <v>650</v>
      </c>
      <c r="D45" s="20" t="s">
        <v>726</v>
      </c>
      <c r="E45" s="20" t="s">
        <v>3338</v>
      </c>
      <c r="F45" s="20" t="s">
        <v>3339</v>
      </c>
      <c r="G45" s="21">
        <v>13.4</v>
      </c>
      <c r="H45" s="16">
        <v>26</v>
      </c>
      <c r="I45" s="16"/>
      <c r="J4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45" s="22"/>
      <c r="L45" s="23">
        <v>11.9</v>
      </c>
      <c r="M45" s="23">
        <f>SUM(Tabela17468101214223032268161925273133362421012141618242628303840248101214162022262830323436242681012142461012242624426262826268102628623668101214161820222424262830323438404244[[#This Row],[Saldo no cartão]:[Recarga Pendente]])</f>
        <v>11.9</v>
      </c>
      <c r="N45" s="19">
        <f>Tabela17468101214223032268161925273133362421012141618242628303840248101214162022262830323436242681012142461012242624426262826268102628623668101214161820222424262830323438404244[[#This Row],[Uso diário]]*2</f>
        <v>26.8</v>
      </c>
      <c r="O45" s="19">
        <f>Tabela17468101214223032268161925273133362421012141618242628303840248101214162022262830323436242681012142461012242624426262826268102628623668101214161820222424262830323438404244[[#This Row],[Total Acumulado]]-P45</f>
        <v>-55.1</v>
      </c>
      <c r="P45" s="48">
        <f>Tabela17468101214223032268161925273133362421012141618242628303840248101214162022262830323436242681012142461012242624426262826268102628623668101214161820222424262830323438404244[[#This Row],[Uso diário]]*5</f>
        <v>67</v>
      </c>
      <c r="Q4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4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5" s="25">
        <v>22</v>
      </c>
    </row>
    <row r="46" spans="1:20" s="26" customFormat="1" x14ac:dyDescent="0.25">
      <c r="A46" s="16">
        <v>234960</v>
      </c>
      <c r="B46" s="30" t="s">
        <v>1493</v>
      </c>
      <c r="C46" s="20" t="s">
        <v>650</v>
      </c>
      <c r="D46" s="20" t="s">
        <v>726</v>
      </c>
      <c r="E46" s="20" t="s">
        <v>3340</v>
      </c>
      <c r="F46" s="20" t="s">
        <v>3341</v>
      </c>
      <c r="G46" s="21">
        <v>13.4</v>
      </c>
      <c r="H46" s="16">
        <v>26</v>
      </c>
      <c r="I46" s="16"/>
      <c r="J4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46" s="22"/>
      <c r="L46" s="23">
        <v>35.700000000000003</v>
      </c>
      <c r="M46" s="23">
        <f>SUM(Tabela17468101214223032268161925273133362421012141618242628303840248101214162022262830323436242681012142461012242624426262826268102628623668101214161820222424262830323438404244[[#This Row],[Saldo no cartão]:[Recarga Pendente]])</f>
        <v>35.700000000000003</v>
      </c>
      <c r="N46" s="19">
        <f>Tabela17468101214223032268161925273133362421012141618242628303840248101214162022262830323436242681012142461012242624426262826268102628623668101214161820222424262830323438404244[[#This Row],[Uso diário]]*2</f>
        <v>26.8</v>
      </c>
      <c r="O46" s="19">
        <f>Tabela17468101214223032268161925273133362421012141618242628303840248101214162022262830323436242681012142461012242624426262826268102628623668101214161820222424262830323438404244[[#This Row],[Total Acumulado]]-P46</f>
        <v>-31.299999999999997</v>
      </c>
      <c r="P46" s="48">
        <f>Tabela17468101214223032268161925273133362421012141618242628303840248101214162022262830323436242681012142461012242624426262826268102628623668101214161820222424262830323438404244[[#This Row],[Uso diário]]*5</f>
        <v>67</v>
      </c>
      <c r="Q4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4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6" s="25">
        <v>22</v>
      </c>
    </row>
    <row r="47" spans="1:20" s="26" customFormat="1" x14ac:dyDescent="0.25">
      <c r="A47" s="16">
        <v>208792</v>
      </c>
      <c r="B47" s="30" t="s">
        <v>431</v>
      </c>
      <c r="C47" s="20" t="s">
        <v>651</v>
      </c>
      <c r="D47" s="20" t="s">
        <v>717</v>
      </c>
      <c r="E47" s="20" t="s">
        <v>3342</v>
      </c>
      <c r="F47" s="20" t="s">
        <v>3343</v>
      </c>
      <c r="G47" s="21">
        <v>13.4</v>
      </c>
      <c r="H47" s="16">
        <v>16</v>
      </c>
      <c r="I47" s="16"/>
      <c r="J4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47" s="22"/>
      <c r="L47" s="23"/>
      <c r="M4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7" s="19">
        <f>Tabela17468101214223032268161925273133362421012141618242628303840248101214162022262830323436242681012142461012242624426262826268102628623668101214161820222424262830323438404244[[#This Row],[Uso diário]]*2</f>
        <v>26.8</v>
      </c>
      <c r="O47" s="19">
        <f>Tabela17468101214223032268161925273133362421012141618242628303840248101214162022262830323436242681012142461012242624426262826268102628623668101214161820222424262830323438404244[[#This Row],[Total Acumulado]]-P47</f>
        <v>-67</v>
      </c>
      <c r="P47" s="48">
        <f>Tabela17468101214223032268161925273133362421012141618242628303840248101214162022262830323436242681012142461012242624426262826268102628623668101214161820222424262830323438404244[[#This Row],[Uso diário]]*5</f>
        <v>67</v>
      </c>
      <c r="Q4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4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7" s="25">
        <v>22</v>
      </c>
    </row>
    <row r="48" spans="1:20" s="26" customFormat="1" x14ac:dyDescent="0.25">
      <c r="A48" s="16">
        <v>212791</v>
      </c>
      <c r="B48" s="30" t="s">
        <v>432</v>
      </c>
      <c r="C48" s="20" t="s">
        <v>651</v>
      </c>
      <c r="D48" s="20" t="s">
        <v>719</v>
      </c>
      <c r="E48" s="20" t="s">
        <v>3344</v>
      </c>
      <c r="F48" s="20" t="s">
        <v>3345</v>
      </c>
      <c r="G48" s="21">
        <v>13.4</v>
      </c>
      <c r="H48" s="16">
        <v>16</v>
      </c>
      <c r="I48" s="16"/>
      <c r="J4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48" s="22"/>
      <c r="L48" s="23"/>
      <c r="M4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8" s="19">
        <f>Tabela17468101214223032268161925273133362421012141618242628303840248101214162022262830323436242681012142461012242624426262826268102628623668101214161820222424262830323438404244[[#This Row],[Uso diário]]*2</f>
        <v>26.8</v>
      </c>
      <c r="O48" s="19">
        <f>Tabela17468101214223032268161925273133362421012141618242628303840248101214162022262830323436242681012142461012242624426262826268102628623668101214161820222424262830323438404244[[#This Row],[Total Acumulado]]-P48</f>
        <v>-67</v>
      </c>
      <c r="P48" s="48">
        <f>Tabela17468101214223032268161925273133362421012141618242628303840248101214162022262830323436242681012142461012242624426262826268102628623668101214161820222424262830323438404244[[#This Row],[Uso diário]]*5</f>
        <v>67</v>
      </c>
      <c r="Q4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4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8" s="25">
        <v>22</v>
      </c>
    </row>
    <row r="49" spans="1:20" s="26" customFormat="1" x14ac:dyDescent="0.25">
      <c r="A49" s="16">
        <v>220885</v>
      </c>
      <c r="B49" s="30" t="s">
        <v>433</v>
      </c>
      <c r="C49" s="20" t="s">
        <v>651</v>
      </c>
      <c r="D49" s="20" t="s">
        <v>717</v>
      </c>
      <c r="E49" s="20" t="s">
        <v>3346</v>
      </c>
      <c r="F49" s="20" t="s">
        <v>3347</v>
      </c>
      <c r="G49" s="21">
        <v>13.4</v>
      </c>
      <c r="H49" s="16">
        <v>16</v>
      </c>
      <c r="I49" s="16"/>
      <c r="J4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49" s="22"/>
      <c r="L49" s="23"/>
      <c r="M4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49" s="19">
        <f>Tabela17468101214223032268161925273133362421012141618242628303840248101214162022262830323436242681012142461012242624426262826268102628623668101214161820222424262830323438404244[[#This Row],[Uso diário]]*2</f>
        <v>26.8</v>
      </c>
      <c r="O49" s="19">
        <f>Tabela17468101214223032268161925273133362421012141618242628303840248101214162022262830323436242681012142461012242624426262826268102628623668101214161820222424262830323438404244[[#This Row],[Total Acumulado]]-P49</f>
        <v>-67</v>
      </c>
      <c r="P49" s="48">
        <f>Tabela17468101214223032268161925273133362421012141618242628303840248101214162022262830323436242681012142461012242624426262826268102628623668101214161820222424262830323438404244[[#This Row],[Uso diário]]*5</f>
        <v>67</v>
      </c>
      <c r="Q4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4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4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49" s="25">
        <v>22</v>
      </c>
    </row>
    <row r="50" spans="1:20" s="26" customFormat="1" x14ac:dyDescent="0.25">
      <c r="A50" s="16">
        <v>221015</v>
      </c>
      <c r="B50" s="30" t="s">
        <v>435</v>
      </c>
      <c r="C50" s="20" t="s">
        <v>651</v>
      </c>
      <c r="D50" s="20" t="s">
        <v>719</v>
      </c>
      <c r="E50" s="20" t="s">
        <v>3348</v>
      </c>
      <c r="F50" s="20" t="s">
        <v>3349</v>
      </c>
      <c r="G50" s="21">
        <v>18.8</v>
      </c>
      <c r="H50" s="16">
        <v>16</v>
      </c>
      <c r="I50" s="16"/>
      <c r="J5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300.8</v>
      </c>
      <c r="K50" s="22"/>
      <c r="L50" s="23"/>
      <c r="M5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0" s="19">
        <f>Tabela17468101214223032268161925273133362421012141618242628303840248101214162022262830323436242681012142461012242624426262826268102628623668101214161820222424262830323438404244[[#This Row],[Uso diário]]*2</f>
        <v>37.6</v>
      </c>
      <c r="O50" s="19">
        <f>Tabela17468101214223032268161925273133362421012141618242628303840248101214162022262830323436242681012142461012242624426262826268102628623668101214161820222424262830323438404244[[#This Row],[Total Acumulado]]-P50</f>
        <v>-94</v>
      </c>
      <c r="P50" s="48">
        <f>Tabela17468101214223032268161925273133362421012141618242628303840248101214162022262830323436242681012142461012242624426262826268102628623668101214161820222424262830323438404244[[#This Row],[Uso diário]]*5</f>
        <v>94</v>
      </c>
      <c r="Q5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300.8</v>
      </c>
      <c r="S5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0" s="25">
        <v>22</v>
      </c>
    </row>
    <row r="51" spans="1:20" s="26" customFormat="1" x14ac:dyDescent="0.25">
      <c r="A51" s="16">
        <v>221745</v>
      </c>
      <c r="B51" s="30" t="s">
        <v>1216</v>
      </c>
      <c r="C51" s="20" t="s">
        <v>651</v>
      </c>
      <c r="D51" s="20" t="s">
        <v>727</v>
      </c>
      <c r="E51" s="20" t="s">
        <v>3350</v>
      </c>
      <c r="F51" s="20" t="s">
        <v>3351</v>
      </c>
      <c r="G51" s="21">
        <v>13.4</v>
      </c>
      <c r="H51" s="16">
        <v>26</v>
      </c>
      <c r="I51" s="16"/>
      <c r="J5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51" s="22"/>
      <c r="L51" s="23"/>
      <c r="M5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1" s="19">
        <f>Tabela17468101214223032268161925273133362421012141618242628303840248101214162022262830323436242681012142461012242624426262826268102628623668101214161820222424262830323438404244[[#This Row],[Uso diário]]*2</f>
        <v>26.8</v>
      </c>
      <c r="O51" s="19">
        <f>Tabela17468101214223032268161925273133362421012141618242628303840248101214162022262830323436242681012142461012242624426262826268102628623668101214161820222424262830323438404244[[#This Row],[Total Acumulado]]-P51</f>
        <v>-67</v>
      </c>
      <c r="P51" s="48">
        <f>Tabela17468101214223032268161925273133362421012141618242628303840248101214162022262830323436242681012142461012242624426262826268102628623668101214161820222424262830323438404244[[#This Row],[Uso diário]]*5</f>
        <v>67</v>
      </c>
      <c r="Q5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5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1" s="25">
        <v>22</v>
      </c>
    </row>
    <row r="52" spans="1:20" s="26" customFormat="1" x14ac:dyDescent="0.25">
      <c r="A52" s="16">
        <v>222046</v>
      </c>
      <c r="B52" s="30" t="s">
        <v>436</v>
      </c>
      <c r="C52" s="20" t="s">
        <v>651</v>
      </c>
      <c r="D52" s="20" t="s">
        <v>719</v>
      </c>
      <c r="E52" s="20" t="s">
        <v>3352</v>
      </c>
      <c r="F52" s="20" t="s">
        <v>3353</v>
      </c>
      <c r="G52" s="21">
        <v>13.4</v>
      </c>
      <c r="H52" s="16">
        <v>16</v>
      </c>
      <c r="I52" s="16"/>
      <c r="J5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52" s="22"/>
      <c r="L52" s="23"/>
      <c r="M5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2" s="19">
        <f>Tabela17468101214223032268161925273133362421012141618242628303840248101214162022262830323436242681012142461012242624426262826268102628623668101214161820222424262830323438404244[[#This Row],[Uso diário]]*2</f>
        <v>26.8</v>
      </c>
      <c r="O52" s="19">
        <f>Tabela17468101214223032268161925273133362421012141618242628303840248101214162022262830323436242681012142461012242624426262826268102628623668101214161820222424262830323438404244[[#This Row],[Total Acumulado]]-P52</f>
        <v>-67</v>
      </c>
      <c r="P52" s="48">
        <f>Tabela17468101214223032268161925273133362421012141618242628303840248101214162022262830323436242681012142461012242624426262826268102628623668101214161820222424262830323438404244[[#This Row],[Uso diário]]*5</f>
        <v>67</v>
      </c>
      <c r="Q5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5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2" s="25">
        <v>22</v>
      </c>
    </row>
    <row r="53" spans="1:20" s="26" customFormat="1" x14ac:dyDescent="0.25">
      <c r="A53" s="16">
        <v>222103</v>
      </c>
      <c r="B53" s="30" t="s">
        <v>1494</v>
      </c>
      <c r="C53" s="20" t="s">
        <v>651</v>
      </c>
      <c r="D53" s="20" t="s">
        <v>719</v>
      </c>
      <c r="E53" s="20" t="s">
        <v>3354</v>
      </c>
      <c r="F53" s="20" t="s">
        <v>3355</v>
      </c>
      <c r="G53" s="21">
        <v>13.4</v>
      </c>
      <c r="H53" s="16">
        <v>16</v>
      </c>
      <c r="I53" s="16"/>
      <c r="J5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53" s="22"/>
      <c r="L53" s="23"/>
      <c r="M5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3" s="19">
        <f>Tabela17468101214223032268161925273133362421012141618242628303840248101214162022262830323436242681012142461012242624426262826268102628623668101214161820222424262830323438404244[[#This Row],[Uso diário]]*2</f>
        <v>26.8</v>
      </c>
      <c r="O53" s="19">
        <f>Tabela17468101214223032268161925273133362421012141618242628303840248101214162022262830323436242681012142461012242624426262826268102628623668101214161820222424262830323438404244[[#This Row],[Total Acumulado]]-P53</f>
        <v>-67</v>
      </c>
      <c r="P53" s="48">
        <f>Tabela17468101214223032268161925273133362421012141618242628303840248101214162022262830323436242681012142461012242624426262826268102628623668101214161820222424262830323438404244[[#This Row],[Uso diário]]*5</f>
        <v>67</v>
      </c>
      <c r="Q5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5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3" s="25">
        <v>22</v>
      </c>
    </row>
    <row r="54" spans="1:20" s="26" customFormat="1" x14ac:dyDescent="0.25">
      <c r="A54" s="16">
        <v>222157</v>
      </c>
      <c r="B54" s="30" t="s">
        <v>1495</v>
      </c>
      <c r="C54" s="20" t="s">
        <v>651</v>
      </c>
      <c r="D54" s="20" t="s">
        <v>719</v>
      </c>
      <c r="E54" s="20" t="s">
        <v>3356</v>
      </c>
      <c r="F54" s="20" t="s">
        <v>3357</v>
      </c>
      <c r="G54" s="21">
        <v>13.4</v>
      </c>
      <c r="H54" s="16">
        <v>16</v>
      </c>
      <c r="I54" s="16">
        <v>1</v>
      </c>
      <c r="J5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54" s="22"/>
      <c r="L54" s="23"/>
      <c r="M5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4" s="19">
        <f>Tabela17468101214223032268161925273133362421012141618242628303840248101214162022262830323436242681012142461012242624426262826268102628623668101214161820222424262830323438404244[[#This Row],[Uso diário]]*2</f>
        <v>26.8</v>
      </c>
      <c r="O54" s="19">
        <f>Tabela17468101214223032268161925273133362421012141618242628303840248101214162022262830323436242681012142461012242624426262826268102628623668101214161820222424262830323438404244[[#This Row],[Total Acumulado]]-P54</f>
        <v>-67</v>
      </c>
      <c r="P54" s="48">
        <f>Tabela17468101214223032268161925273133362421012141618242628303840248101214162022262830323436242681012142461012242624426262826268102628623668101214161820222424262830323438404244[[#This Row],[Uso diário]]*5</f>
        <v>67</v>
      </c>
      <c r="Q5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5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4" s="25">
        <v>22</v>
      </c>
    </row>
    <row r="55" spans="1:20" s="26" customFormat="1" x14ac:dyDescent="0.25">
      <c r="A55" s="16">
        <v>222205</v>
      </c>
      <c r="B55" s="30" t="s">
        <v>1217</v>
      </c>
      <c r="C55" s="20" t="s">
        <v>651</v>
      </c>
      <c r="D55" s="20" t="s">
        <v>719</v>
      </c>
      <c r="E55" s="20" t="s">
        <v>3358</v>
      </c>
      <c r="F55" s="20" t="s">
        <v>3359</v>
      </c>
      <c r="G55" s="21">
        <v>18.8</v>
      </c>
      <c r="H55" s="16">
        <v>16</v>
      </c>
      <c r="I55" s="16"/>
      <c r="J5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300.8</v>
      </c>
      <c r="K55" s="22"/>
      <c r="L55" s="23"/>
      <c r="M5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5" s="19">
        <f>Tabela17468101214223032268161925273133362421012141618242628303840248101214162022262830323436242681012142461012242624426262826268102628623668101214161820222424262830323438404244[[#This Row],[Uso diário]]*2</f>
        <v>37.6</v>
      </c>
      <c r="O55" s="19">
        <f>Tabela17468101214223032268161925273133362421012141618242628303840248101214162022262830323436242681012142461012242624426262826268102628623668101214161820222424262830323438404244[[#This Row],[Total Acumulado]]-P55</f>
        <v>-94</v>
      </c>
      <c r="P55" s="48">
        <f>Tabela17468101214223032268161925273133362421012141618242628303840248101214162022262830323436242681012142461012242624426262826268102628623668101214161820222424262830323438404244[[#This Row],[Uso diário]]*5</f>
        <v>94</v>
      </c>
      <c r="Q5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300.8</v>
      </c>
      <c r="S5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5" s="25">
        <v>22</v>
      </c>
    </row>
    <row r="56" spans="1:20" s="26" customFormat="1" x14ac:dyDescent="0.25">
      <c r="A56" s="16">
        <v>222208</v>
      </c>
      <c r="B56" s="30" t="s">
        <v>437</v>
      </c>
      <c r="C56" s="20" t="s">
        <v>651</v>
      </c>
      <c r="D56" s="20" t="s">
        <v>747</v>
      </c>
      <c r="E56" s="20" t="s">
        <v>3360</v>
      </c>
      <c r="F56" s="20" t="s">
        <v>3361</v>
      </c>
      <c r="G56" s="21">
        <v>13.7</v>
      </c>
      <c r="H56" s="16">
        <v>16</v>
      </c>
      <c r="I56" s="16"/>
      <c r="J5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219.2</v>
      </c>
      <c r="K56" s="22"/>
      <c r="L56" s="23"/>
      <c r="M5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6" s="19">
        <f>Tabela17468101214223032268161925273133362421012141618242628303840248101214162022262830323436242681012142461012242624426262826268102628623668101214161820222424262830323438404244[[#This Row],[Uso diário]]*2</f>
        <v>27.4</v>
      </c>
      <c r="O56" s="19">
        <f>Tabela17468101214223032268161925273133362421012141618242628303840248101214162022262830323436242681012142461012242624426262826268102628623668101214161820222424262830323438404244[[#This Row],[Total Acumulado]]-P56</f>
        <v>-68.5</v>
      </c>
      <c r="P56" s="48">
        <f>Tabela17468101214223032268161925273133362421012141618242628303840248101214162022262830323436242681012142461012242624426262826268102628623668101214161820222424262830323438404244[[#This Row],[Uso diário]]*5</f>
        <v>68.5</v>
      </c>
      <c r="Q5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219.2</v>
      </c>
      <c r="S5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6" s="25">
        <v>22</v>
      </c>
    </row>
    <row r="57" spans="1:20" s="26" customFormat="1" x14ac:dyDescent="0.25">
      <c r="A57" s="16">
        <v>222236</v>
      </c>
      <c r="B57" s="30" t="s">
        <v>438</v>
      </c>
      <c r="C57" s="20" t="s">
        <v>651</v>
      </c>
      <c r="D57" s="20" t="s">
        <v>719</v>
      </c>
      <c r="E57" s="20" t="s">
        <v>3362</v>
      </c>
      <c r="F57" s="20" t="s">
        <v>3363</v>
      </c>
      <c r="G57" s="21">
        <v>13.7</v>
      </c>
      <c r="H57" s="16">
        <v>16</v>
      </c>
      <c r="I57" s="16"/>
      <c r="J5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219.2</v>
      </c>
      <c r="K57" s="22"/>
      <c r="L57" s="23"/>
      <c r="M5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7" s="19">
        <f>Tabela17468101214223032268161925273133362421012141618242628303840248101214162022262830323436242681012142461012242624426262826268102628623668101214161820222424262830323438404244[[#This Row],[Uso diário]]*2</f>
        <v>27.4</v>
      </c>
      <c r="O57" s="19">
        <f>Tabela17468101214223032268161925273133362421012141618242628303840248101214162022262830323436242681012142461012242624426262826268102628623668101214161820222424262830323438404244[[#This Row],[Total Acumulado]]-P57</f>
        <v>-68.5</v>
      </c>
      <c r="P57" s="48">
        <f>Tabela17468101214223032268161925273133362421012141618242628303840248101214162022262830323436242681012142461012242624426262826268102628623668101214161820222424262830323438404244[[#This Row],[Uso diário]]*5</f>
        <v>68.5</v>
      </c>
      <c r="Q5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219.2</v>
      </c>
      <c r="S5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7" s="25">
        <v>22</v>
      </c>
    </row>
    <row r="58" spans="1:20" s="26" customFormat="1" x14ac:dyDescent="0.25">
      <c r="A58" s="16">
        <v>222406</v>
      </c>
      <c r="B58" s="30" t="s">
        <v>439</v>
      </c>
      <c r="C58" s="20" t="s">
        <v>651</v>
      </c>
      <c r="D58" s="20" t="s">
        <v>716</v>
      </c>
      <c r="E58" s="20" t="s">
        <v>3364</v>
      </c>
      <c r="F58" s="20" t="s">
        <v>3365</v>
      </c>
      <c r="G58" s="21">
        <v>13.4</v>
      </c>
      <c r="H58" s="16">
        <v>26</v>
      </c>
      <c r="I58" s="16"/>
      <c r="J5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58" s="22"/>
      <c r="L58" s="23"/>
      <c r="M5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8" s="19">
        <f>Tabela17468101214223032268161925273133362421012141618242628303840248101214162022262830323436242681012142461012242624426262826268102628623668101214161820222424262830323438404244[[#This Row],[Uso diário]]*2</f>
        <v>26.8</v>
      </c>
      <c r="O58" s="19">
        <f>Tabela17468101214223032268161925273133362421012141618242628303840248101214162022262830323436242681012142461012242624426262826268102628623668101214161820222424262830323438404244[[#This Row],[Total Acumulado]]-P58</f>
        <v>-67</v>
      </c>
      <c r="P58" s="48">
        <f>Tabela17468101214223032268161925273133362421012141618242628303840248101214162022262830323436242681012142461012242624426262826268102628623668101214161820222424262830323438404244[[#This Row],[Uso diário]]*5</f>
        <v>67</v>
      </c>
      <c r="Q5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5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8" s="25">
        <v>22</v>
      </c>
    </row>
    <row r="59" spans="1:20" s="26" customFormat="1" x14ac:dyDescent="0.25">
      <c r="A59" s="16">
        <v>223023</v>
      </c>
      <c r="B59" s="30" t="s">
        <v>1218</v>
      </c>
      <c r="C59" s="20" t="s">
        <v>651</v>
      </c>
      <c r="D59" s="20" t="s">
        <v>719</v>
      </c>
      <c r="E59" s="20" t="s">
        <v>3366</v>
      </c>
      <c r="F59" s="20" t="s">
        <v>3367</v>
      </c>
      <c r="G59" s="21">
        <v>13.4</v>
      </c>
      <c r="H59" s="16">
        <v>16</v>
      </c>
      <c r="I59" s="16"/>
      <c r="J5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59" s="22"/>
      <c r="L59" s="23"/>
      <c r="M5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59" s="19">
        <f>Tabela17468101214223032268161925273133362421012141618242628303840248101214162022262830323436242681012142461012242624426262826268102628623668101214161820222424262830323438404244[[#This Row],[Uso diário]]*2</f>
        <v>26.8</v>
      </c>
      <c r="O59" s="19">
        <f>Tabela17468101214223032268161925273133362421012141618242628303840248101214162022262830323436242681012142461012242624426262826268102628623668101214161820222424262830323438404244[[#This Row],[Total Acumulado]]-P59</f>
        <v>-67</v>
      </c>
      <c r="P59" s="48">
        <f>Tabela17468101214223032268161925273133362421012141618242628303840248101214162022262830323436242681012142461012242624426262826268102628623668101214161820222424262830323438404244[[#This Row],[Uso diário]]*5</f>
        <v>67</v>
      </c>
      <c r="Q5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5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5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59" s="25">
        <v>22</v>
      </c>
    </row>
    <row r="60" spans="1:20" s="26" customFormat="1" x14ac:dyDescent="0.25">
      <c r="A60" s="16">
        <v>223457</v>
      </c>
      <c r="B60" s="30" t="s">
        <v>1496</v>
      </c>
      <c r="C60" s="20" t="s">
        <v>651</v>
      </c>
      <c r="D60" s="20" t="s">
        <v>717</v>
      </c>
      <c r="E60" s="20" t="s">
        <v>3368</v>
      </c>
      <c r="F60" s="20" t="s">
        <v>3369</v>
      </c>
      <c r="G60" s="21">
        <v>13.4</v>
      </c>
      <c r="H60" s="16">
        <v>16</v>
      </c>
      <c r="I60" s="16"/>
      <c r="J6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60" s="22"/>
      <c r="L60" s="23"/>
      <c r="M6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0" s="19">
        <f>Tabela17468101214223032268161925273133362421012141618242628303840248101214162022262830323436242681012142461012242624426262826268102628623668101214161820222424262830323438404244[[#This Row],[Uso diário]]*2</f>
        <v>26.8</v>
      </c>
      <c r="O60" s="19">
        <f>Tabela17468101214223032268161925273133362421012141618242628303840248101214162022262830323436242681012142461012242624426262826268102628623668101214161820222424262830323438404244[[#This Row],[Total Acumulado]]-P60</f>
        <v>-67</v>
      </c>
      <c r="P60" s="48">
        <f>Tabela17468101214223032268161925273133362421012141618242628303840248101214162022262830323436242681012142461012242624426262826268102628623668101214161820222424262830323438404244[[#This Row],[Uso diário]]*5</f>
        <v>67</v>
      </c>
      <c r="Q6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6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0" s="25">
        <v>22</v>
      </c>
    </row>
    <row r="61" spans="1:20" s="26" customFormat="1" x14ac:dyDescent="0.25">
      <c r="A61" s="16">
        <v>224379</v>
      </c>
      <c r="B61" s="30" t="s">
        <v>442</v>
      </c>
      <c r="C61" s="20" t="s">
        <v>651</v>
      </c>
      <c r="D61" s="20" t="s">
        <v>719</v>
      </c>
      <c r="E61" s="20" t="s">
        <v>3370</v>
      </c>
      <c r="F61" s="20" t="s">
        <v>3371</v>
      </c>
      <c r="G61" s="21">
        <v>13.4</v>
      </c>
      <c r="H61" s="16">
        <v>3</v>
      </c>
      <c r="I61" s="16"/>
      <c r="J6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40.200000000000003</v>
      </c>
      <c r="K61" s="22"/>
      <c r="L61" s="23"/>
      <c r="M6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1" s="19">
        <f>Tabela17468101214223032268161925273133362421012141618242628303840248101214162022262830323436242681012142461012242624426262826268102628623668101214161820222424262830323438404244[[#This Row],[Uso diário]]*2</f>
        <v>26.8</v>
      </c>
      <c r="O61" s="19">
        <f>Tabela17468101214223032268161925273133362421012141618242628303840248101214162022262830323436242681012142461012242624426262826268102628623668101214161820222424262830323438404244[[#This Row],[Total Acumulado]]-P61</f>
        <v>-67</v>
      </c>
      <c r="P61" s="48">
        <f>Tabela17468101214223032268161925273133362421012141618242628303840248101214162022262830323436242681012142461012242624426262826268102628623668101214161820222424262830323438404244[[#This Row],[Uso diário]]*5</f>
        <v>67</v>
      </c>
      <c r="Q6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40.200000000000003</v>
      </c>
      <c r="S6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1" s="25">
        <v>22</v>
      </c>
    </row>
    <row r="62" spans="1:20" s="26" customFormat="1" x14ac:dyDescent="0.25">
      <c r="A62" s="16">
        <v>224572</v>
      </c>
      <c r="B62" s="30" t="s">
        <v>443</v>
      </c>
      <c r="C62" s="20" t="s">
        <v>651</v>
      </c>
      <c r="D62" s="20" t="s">
        <v>717</v>
      </c>
      <c r="E62" s="20" t="s">
        <v>3372</v>
      </c>
      <c r="F62" s="20" t="s">
        <v>3373</v>
      </c>
      <c r="G62" s="21">
        <v>13.4</v>
      </c>
      <c r="H62" s="16">
        <v>16</v>
      </c>
      <c r="I62" s="16"/>
      <c r="J6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62" s="22"/>
      <c r="L62" s="23"/>
      <c r="M6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2" s="19">
        <f>Tabela17468101214223032268161925273133362421012141618242628303840248101214162022262830323436242681012142461012242624426262826268102628623668101214161820222424262830323438404244[[#This Row],[Uso diário]]*2</f>
        <v>26.8</v>
      </c>
      <c r="O62" s="19">
        <f>Tabela17468101214223032268161925273133362421012141618242628303840248101214162022262830323436242681012142461012242624426262826268102628623668101214161820222424262830323438404244[[#This Row],[Total Acumulado]]-P62</f>
        <v>-67</v>
      </c>
      <c r="P62" s="48">
        <f>Tabela17468101214223032268161925273133362421012141618242628303840248101214162022262830323436242681012142461012242624426262826268102628623668101214161820222424262830323438404244[[#This Row],[Uso diário]]*5</f>
        <v>67</v>
      </c>
      <c r="Q6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6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2" s="25">
        <v>22</v>
      </c>
    </row>
    <row r="63" spans="1:20" s="26" customFormat="1" x14ac:dyDescent="0.25">
      <c r="A63" s="16">
        <v>224924</v>
      </c>
      <c r="B63" s="30" t="s">
        <v>1219</v>
      </c>
      <c r="C63" s="20" t="s">
        <v>651</v>
      </c>
      <c r="D63" s="20" t="s">
        <v>719</v>
      </c>
      <c r="E63" s="20" t="s">
        <v>3374</v>
      </c>
      <c r="F63" s="20" t="s">
        <v>3375</v>
      </c>
      <c r="G63" s="21">
        <v>13.4</v>
      </c>
      <c r="H63" s="16">
        <v>16</v>
      </c>
      <c r="I63" s="16"/>
      <c r="J6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63" s="22"/>
      <c r="L63" s="23"/>
      <c r="M6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3" s="19">
        <f>Tabela17468101214223032268161925273133362421012141618242628303840248101214162022262830323436242681012142461012242624426262826268102628623668101214161820222424262830323438404244[[#This Row],[Uso diário]]*2</f>
        <v>26.8</v>
      </c>
      <c r="O63" s="19">
        <f>Tabela17468101214223032268161925273133362421012141618242628303840248101214162022262830323436242681012142461012242624426262826268102628623668101214161820222424262830323438404244[[#This Row],[Total Acumulado]]-P63</f>
        <v>-67</v>
      </c>
      <c r="P63" s="48">
        <f>Tabela17468101214223032268161925273133362421012141618242628303840248101214162022262830323436242681012142461012242624426262826268102628623668101214161820222424262830323438404244[[#This Row],[Uso diário]]*5</f>
        <v>67</v>
      </c>
      <c r="Q6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6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3" s="25">
        <v>22</v>
      </c>
    </row>
    <row r="64" spans="1:20" s="26" customFormat="1" x14ac:dyDescent="0.25">
      <c r="A64" s="16">
        <v>224971</v>
      </c>
      <c r="B64" s="30" t="s">
        <v>444</v>
      </c>
      <c r="C64" s="20" t="s">
        <v>651</v>
      </c>
      <c r="D64" s="20" t="s">
        <v>719</v>
      </c>
      <c r="E64" s="20" t="s">
        <v>3376</v>
      </c>
      <c r="F64" s="20" t="s">
        <v>3377</v>
      </c>
      <c r="G64" s="21">
        <v>14.2</v>
      </c>
      <c r="H64" s="16">
        <v>16</v>
      </c>
      <c r="I64" s="16"/>
      <c r="J6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227.2</v>
      </c>
      <c r="K64" s="22"/>
      <c r="L64" s="23"/>
      <c r="M6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4" s="19">
        <f>Tabela17468101214223032268161925273133362421012141618242628303840248101214162022262830323436242681012142461012242624426262826268102628623668101214161820222424262830323438404244[[#This Row],[Uso diário]]*2</f>
        <v>28.4</v>
      </c>
      <c r="O64" s="19">
        <f>Tabela17468101214223032268161925273133362421012141618242628303840248101214162022262830323436242681012142461012242624426262826268102628623668101214161820222424262830323438404244[[#This Row],[Total Acumulado]]-P64</f>
        <v>-71</v>
      </c>
      <c r="P64" s="48">
        <f>Tabela17468101214223032268161925273133362421012141618242628303840248101214162022262830323436242681012142461012242624426262826268102628623668101214161820222424262830323438404244[[#This Row],[Uso diário]]*5</f>
        <v>71</v>
      </c>
      <c r="Q6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227.2</v>
      </c>
      <c r="S6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4" s="25">
        <v>22</v>
      </c>
    </row>
    <row r="65" spans="1:20" s="26" customFormat="1" x14ac:dyDescent="0.25">
      <c r="A65" s="16">
        <v>225047</v>
      </c>
      <c r="B65" s="30" t="s">
        <v>445</v>
      </c>
      <c r="C65" s="20" t="s">
        <v>651</v>
      </c>
      <c r="D65" s="20" t="s">
        <v>717</v>
      </c>
      <c r="E65" s="20" t="s">
        <v>3378</v>
      </c>
      <c r="F65" s="20" t="s">
        <v>3379</v>
      </c>
      <c r="G65" s="21">
        <v>18.8</v>
      </c>
      <c r="H65" s="16">
        <v>16</v>
      </c>
      <c r="I65" s="16"/>
      <c r="J6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300.8</v>
      </c>
      <c r="K65" s="22"/>
      <c r="L65" s="23"/>
      <c r="M6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5" s="19">
        <f>Tabela17468101214223032268161925273133362421012141618242628303840248101214162022262830323436242681012142461012242624426262826268102628623668101214161820222424262830323438404244[[#This Row],[Uso diário]]*2</f>
        <v>37.6</v>
      </c>
      <c r="O65" s="19">
        <f>Tabela17468101214223032268161925273133362421012141618242628303840248101214162022262830323436242681012142461012242624426262826268102628623668101214161820222424262830323438404244[[#This Row],[Total Acumulado]]-P65</f>
        <v>-94</v>
      </c>
      <c r="P65" s="48">
        <f>Tabela17468101214223032268161925273133362421012141618242628303840248101214162022262830323436242681012142461012242624426262826268102628623668101214161820222424262830323438404244[[#This Row],[Uso diário]]*5</f>
        <v>94</v>
      </c>
      <c r="Q6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300.8</v>
      </c>
      <c r="S6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5" s="25">
        <v>22</v>
      </c>
    </row>
    <row r="66" spans="1:20" s="26" customFormat="1" x14ac:dyDescent="0.25">
      <c r="A66" s="16">
        <v>225065</v>
      </c>
      <c r="B66" s="30" t="s">
        <v>1093</v>
      </c>
      <c r="C66" s="20" t="s">
        <v>651</v>
      </c>
      <c r="D66" s="20" t="s">
        <v>719</v>
      </c>
      <c r="E66" s="20" t="s">
        <v>3380</v>
      </c>
      <c r="F66" s="20" t="s">
        <v>3381</v>
      </c>
      <c r="G66" s="21">
        <v>13.7</v>
      </c>
      <c r="H66" s="16">
        <v>16</v>
      </c>
      <c r="I66" s="16"/>
      <c r="J6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219.2</v>
      </c>
      <c r="K66" s="22"/>
      <c r="L66" s="23"/>
      <c r="M6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6" s="19">
        <f>Tabela17468101214223032268161925273133362421012141618242628303840248101214162022262830323436242681012142461012242624426262826268102628623668101214161820222424262830323438404244[[#This Row],[Uso diário]]*2</f>
        <v>27.4</v>
      </c>
      <c r="O66" s="19">
        <f>Tabela17468101214223032268161925273133362421012141618242628303840248101214162022262830323436242681012142461012242624426262826268102628623668101214161820222424262830323438404244[[#This Row],[Total Acumulado]]-P66</f>
        <v>-68.5</v>
      </c>
      <c r="P66" s="48">
        <f>Tabela17468101214223032268161925273133362421012141618242628303840248101214162022262830323436242681012142461012242624426262826268102628623668101214161820222424262830323438404244[[#This Row],[Uso diário]]*5</f>
        <v>68.5</v>
      </c>
      <c r="Q6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219.2</v>
      </c>
      <c r="S6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6" s="25">
        <v>22</v>
      </c>
    </row>
    <row r="67" spans="1:20" s="26" customFormat="1" x14ac:dyDescent="0.25">
      <c r="A67" s="16">
        <v>225816</v>
      </c>
      <c r="B67" s="30" t="s">
        <v>446</v>
      </c>
      <c r="C67" s="20" t="s">
        <v>651</v>
      </c>
      <c r="D67" s="20" t="s">
        <v>719</v>
      </c>
      <c r="E67" s="20" t="s">
        <v>3382</v>
      </c>
      <c r="F67" s="20" t="s">
        <v>3383</v>
      </c>
      <c r="G67" s="21">
        <v>13.4</v>
      </c>
      <c r="H67" s="16">
        <v>16</v>
      </c>
      <c r="I67" s="16"/>
      <c r="J6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67" s="22"/>
      <c r="L67" s="23"/>
      <c r="M6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7" s="19">
        <f>Tabela17468101214223032268161925273133362421012141618242628303840248101214162022262830323436242681012142461012242624426262826268102628623668101214161820222424262830323438404244[[#This Row],[Uso diário]]*2</f>
        <v>26.8</v>
      </c>
      <c r="O67" s="19">
        <f>Tabela17468101214223032268161925273133362421012141618242628303840248101214162022262830323436242681012142461012242624426262826268102628623668101214161820222424262830323438404244[[#This Row],[Total Acumulado]]-P67</f>
        <v>-67</v>
      </c>
      <c r="P67" s="48">
        <f>Tabela17468101214223032268161925273133362421012141618242628303840248101214162022262830323436242681012142461012242624426262826268102628623668101214161820222424262830323438404244[[#This Row],[Uso diário]]*5</f>
        <v>67</v>
      </c>
      <c r="Q6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6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7" s="25">
        <v>22</v>
      </c>
    </row>
    <row r="68" spans="1:20" s="26" customFormat="1" x14ac:dyDescent="0.25">
      <c r="A68" s="16">
        <v>226160</v>
      </c>
      <c r="B68" s="30" t="s">
        <v>447</v>
      </c>
      <c r="C68" s="20" t="s">
        <v>651</v>
      </c>
      <c r="D68" s="20" t="s">
        <v>719</v>
      </c>
      <c r="E68" s="20" t="s">
        <v>3384</v>
      </c>
      <c r="F68" s="20" t="s">
        <v>3385</v>
      </c>
      <c r="G68" s="21">
        <v>13.4</v>
      </c>
      <c r="H68" s="16">
        <v>16</v>
      </c>
      <c r="I68" s="16"/>
      <c r="J6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68" s="22"/>
      <c r="L68" s="23"/>
      <c r="M6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8" s="19">
        <f>Tabela17468101214223032268161925273133362421012141618242628303840248101214162022262830323436242681012142461012242624426262826268102628623668101214161820222424262830323438404244[[#This Row],[Uso diário]]*2</f>
        <v>26.8</v>
      </c>
      <c r="O68" s="19">
        <f>Tabela17468101214223032268161925273133362421012141618242628303840248101214162022262830323436242681012142461012242624426262826268102628623668101214161820222424262830323438404244[[#This Row],[Total Acumulado]]-P68</f>
        <v>-67</v>
      </c>
      <c r="P68" s="48">
        <f>Tabela17468101214223032268161925273133362421012141618242628303840248101214162022262830323436242681012142461012242624426262826268102628623668101214161820222424262830323438404244[[#This Row],[Uso diário]]*5</f>
        <v>67</v>
      </c>
      <c r="Q6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6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8" s="25">
        <v>22</v>
      </c>
    </row>
    <row r="69" spans="1:20" s="26" customFormat="1" x14ac:dyDescent="0.25">
      <c r="A69" s="16">
        <v>226883</v>
      </c>
      <c r="B69" s="30" t="s">
        <v>448</v>
      </c>
      <c r="C69" s="20" t="s">
        <v>651</v>
      </c>
      <c r="D69" s="20" t="s">
        <v>716</v>
      </c>
      <c r="E69" s="20" t="s">
        <v>3386</v>
      </c>
      <c r="F69" s="20" t="s">
        <v>3387</v>
      </c>
      <c r="G69" s="21">
        <v>15.4</v>
      </c>
      <c r="H69" s="16">
        <v>16</v>
      </c>
      <c r="I69" s="16"/>
      <c r="J6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246.4</v>
      </c>
      <c r="K69" s="22"/>
      <c r="L69" s="23"/>
      <c r="M6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69" s="19">
        <f>Tabela17468101214223032268161925273133362421012141618242628303840248101214162022262830323436242681012142461012242624426262826268102628623668101214161820222424262830323438404244[[#This Row],[Uso diário]]*2</f>
        <v>30.8</v>
      </c>
      <c r="O69" s="19">
        <f>Tabela17468101214223032268161925273133362421012141618242628303840248101214162022262830323436242681012142461012242624426262826268102628623668101214161820222424262830323438404244[[#This Row],[Total Acumulado]]-P69</f>
        <v>-77</v>
      </c>
      <c r="P69" s="48">
        <f>Tabela17468101214223032268161925273133362421012141618242628303840248101214162022262830323436242681012142461012242624426262826268102628623668101214161820222424262830323438404244[[#This Row],[Uso diário]]*5</f>
        <v>77</v>
      </c>
      <c r="Q6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6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246.4</v>
      </c>
      <c r="S6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69" s="25">
        <v>22</v>
      </c>
    </row>
    <row r="70" spans="1:20" s="26" customFormat="1" x14ac:dyDescent="0.25">
      <c r="A70" s="16">
        <v>227049</v>
      </c>
      <c r="B70" s="30" t="s">
        <v>449</v>
      </c>
      <c r="C70" s="20" t="s">
        <v>651</v>
      </c>
      <c r="D70" s="20" t="s">
        <v>716</v>
      </c>
      <c r="E70" s="20" t="s">
        <v>3388</v>
      </c>
      <c r="F70" s="20" t="s">
        <v>3389</v>
      </c>
      <c r="G70" s="21">
        <v>13.4</v>
      </c>
      <c r="H70" s="16">
        <v>7</v>
      </c>
      <c r="I70" s="16">
        <v>4</v>
      </c>
      <c r="J7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40.200000000000003</v>
      </c>
      <c r="K70" s="22"/>
      <c r="L70" s="23"/>
      <c r="M7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0" s="19">
        <f>Tabela17468101214223032268161925273133362421012141618242628303840248101214162022262830323436242681012142461012242624426262826268102628623668101214161820222424262830323438404244[[#This Row],[Uso diário]]*2</f>
        <v>26.8</v>
      </c>
      <c r="O70" s="19">
        <f>Tabela17468101214223032268161925273133362421012141618242628303840248101214162022262830323436242681012142461012242624426262826268102628623668101214161820222424262830323438404244[[#This Row],[Total Acumulado]]-P70</f>
        <v>-67</v>
      </c>
      <c r="P70" s="48">
        <f>Tabela17468101214223032268161925273133362421012141618242628303840248101214162022262830323436242681012142461012242624426262826268102628623668101214161820222424262830323438404244[[#This Row],[Uso diário]]*5</f>
        <v>67</v>
      </c>
      <c r="Q7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40.200000000000003</v>
      </c>
      <c r="S7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0" s="25">
        <v>22</v>
      </c>
    </row>
    <row r="71" spans="1:20" s="26" customFormat="1" x14ac:dyDescent="0.25">
      <c r="A71" s="16">
        <v>228154</v>
      </c>
      <c r="B71" s="30" t="s">
        <v>450</v>
      </c>
      <c r="C71" s="20" t="s">
        <v>651</v>
      </c>
      <c r="D71" s="20" t="s">
        <v>719</v>
      </c>
      <c r="E71" s="20" t="s">
        <v>3390</v>
      </c>
      <c r="F71" s="20" t="s">
        <v>3391</v>
      </c>
      <c r="G71" s="21">
        <v>13.4</v>
      </c>
      <c r="H71" s="16">
        <v>16</v>
      </c>
      <c r="I71" s="16"/>
      <c r="J7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1" s="22"/>
      <c r="L71" s="23"/>
      <c r="M7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1" s="19">
        <f>Tabela17468101214223032268161925273133362421012141618242628303840248101214162022262830323436242681012142461012242624426262826268102628623668101214161820222424262830323438404244[[#This Row],[Uso diário]]*2</f>
        <v>26.8</v>
      </c>
      <c r="O71" s="19">
        <f>Tabela17468101214223032268161925273133362421012141618242628303840248101214162022262830323436242681012142461012242624426262826268102628623668101214161820222424262830323438404244[[#This Row],[Total Acumulado]]-P71</f>
        <v>-67</v>
      </c>
      <c r="P71" s="48">
        <f>Tabela17468101214223032268161925273133362421012141618242628303840248101214162022262830323436242681012142461012242624426262826268102628623668101214161820222424262830323438404244[[#This Row],[Uso diário]]*5</f>
        <v>67</v>
      </c>
      <c r="Q7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1" s="25">
        <v>22</v>
      </c>
    </row>
    <row r="72" spans="1:20" s="26" customFormat="1" x14ac:dyDescent="0.25">
      <c r="A72" s="16">
        <v>228416</v>
      </c>
      <c r="B72" s="30" t="s">
        <v>1094</v>
      </c>
      <c r="C72" s="20" t="s">
        <v>651</v>
      </c>
      <c r="D72" s="20" t="s">
        <v>719</v>
      </c>
      <c r="E72" s="20" t="s">
        <v>3392</v>
      </c>
      <c r="F72" s="20" t="s">
        <v>3393</v>
      </c>
      <c r="G72" s="21">
        <v>18.8</v>
      </c>
      <c r="H72" s="16">
        <v>16</v>
      </c>
      <c r="I72" s="16">
        <v>3</v>
      </c>
      <c r="J7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244.4</v>
      </c>
      <c r="K72" s="22"/>
      <c r="L72" s="23"/>
      <c r="M7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2" s="19">
        <f>Tabela17468101214223032268161925273133362421012141618242628303840248101214162022262830323436242681012142461012242624426262826268102628623668101214161820222424262830323438404244[[#This Row],[Uso diário]]*2</f>
        <v>37.6</v>
      </c>
      <c r="O72" s="19">
        <f>Tabela17468101214223032268161925273133362421012141618242628303840248101214162022262830323436242681012142461012242624426262826268102628623668101214161820222424262830323438404244[[#This Row],[Total Acumulado]]-P72</f>
        <v>-94</v>
      </c>
      <c r="P72" s="48">
        <f>Tabela17468101214223032268161925273133362421012141618242628303840248101214162022262830323436242681012142461012242624426262826268102628623668101214161820222424262830323438404244[[#This Row],[Uso diário]]*5</f>
        <v>94</v>
      </c>
      <c r="Q7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244.4</v>
      </c>
      <c r="S7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2" s="25">
        <v>22</v>
      </c>
    </row>
    <row r="73" spans="1:20" s="26" customFormat="1" x14ac:dyDescent="0.25">
      <c r="A73" s="16">
        <v>228988</v>
      </c>
      <c r="B73" s="30" t="s">
        <v>451</v>
      </c>
      <c r="C73" s="20" t="s">
        <v>651</v>
      </c>
      <c r="D73" s="20" t="s">
        <v>719</v>
      </c>
      <c r="E73" s="20" t="s">
        <v>3394</v>
      </c>
      <c r="F73" s="20" t="s">
        <v>3395</v>
      </c>
      <c r="G73" s="21">
        <v>13.4</v>
      </c>
      <c r="H73" s="16">
        <v>16</v>
      </c>
      <c r="I73" s="16"/>
      <c r="J7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3" s="22"/>
      <c r="L73" s="23"/>
      <c r="M7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3" s="19">
        <f>Tabela17468101214223032268161925273133362421012141618242628303840248101214162022262830323436242681012142461012242624426262826268102628623668101214161820222424262830323438404244[[#This Row],[Uso diário]]*2</f>
        <v>26.8</v>
      </c>
      <c r="O73" s="19">
        <f>Tabela17468101214223032268161925273133362421012141618242628303840248101214162022262830323436242681012142461012242624426262826268102628623668101214161820222424262830323438404244[[#This Row],[Total Acumulado]]-P73</f>
        <v>-67</v>
      </c>
      <c r="P73" s="48">
        <f>Tabela17468101214223032268161925273133362421012141618242628303840248101214162022262830323436242681012142461012242624426262826268102628623668101214161820222424262830323438404244[[#This Row],[Uso diário]]*5</f>
        <v>67</v>
      </c>
      <c r="Q7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3" s="25">
        <v>22</v>
      </c>
    </row>
    <row r="74" spans="1:20" s="26" customFormat="1" x14ac:dyDescent="0.25">
      <c r="A74" s="16">
        <v>229431</v>
      </c>
      <c r="B74" s="30" t="s">
        <v>1220</v>
      </c>
      <c r="C74" s="20" t="s">
        <v>651</v>
      </c>
      <c r="D74" s="20" t="s">
        <v>719</v>
      </c>
      <c r="E74" s="20" t="s">
        <v>3396</v>
      </c>
      <c r="F74" s="20" t="s">
        <v>3397</v>
      </c>
      <c r="G74" s="21">
        <v>13.4</v>
      </c>
      <c r="H74" s="16">
        <v>16</v>
      </c>
      <c r="I74" s="16"/>
      <c r="J7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4" s="22"/>
      <c r="L74" s="23"/>
      <c r="M7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4" s="19">
        <f>Tabela17468101214223032268161925273133362421012141618242628303840248101214162022262830323436242681012142461012242624426262826268102628623668101214161820222424262830323438404244[[#This Row],[Uso diário]]*2</f>
        <v>26.8</v>
      </c>
      <c r="O74" s="19">
        <f>Tabela17468101214223032268161925273133362421012141618242628303840248101214162022262830323436242681012142461012242624426262826268102628623668101214161820222424262830323438404244[[#This Row],[Total Acumulado]]-P74</f>
        <v>-67</v>
      </c>
      <c r="P74" s="48">
        <f>Tabela17468101214223032268161925273133362421012141618242628303840248101214162022262830323436242681012142461012242624426262826268102628623668101214161820222424262830323438404244[[#This Row],[Uso diário]]*5</f>
        <v>67</v>
      </c>
      <c r="Q7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4" s="25">
        <v>22</v>
      </c>
    </row>
    <row r="75" spans="1:20" s="26" customFormat="1" x14ac:dyDescent="0.25">
      <c r="A75" s="16">
        <v>229448</v>
      </c>
      <c r="B75" s="30" t="s">
        <v>452</v>
      </c>
      <c r="C75" s="20" t="s">
        <v>651</v>
      </c>
      <c r="D75" s="20" t="s">
        <v>719</v>
      </c>
      <c r="E75" s="20" t="s">
        <v>3398</v>
      </c>
      <c r="F75" s="20" t="s">
        <v>3399</v>
      </c>
      <c r="G75" s="21">
        <v>13.4</v>
      </c>
      <c r="H75" s="16">
        <v>16</v>
      </c>
      <c r="I75" s="16"/>
      <c r="J7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5" s="22"/>
      <c r="L75" s="23"/>
      <c r="M7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5" s="19">
        <f>Tabela17468101214223032268161925273133362421012141618242628303840248101214162022262830323436242681012142461012242624426262826268102628623668101214161820222424262830323438404244[[#This Row],[Uso diário]]*2</f>
        <v>26.8</v>
      </c>
      <c r="O75" s="19">
        <f>Tabela17468101214223032268161925273133362421012141618242628303840248101214162022262830323436242681012142461012242624426262826268102628623668101214161820222424262830323438404244[[#This Row],[Total Acumulado]]-P75</f>
        <v>-67</v>
      </c>
      <c r="P75" s="48">
        <f>Tabela17468101214223032268161925273133362421012141618242628303840248101214162022262830323436242681012142461012242624426262826268102628623668101214161820222424262830323438404244[[#This Row],[Uso diário]]*5</f>
        <v>67</v>
      </c>
      <c r="Q7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5" s="25">
        <v>22</v>
      </c>
    </row>
    <row r="76" spans="1:20" s="26" customFormat="1" x14ac:dyDescent="0.25">
      <c r="A76" s="16">
        <v>229576</v>
      </c>
      <c r="B76" s="30" t="s">
        <v>453</v>
      </c>
      <c r="C76" s="20" t="s">
        <v>651</v>
      </c>
      <c r="D76" s="20" t="s">
        <v>719</v>
      </c>
      <c r="E76" s="20" t="s">
        <v>3400</v>
      </c>
      <c r="F76" s="20" t="s">
        <v>3401</v>
      </c>
      <c r="G76" s="21">
        <v>13.4</v>
      </c>
      <c r="H76" s="16">
        <v>16</v>
      </c>
      <c r="I76" s="16"/>
      <c r="J7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6" s="22"/>
      <c r="L76" s="23"/>
      <c r="M7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6" s="19">
        <f>Tabela17468101214223032268161925273133362421012141618242628303840248101214162022262830323436242681012142461012242624426262826268102628623668101214161820222424262830323438404244[[#This Row],[Uso diário]]*2</f>
        <v>26.8</v>
      </c>
      <c r="O76" s="19">
        <f>Tabela17468101214223032268161925273133362421012141618242628303840248101214162022262830323436242681012142461012242624426262826268102628623668101214161820222424262830323438404244[[#This Row],[Total Acumulado]]-P76</f>
        <v>-67</v>
      </c>
      <c r="P76" s="48">
        <f>Tabela17468101214223032268161925273133362421012141618242628303840248101214162022262830323436242681012142461012242624426262826268102628623668101214161820222424262830323438404244[[#This Row],[Uso diário]]*5</f>
        <v>67</v>
      </c>
      <c r="Q7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6" s="25">
        <v>22</v>
      </c>
    </row>
    <row r="77" spans="1:20" s="26" customFormat="1" ht="22.5" x14ac:dyDescent="0.25">
      <c r="A77" s="16">
        <v>229582</v>
      </c>
      <c r="B77" s="30" t="s">
        <v>1295</v>
      </c>
      <c r="C77" s="20" t="s">
        <v>651</v>
      </c>
      <c r="D77" s="20" t="s">
        <v>719</v>
      </c>
      <c r="E77" s="20" t="s">
        <v>3402</v>
      </c>
      <c r="F77" s="20" t="s">
        <v>3403</v>
      </c>
      <c r="G77" s="21">
        <v>13.4</v>
      </c>
      <c r="H77" s="16">
        <v>3</v>
      </c>
      <c r="I77" s="16">
        <v>6</v>
      </c>
      <c r="J77" s="17">
        <v>0</v>
      </c>
      <c r="K77" s="22"/>
      <c r="L77" s="23"/>
      <c r="M7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7" s="19">
        <f>Tabela17468101214223032268161925273133362421012141618242628303840248101214162022262830323436242681012142461012242624426262826268102628623668101214161820222424262830323438404244[[#This Row],[Uso diário]]*2</f>
        <v>26.8</v>
      </c>
      <c r="O77" s="19">
        <f>Tabela17468101214223032268161925273133362421012141618242628303840248101214162022262830323436242681012142461012242624426262826268102628623668101214161820222424262830323438404244[[#This Row],[Total Acumulado]]-P77</f>
        <v>-67</v>
      </c>
      <c r="P77" s="48">
        <f>Tabela17468101214223032268161925273133362421012141618242628303840248101214162022262830323436242681012142461012242624426262826268102628623668101214161820222424262830323438404244[[#This Row],[Uso diário]]*5</f>
        <v>67</v>
      </c>
      <c r="Q7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0</v>
      </c>
      <c r="S7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NÃO EFETUAR RECARGA</v>
      </c>
      <c r="T77" s="25">
        <v>22</v>
      </c>
    </row>
    <row r="78" spans="1:20" s="26" customFormat="1" x14ac:dyDescent="0.25">
      <c r="A78" s="16">
        <v>229583</v>
      </c>
      <c r="B78" s="30" t="s">
        <v>1497</v>
      </c>
      <c r="C78" s="20" t="s">
        <v>651</v>
      </c>
      <c r="D78" s="20" t="s">
        <v>719</v>
      </c>
      <c r="E78" s="20" t="s">
        <v>3404</v>
      </c>
      <c r="F78" s="20" t="s">
        <v>3405</v>
      </c>
      <c r="G78" s="21">
        <v>13.4</v>
      </c>
      <c r="H78" s="16">
        <v>16</v>
      </c>
      <c r="I78" s="16"/>
      <c r="J7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8" s="22"/>
      <c r="L78" s="23"/>
      <c r="M7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8" s="19">
        <f>Tabela17468101214223032268161925273133362421012141618242628303840248101214162022262830323436242681012142461012242624426262826268102628623668101214161820222424262830323438404244[[#This Row],[Uso diário]]*2</f>
        <v>26.8</v>
      </c>
      <c r="O78" s="19">
        <f>Tabela17468101214223032268161925273133362421012141618242628303840248101214162022262830323436242681012142461012242624426262826268102628623668101214161820222424262830323438404244[[#This Row],[Total Acumulado]]-P78</f>
        <v>-67</v>
      </c>
      <c r="P78" s="48">
        <f>Tabela17468101214223032268161925273133362421012141618242628303840248101214162022262830323436242681012142461012242624426262826268102628623668101214161820222424262830323438404244[[#This Row],[Uso diário]]*5</f>
        <v>67</v>
      </c>
      <c r="Q7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8" s="25">
        <v>22</v>
      </c>
    </row>
    <row r="79" spans="1:20" s="26" customFormat="1" x14ac:dyDescent="0.25">
      <c r="A79" s="16">
        <v>229634</v>
      </c>
      <c r="B79" s="30" t="s">
        <v>457</v>
      </c>
      <c r="C79" s="20" t="s">
        <v>651</v>
      </c>
      <c r="D79" s="20" t="s">
        <v>719</v>
      </c>
      <c r="E79" s="20" t="s">
        <v>3406</v>
      </c>
      <c r="F79" s="20" t="s">
        <v>3407</v>
      </c>
      <c r="G79" s="21">
        <v>13.4</v>
      </c>
      <c r="H79" s="16">
        <v>16</v>
      </c>
      <c r="I79" s="16"/>
      <c r="J7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79" s="22"/>
      <c r="L79" s="23"/>
      <c r="M7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79" s="19">
        <f>Tabela17468101214223032268161925273133362421012141618242628303840248101214162022262830323436242681012142461012242624426262826268102628623668101214161820222424262830323438404244[[#This Row],[Uso diário]]*2</f>
        <v>26.8</v>
      </c>
      <c r="O79" s="19">
        <f>Tabela17468101214223032268161925273133362421012141618242628303840248101214162022262830323436242681012142461012242624426262826268102628623668101214161820222424262830323438404244[[#This Row],[Total Acumulado]]-P79</f>
        <v>-67</v>
      </c>
      <c r="P79" s="48">
        <f>Tabela17468101214223032268161925273133362421012141618242628303840248101214162022262830323436242681012142461012242624426262826268102628623668101214161820222424262830323438404244[[#This Row],[Uso diário]]*5</f>
        <v>67</v>
      </c>
      <c r="Q7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7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7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79" s="25">
        <v>22</v>
      </c>
    </row>
    <row r="80" spans="1:20" s="26" customFormat="1" x14ac:dyDescent="0.25">
      <c r="A80" s="16">
        <v>229635</v>
      </c>
      <c r="B80" s="30" t="s">
        <v>458</v>
      </c>
      <c r="C80" s="20" t="s">
        <v>651</v>
      </c>
      <c r="D80" s="20" t="s">
        <v>719</v>
      </c>
      <c r="E80" s="20" t="s">
        <v>3408</v>
      </c>
      <c r="F80" s="20" t="s">
        <v>3409</v>
      </c>
      <c r="G80" s="21">
        <v>13.4</v>
      </c>
      <c r="H80" s="16">
        <v>16</v>
      </c>
      <c r="I80" s="16"/>
      <c r="J8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0" s="22"/>
      <c r="L80" s="23"/>
      <c r="M8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0" s="19">
        <f>Tabela17468101214223032268161925273133362421012141618242628303840248101214162022262830323436242681012142461012242624426262826268102628623668101214161820222424262830323438404244[[#This Row],[Uso diário]]*2</f>
        <v>26.8</v>
      </c>
      <c r="O80" s="19">
        <f>Tabela17468101214223032268161925273133362421012141618242628303840248101214162022262830323436242681012142461012242624426262826268102628623668101214161820222424262830323438404244[[#This Row],[Total Acumulado]]-P80</f>
        <v>-67</v>
      </c>
      <c r="P80" s="48">
        <f>Tabela17468101214223032268161925273133362421012141618242628303840248101214162022262830323436242681012142461012242624426262826268102628623668101214161820222424262830323438404244[[#This Row],[Uso diário]]*5</f>
        <v>67</v>
      </c>
      <c r="Q8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0" s="25">
        <v>22</v>
      </c>
    </row>
    <row r="81" spans="1:20" s="26" customFormat="1" x14ac:dyDescent="0.25">
      <c r="A81" s="16">
        <v>230251</v>
      </c>
      <c r="B81" s="30" t="s">
        <v>459</v>
      </c>
      <c r="C81" s="20" t="s">
        <v>651</v>
      </c>
      <c r="D81" s="20" t="s">
        <v>717</v>
      </c>
      <c r="E81" s="20" t="s">
        <v>3410</v>
      </c>
      <c r="F81" s="20" t="s">
        <v>3411</v>
      </c>
      <c r="G81" s="21">
        <v>13.4</v>
      </c>
      <c r="H81" s="16">
        <v>16</v>
      </c>
      <c r="I81" s="16"/>
      <c r="J8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1" s="22"/>
      <c r="L81" s="23"/>
      <c r="M8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1" s="19">
        <f>Tabela17468101214223032268161925273133362421012141618242628303840248101214162022262830323436242681012142461012242624426262826268102628623668101214161820222424262830323438404244[[#This Row],[Uso diário]]*2</f>
        <v>26.8</v>
      </c>
      <c r="O81" s="19">
        <f>Tabela17468101214223032268161925273133362421012141618242628303840248101214162022262830323436242681012142461012242624426262826268102628623668101214161820222424262830323438404244[[#This Row],[Total Acumulado]]-P81</f>
        <v>-67</v>
      </c>
      <c r="P81" s="48">
        <f>Tabela17468101214223032268161925273133362421012141618242628303840248101214162022262830323436242681012142461012242624426262826268102628623668101214161820222424262830323438404244[[#This Row],[Uso diário]]*5</f>
        <v>67</v>
      </c>
      <c r="Q8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1" s="25">
        <v>22</v>
      </c>
    </row>
    <row r="82" spans="1:20" s="26" customFormat="1" x14ac:dyDescent="0.25">
      <c r="A82" s="16">
        <v>230408</v>
      </c>
      <c r="B82" s="30" t="s">
        <v>460</v>
      </c>
      <c r="C82" s="20" t="s">
        <v>651</v>
      </c>
      <c r="D82" s="20" t="s">
        <v>716</v>
      </c>
      <c r="E82" s="20" t="s">
        <v>3412</v>
      </c>
      <c r="F82" s="20" t="s">
        <v>3413</v>
      </c>
      <c r="G82" s="21">
        <v>13.4</v>
      </c>
      <c r="H82" s="16">
        <v>16</v>
      </c>
      <c r="I82" s="16"/>
      <c r="J8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2" s="22"/>
      <c r="L82" s="23"/>
      <c r="M8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2" s="19">
        <f>Tabela17468101214223032268161925273133362421012141618242628303840248101214162022262830323436242681012142461012242624426262826268102628623668101214161820222424262830323438404244[[#This Row],[Uso diário]]*2</f>
        <v>26.8</v>
      </c>
      <c r="O82" s="19">
        <f>Tabela17468101214223032268161925273133362421012141618242628303840248101214162022262830323436242681012142461012242624426262826268102628623668101214161820222424262830323438404244[[#This Row],[Total Acumulado]]-P82</f>
        <v>-67</v>
      </c>
      <c r="P82" s="48">
        <f>Tabela17468101214223032268161925273133362421012141618242628303840248101214162022262830323436242681012142461012242624426262826268102628623668101214161820222424262830323438404244[[#This Row],[Uso diário]]*5</f>
        <v>67</v>
      </c>
      <c r="Q8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2" s="25">
        <v>22</v>
      </c>
    </row>
    <row r="83" spans="1:20" s="26" customFormat="1" x14ac:dyDescent="0.25">
      <c r="A83" s="16">
        <v>230410</v>
      </c>
      <c r="B83" s="30" t="s">
        <v>461</v>
      </c>
      <c r="C83" s="20" t="s">
        <v>651</v>
      </c>
      <c r="D83" s="20" t="s">
        <v>719</v>
      </c>
      <c r="E83" s="20" t="s">
        <v>3414</v>
      </c>
      <c r="F83" s="20" t="s">
        <v>3415</v>
      </c>
      <c r="G83" s="21">
        <v>13.4</v>
      </c>
      <c r="H83" s="16">
        <v>16</v>
      </c>
      <c r="I83" s="16"/>
      <c r="J8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3" s="22"/>
      <c r="L83" s="23"/>
      <c r="M8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3" s="19">
        <f>Tabela17468101214223032268161925273133362421012141618242628303840248101214162022262830323436242681012142461012242624426262826268102628623668101214161820222424262830323438404244[[#This Row],[Uso diário]]*2</f>
        <v>26.8</v>
      </c>
      <c r="O83" s="19">
        <f>Tabela17468101214223032268161925273133362421012141618242628303840248101214162022262830323436242681012142461012242624426262826268102628623668101214161820222424262830323438404244[[#This Row],[Total Acumulado]]-P83</f>
        <v>-67</v>
      </c>
      <c r="P83" s="48">
        <f>Tabela17468101214223032268161925273133362421012141618242628303840248101214162022262830323436242681012142461012242624426262826268102628623668101214161820222424262830323438404244[[#This Row],[Uso diário]]*5</f>
        <v>67</v>
      </c>
      <c r="Q8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3" s="25">
        <v>22</v>
      </c>
    </row>
    <row r="84" spans="1:20" s="26" customFormat="1" x14ac:dyDescent="0.25">
      <c r="A84" s="16">
        <v>230542</v>
      </c>
      <c r="B84" s="30" t="s">
        <v>462</v>
      </c>
      <c r="C84" s="20" t="s">
        <v>651</v>
      </c>
      <c r="D84" s="20" t="s">
        <v>716</v>
      </c>
      <c r="E84" s="20" t="s">
        <v>3416</v>
      </c>
      <c r="F84" s="20" t="s">
        <v>3417</v>
      </c>
      <c r="G84" s="21">
        <v>13.4</v>
      </c>
      <c r="H84" s="16">
        <v>16</v>
      </c>
      <c r="I84" s="16"/>
      <c r="J8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4" s="22"/>
      <c r="L84" s="23"/>
      <c r="M8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4" s="19">
        <f>Tabela17468101214223032268161925273133362421012141618242628303840248101214162022262830323436242681012142461012242624426262826268102628623668101214161820222424262830323438404244[[#This Row],[Uso diário]]*2</f>
        <v>26.8</v>
      </c>
      <c r="O84" s="19">
        <f>Tabela17468101214223032268161925273133362421012141618242628303840248101214162022262830323436242681012142461012242624426262826268102628623668101214161820222424262830323438404244[[#This Row],[Total Acumulado]]-P84</f>
        <v>-67</v>
      </c>
      <c r="P84" s="48">
        <f>Tabela17468101214223032268161925273133362421012141618242628303840248101214162022262830323436242681012142461012242624426262826268102628623668101214161820222424262830323438404244[[#This Row],[Uso diário]]*5</f>
        <v>67</v>
      </c>
      <c r="Q8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4" s="25">
        <v>22</v>
      </c>
    </row>
    <row r="85" spans="1:20" s="26" customFormat="1" x14ac:dyDescent="0.25">
      <c r="A85" s="16">
        <v>230585</v>
      </c>
      <c r="B85" s="30" t="s">
        <v>1095</v>
      </c>
      <c r="C85" s="20" t="s">
        <v>651</v>
      </c>
      <c r="D85" s="20" t="s">
        <v>716</v>
      </c>
      <c r="E85" s="20" t="s">
        <v>3418</v>
      </c>
      <c r="F85" s="20" t="s">
        <v>3419</v>
      </c>
      <c r="G85" s="21">
        <v>13.4</v>
      </c>
      <c r="H85" s="16">
        <v>16</v>
      </c>
      <c r="I85" s="16">
        <v>8</v>
      </c>
      <c r="J8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107.2</v>
      </c>
      <c r="K85" s="22"/>
      <c r="L85" s="23"/>
      <c r="M8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5" s="19">
        <f>Tabela17468101214223032268161925273133362421012141618242628303840248101214162022262830323436242681012142461012242624426262826268102628623668101214161820222424262830323438404244[[#This Row],[Uso diário]]*2</f>
        <v>26.8</v>
      </c>
      <c r="O85" s="19">
        <f>Tabela17468101214223032268161925273133362421012141618242628303840248101214162022262830323436242681012142461012242624426262826268102628623668101214161820222424262830323438404244[[#This Row],[Total Acumulado]]-P85</f>
        <v>-67</v>
      </c>
      <c r="P85" s="48">
        <f>Tabela17468101214223032268161925273133362421012141618242628303840248101214162022262830323436242681012142461012242624426262826268102628623668101214161820222424262830323438404244[[#This Row],[Uso diário]]*5</f>
        <v>67</v>
      </c>
      <c r="Q8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107.2</v>
      </c>
      <c r="S8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5" s="25">
        <v>22</v>
      </c>
    </row>
    <row r="86" spans="1:20" s="26" customFormat="1" x14ac:dyDescent="0.25">
      <c r="A86" s="16">
        <v>230618</v>
      </c>
      <c r="B86" s="30" t="s">
        <v>463</v>
      </c>
      <c r="C86" s="20" t="s">
        <v>651</v>
      </c>
      <c r="D86" s="20" t="s">
        <v>719</v>
      </c>
      <c r="E86" s="20" t="s">
        <v>3420</v>
      </c>
      <c r="F86" s="20" t="s">
        <v>3421</v>
      </c>
      <c r="G86" s="21">
        <v>13.4</v>
      </c>
      <c r="H86" s="16">
        <v>16</v>
      </c>
      <c r="I86" s="16">
        <v>1</v>
      </c>
      <c r="J8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86" s="22"/>
      <c r="L86" s="23">
        <v>35.700000000000003</v>
      </c>
      <c r="M86" s="23">
        <f>SUM(Tabela17468101214223032268161925273133362421012141618242628303840248101214162022262830323436242681012142461012242624426262826268102628623668101214161820222424262830323438404244[[#This Row],[Saldo no cartão]:[Recarga Pendente]])</f>
        <v>35.700000000000003</v>
      </c>
      <c r="N86" s="19">
        <f>Tabela17468101214223032268161925273133362421012141618242628303840248101214162022262830323436242681012142461012242624426262826268102628623668101214161820222424262830323438404244[[#This Row],[Uso diário]]*2</f>
        <v>26.8</v>
      </c>
      <c r="O86" s="19">
        <f>Tabela17468101214223032268161925273133362421012141618242628303840248101214162022262830323436242681012142461012242624426262826268102628623668101214161820222424262830323438404244[[#This Row],[Total Acumulado]]-P86</f>
        <v>-31.299999999999997</v>
      </c>
      <c r="P86" s="48">
        <f>Tabela17468101214223032268161925273133362421012141618242628303840248101214162022262830323436242681012142461012242624426262826268102628623668101214161820222424262830323438404244[[#This Row],[Uso diário]]*5</f>
        <v>67</v>
      </c>
      <c r="Q8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8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6" s="25">
        <v>22</v>
      </c>
    </row>
    <row r="87" spans="1:20" s="26" customFormat="1" x14ac:dyDescent="0.25">
      <c r="A87" s="16">
        <v>230619</v>
      </c>
      <c r="B87" s="30" t="s">
        <v>464</v>
      </c>
      <c r="C87" s="20" t="s">
        <v>651</v>
      </c>
      <c r="D87" s="20" t="s">
        <v>719</v>
      </c>
      <c r="E87" s="20" t="s">
        <v>3422</v>
      </c>
      <c r="F87" s="20" t="s">
        <v>3423</v>
      </c>
      <c r="G87" s="21">
        <v>13.4</v>
      </c>
      <c r="H87" s="16">
        <v>16</v>
      </c>
      <c r="I87" s="16"/>
      <c r="J8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7" s="22"/>
      <c r="L87" s="23"/>
      <c r="M8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7" s="19">
        <f>Tabela17468101214223032268161925273133362421012141618242628303840248101214162022262830323436242681012142461012242624426262826268102628623668101214161820222424262830323438404244[[#This Row],[Uso diário]]*2</f>
        <v>26.8</v>
      </c>
      <c r="O87" s="19">
        <f>Tabela17468101214223032268161925273133362421012141618242628303840248101214162022262830323436242681012142461012242624426262826268102628623668101214161820222424262830323438404244[[#This Row],[Total Acumulado]]-P87</f>
        <v>-67</v>
      </c>
      <c r="P87" s="48">
        <f>Tabela17468101214223032268161925273133362421012141618242628303840248101214162022262830323436242681012142461012242624426262826268102628623668101214161820222424262830323438404244[[#This Row],[Uso diário]]*5</f>
        <v>67</v>
      </c>
      <c r="Q8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7" s="25">
        <v>22</v>
      </c>
    </row>
    <row r="88" spans="1:20" s="26" customFormat="1" x14ac:dyDescent="0.25">
      <c r="A88" s="16">
        <v>230642</v>
      </c>
      <c r="B88" s="30" t="s">
        <v>465</v>
      </c>
      <c r="C88" s="20" t="s">
        <v>651</v>
      </c>
      <c r="D88" s="20" t="s">
        <v>747</v>
      </c>
      <c r="E88" s="20" t="s">
        <v>3424</v>
      </c>
      <c r="F88" s="20" t="s">
        <v>3425</v>
      </c>
      <c r="G88" s="21">
        <v>13.4</v>
      </c>
      <c r="H88" s="16">
        <v>16</v>
      </c>
      <c r="I88" s="16"/>
      <c r="J8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8" s="22"/>
      <c r="L88" s="23">
        <v>11.9</v>
      </c>
      <c r="M88" s="23">
        <f>SUM(Tabela17468101214223032268161925273133362421012141618242628303840248101214162022262830323436242681012142461012242624426262826268102628623668101214161820222424262830323438404244[[#This Row],[Saldo no cartão]:[Recarga Pendente]])</f>
        <v>11.9</v>
      </c>
      <c r="N88" s="19">
        <f>Tabela17468101214223032268161925273133362421012141618242628303840248101214162022262830323436242681012142461012242624426262826268102628623668101214161820222424262830323438404244[[#This Row],[Uso diário]]*2</f>
        <v>26.8</v>
      </c>
      <c r="O88" s="19">
        <f>Tabela17468101214223032268161925273133362421012141618242628303840248101214162022262830323436242681012142461012242624426262826268102628623668101214161820222424262830323438404244[[#This Row],[Total Acumulado]]-P88</f>
        <v>-55.1</v>
      </c>
      <c r="P88" s="48">
        <f>Tabela17468101214223032268161925273133362421012141618242628303840248101214162022262830323436242681012142461012242624426262826268102628623668101214161820222424262830323438404244[[#This Row],[Uso diário]]*5</f>
        <v>67</v>
      </c>
      <c r="Q8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8" s="25">
        <v>22</v>
      </c>
    </row>
    <row r="89" spans="1:20" s="26" customFormat="1" x14ac:dyDescent="0.25">
      <c r="A89" s="16">
        <v>230718</v>
      </c>
      <c r="B89" s="30" t="s">
        <v>559</v>
      </c>
      <c r="C89" s="20" t="s">
        <v>651</v>
      </c>
      <c r="D89" s="20" t="s">
        <v>719</v>
      </c>
      <c r="E89" s="20" t="s">
        <v>3426</v>
      </c>
      <c r="F89" s="20" t="s">
        <v>3427</v>
      </c>
      <c r="G89" s="21">
        <v>13.4</v>
      </c>
      <c r="H89" s="16">
        <v>16</v>
      </c>
      <c r="I89" s="16"/>
      <c r="J8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89" s="22"/>
      <c r="L89" s="23"/>
      <c r="M8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89" s="19">
        <f>Tabela17468101214223032268161925273133362421012141618242628303840248101214162022262830323436242681012142461012242624426262826268102628623668101214161820222424262830323438404244[[#This Row],[Uso diário]]*2</f>
        <v>26.8</v>
      </c>
      <c r="O89" s="19">
        <f>Tabela17468101214223032268161925273133362421012141618242628303840248101214162022262830323436242681012142461012242624426262826268102628623668101214161820222424262830323438404244[[#This Row],[Total Acumulado]]-P89</f>
        <v>-67</v>
      </c>
      <c r="P89" s="48">
        <f>Tabela17468101214223032268161925273133362421012141618242628303840248101214162022262830323436242681012142461012242624426262826268102628623668101214161820222424262830323438404244[[#This Row],[Uso diário]]*5</f>
        <v>67</v>
      </c>
      <c r="Q8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8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8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89" s="25">
        <v>22</v>
      </c>
    </row>
    <row r="90" spans="1:20" s="26" customFormat="1" x14ac:dyDescent="0.25">
      <c r="A90" s="16">
        <v>230748</v>
      </c>
      <c r="B90" s="30" t="s">
        <v>572</v>
      </c>
      <c r="C90" s="20" t="s">
        <v>651</v>
      </c>
      <c r="D90" s="20" t="s">
        <v>719</v>
      </c>
      <c r="E90" s="20" t="s">
        <v>3428</v>
      </c>
      <c r="F90" s="20" t="s">
        <v>3429</v>
      </c>
      <c r="G90" s="21">
        <v>13.4</v>
      </c>
      <c r="H90" s="16">
        <v>16</v>
      </c>
      <c r="I90" s="16">
        <v>1</v>
      </c>
      <c r="J9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90" s="22"/>
      <c r="L90" s="23"/>
      <c r="M9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0" s="19">
        <f>Tabela17468101214223032268161925273133362421012141618242628303840248101214162022262830323436242681012142461012242624426262826268102628623668101214161820222424262830323438404244[[#This Row],[Uso diário]]*2</f>
        <v>26.8</v>
      </c>
      <c r="O90" s="19">
        <f>Tabela17468101214223032268161925273133362421012141618242628303840248101214162022262830323436242681012142461012242624426262826268102628623668101214161820222424262830323438404244[[#This Row],[Total Acumulado]]-P90</f>
        <v>-67</v>
      </c>
      <c r="P90" s="48">
        <f>Tabela17468101214223032268161925273133362421012141618242628303840248101214162022262830323436242681012142461012242624426262826268102628623668101214161820222424262830323438404244[[#This Row],[Uso diário]]*5</f>
        <v>67</v>
      </c>
      <c r="Q9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9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0" s="25">
        <v>22</v>
      </c>
    </row>
    <row r="91" spans="1:20" s="26" customFormat="1" x14ac:dyDescent="0.25">
      <c r="A91" s="16">
        <v>230826</v>
      </c>
      <c r="B91" s="30" t="s">
        <v>466</v>
      </c>
      <c r="C91" s="20" t="s">
        <v>651</v>
      </c>
      <c r="D91" s="20" t="s">
        <v>716</v>
      </c>
      <c r="E91" s="20" t="s">
        <v>3430</v>
      </c>
      <c r="F91" s="20" t="s">
        <v>3431</v>
      </c>
      <c r="G91" s="21">
        <v>13.4</v>
      </c>
      <c r="H91" s="16">
        <v>16</v>
      </c>
      <c r="I91" s="16"/>
      <c r="J9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91" s="22"/>
      <c r="L91" s="23"/>
      <c r="M9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1" s="19">
        <f>Tabela17468101214223032268161925273133362421012141618242628303840248101214162022262830323436242681012142461012242624426262826268102628623668101214161820222424262830323438404244[[#This Row],[Uso diário]]*2</f>
        <v>26.8</v>
      </c>
      <c r="O91" s="19">
        <f>Tabela17468101214223032268161925273133362421012141618242628303840248101214162022262830323436242681012142461012242624426262826268102628623668101214161820222424262830323438404244[[#This Row],[Total Acumulado]]-P91</f>
        <v>-67</v>
      </c>
      <c r="P91" s="48">
        <f>Tabela17468101214223032268161925273133362421012141618242628303840248101214162022262830323436242681012142461012242624426262826268102628623668101214161820222424262830323438404244[[#This Row],[Uso diário]]*5</f>
        <v>67</v>
      </c>
      <c r="Q9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9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1" s="25">
        <v>22</v>
      </c>
    </row>
    <row r="92" spans="1:20" s="26" customFormat="1" x14ac:dyDescent="0.25">
      <c r="A92" s="16">
        <v>230938</v>
      </c>
      <c r="B92" s="30" t="s">
        <v>467</v>
      </c>
      <c r="C92" s="20" t="s">
        <v>651</v>
      </c>
      <c r="D92" s="20" t="s">
        <v>716</v>
      </c>
      <c r="E92" s="20" t="s">
        <v>3432</v>
      </c>
      <c r="F92" s="20" t="s">
        <v>3433</v>
      </c>
      <c r="G92" s="21">
        <v>13.4</v>
      </c>
      <c r="H92" s="16">
        <v>16</v>
      </c>
      <c r="I92" s="16">
        <v>1</v>
      </c>
      <c r="J9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92" s="22"/>
      <c r="L92" s="23"/>
      <c r="M9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2" s="19">
        <f>Tabela17468101214223032268161925273133362421012141618242628303840248101214162022262830323436242681012142461012242624426262826268102628623668101214161820222424262830323438404244[[#This Row],[Uso diário]]*2</f>
        <v>26.8</v>
      </c>
      <c r="O92" s="19">
        <f>Tabela17468101214223032268161925273133362421012141618242628303840248101214162022262830323436242681012142461012242624426262826268102628623668101214161820222424262830323438404244[[#This Row],[Total Acumulado]]-P92</f>
        <v>-67</v>
      </c>
      <c r="P92" s="48">
        <f>Tabela17468101214223032268161925273133362421012141618242628303840248101214162022262830323436242681012142461012242624426262826268102628623668101214161820222424262830323438404244[[#This Row],[Uso diário]]*5</f>
        <v>67</v>
      </c>
      <c r="Q9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9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2" s="25">
        <v>22</v>
      </c>
    </row>
    <row r="93" spans="1:20" s="26" customFormat="1" x14ac:dyDescent="0.25">
      <c r="A93" s="16">
        <v>231007</v>
      </c>
      <c r="B93" s="30" t="s">
        <v>584</v>
      </c>
      <c r="C93" s="20" t="s">
        <v>651</v>
      </c>
      <c r="D93" s="20" t="s">
        <v>716</v>
      </c>
      <c r="E93" s="20" t="s">
        <v>3434</v>
      </c>
      <c r="F93" s="20" t="s">
        <v>3435</v>
      </c>
      <c r="G93" s="21">
        <v>13.4</v>
      </c>
      <c r="H93" s="16">
        <v>16</v>
      </c>
      <c r="I93" s="16">
        <v>9</v>
      </c>
      <c r="J9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93.8</v>
      </c>
      <c r="K93" s="22"/>
      <c r="L93" s="23"/>
      <c r="M9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3" s="19">
        <f>Tabela17468101214223032268161925273133362421012141618242628303840248101214162022262830323436242681012142461012242624426262826268102628623668101214161820222424262830323438404244[[#This Row],[Uso diário]]*2</f>
        <v>26.8</v>
      </c>
      <c r="O93" s="19">
        <f>Tabela17468101214223032268161925273133362421012141618242628303840248101214162022262830323436242681012142461012242624426262826268102628623668101214161820222424262830323438404244[[#This Row],[Total Acumulado]]-P93</f>
        <v>-67</v>
      </c>
      <c r="P93" s="48">
        <f>Tabela17468101214223032268161925273133362421012141618242628303840248101214162022262830323436242681012142461012242624426262826268102628623668101214161820222424262830323438404244[[#This Row],[Uso diário]]*5</f>
        <v>67</v>
      </c>
      <c r="Q9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93.8</v>
      </c>
      <c r="S9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3" s="25">
        <v>22</v>
      </c>
    </row>
    <row r="94" spans="1:20" s="26" customFormat="1" x14ac:dyDescent="0.25">
      <c r="A94" s="16">
        <v>231137</v>
      </c>
      <c r="B94" s="30" t="s">
        <v>1221</v>
      </c>
      <c r="C94" s="20" t="s">
        <v>651</v>
      </c>
      <c r="D94" s="20" t="s">
        <v>719</v>
      </c>
      <c r="E94" s="20" t="s">
        <v>3436</v>
      </c>
      <c r="F94" s="20" t="s">
        <v>3437</v>
      </c>
      <c r="G94" s="21">
        <v>13.4</v>
      </c>
      <c r="H94" s="16">
        <v>16</v>
      </c>
      <c r="I94" s="16">
        <v>5</v>
      </c>
      <c r="J9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147.4</v>
      </c>
      <c r="K94" s="22"/>
      <c r="L94" s="23"/>
      <c r="M9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4" s="19">
        <f>Tabela17468101214223032268161925273133362421012141618242628303840248101214162022262830323436242681012142461012242624426262826268102628623668101214161820222424262830323438404244[[#This Row],[Uso diário]]*2</f>
        <v>26.8</v>
      </c>
      <c r="O94" s="19">
        <f>Tabela17468101214223032268161925273133362421012141618242628303840248101214162022262830323436242681012142461012242624426262826268102628623668101214161820222424262830323438404244[[#This Row],[Total Acumulado]]-P94</f>
        <v>-67</v>
      </c>
      <c r="P94" s="48">
        <f>Tabela17468101214223032268161925273133362421012141618242628303840248101214162022262830323436242681012142461012242624426262826268102628623668101214161820222424262830323438404244[[#This Row],[Uso diário]]*5</f>
        <v>67</v>
      </c>
      <c r="Q9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147.4</v>
      </c>
      <c r="S9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4" s="25">
        <v>22</v>
      </c>
    </row>
    <row r="95" spans="1:20" s="26" customFormat="1" x14ac:dyDescent="0.25">
      <c r="A95" s="16">
        <v>231481</v>
      </c>
      <c r="B95" s="30" t="s">
        <v>795</v>
      </c>
      <c r="C95" s="20" t="s">
        <v>651</v>
      </c>
      <c r="D95" s="20" t="s">
        <v>716</v>
      </c>
      <c r="E95" s="20" t="s">
        <v>3438</v>
      </c>
      <c r="F95" s="20" t="s">
        <v>3439</v>
      </c>
      <c r="G95" s="21">
        <v>13.4</v>
      </c>
      <c r="H95" s="16">
        <v>16</v>
      </c>
      <c r="I95" s="16">
        <v>3</v>
      </c>
      <c r="J9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174.20000000000002</v>
      </c>
      <c r="K95" s="22"/>
      <c r="L95" s="23"/>
      <c r="M9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5" s="19">
        <f>Tabela17468101214223032268161925273133362421012141618242628303840248101214162022262830323436242681012142461012242624426262826268102628623668101214161820222424262830323438404244[[#This Row],[Uso diário]]*2</f>
        <v>26.8</v>
      </c>
      <c r="O95" s="19">
        <f>Tabela17468101214223032268161925273133362421012141618242628303840248101214162022262830323436242681012142461012242624426262826268102628623668101214161820222424262830323438404244[[#This Row],[Total Acumulado]]-P95</f>
        <v>-67</v>
      </c>
      <c r="P95" s="48">
        <f>Tabela17468101214223032268161925273133362421012141618242628303840248101214162022262830323436242681012142461012242624426262826268102628623668101214161820222424262830323438404244[[#This Row],[Uso diário]]*5</f>
        <v>67</v>
      </c>
      <c r="Q9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174.20000000000002</v>
      </c>
      <c r="S9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5" s="25">
        <v>22</v>
      </c>
    </row>
    <row r="96" spans="1:20" s="26" customFormat="1" x14ac:dyDescent="0.25">
      <c r="A96" s="16">
        <v>231510</v>
      </c>
      <c r="B96" s="30" t="s">
        <v>796</v>
      </c>
      <c r="C96" s="20" t="s">
        <v>651</v>
      </c>
      <c r="D96" s="20" t="s">
        <v>716</v>
      </c>
      <c r="E96" s="20" t="s">
        <v>3440</v>
      </c>
      <c r="F96" s="20" t="s">
        <v>3441</v>
      </c>
      <c r="G96" s="21">
        <v>13.4</v>
      </c>
      <c r="H96" s="16">
        <v>16</v>
      </c>
      <c r="I96" s="16"/>
      <c r="J9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96" s="22"/>
      <c r="L96" s="23"/>
      <c r="M9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6" s="19">
        <f>Tabela17468101214223032268161925273133362421012141618242628303840248101214162022262830323436242681012142461012242624426262826268102628623668101214161820222424262830323438404244[[#This Row],[Uso diário]]*2</f>
        <v>26.8</v>
      </c>
      <c r="O96" s="19">
        <f>Tabela17468101214223032268161925273133362421012141618242628303840248101214162022262830323436242681012142461012242624426262826268102628623668101214161820222424262830323438404244[[#This Row],[Total Acumulado]]-P96</f>
        <v>-67</v>
      </c>
      <c r="P96" s="48">
        <f>Tabela17468101214223032268161925273133362421012141618242628303840248101214162022262830323436242681012142461012242624426262826268102628623668101214161820222424262830323438404244[[#This Row],[Uso diário]]*5</f>
        <v>67</v>
      </c>
      <c r="Q9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9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6" s="25">
        <v>22</v>
      </c>
    </row>
    <row r="97" spans="1:20" s="26" customFormat="1" x14ac:dyDescent="0.25">
      <c r="A97" s="16">
        <v>231579</v>
      </c>
      <c r="B97" s="30" t="s">
        <v>917</v>
      </c>
      <c r="C97" s="20" t="s">
        <v>651</v>
      </c>
      <c r="D97" s="20" t="s">
        <v>716</v>
      </c>
      <c r="E97" s="20" t="s">
        <v>3442</v>
      </c>
      <c r="F97" s="20" t="s">
        <v>3443</v>
      </c>
      <c r="G97" s="21">
        <v>13.4</v>
      </c>
      <c r="H97" s="16">
        <v>16</v>
      </c>
      <c r="I97" s="16"/>
      <c r="J9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97" s="22"/>
      <c r="L97" s="23"/>
      <c r="M9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7" s="19">
        <f>Tabela17468101214223032268161925273133362421012141618242628303840248101214162022262830323436242681012142461012242624426262826268102628623668101214161820222424262830323438404244[[#This Row],[Uso diário]]*2</f>
        <v>26.8</v>
      </c>
      <c r="O97" s="19">
        <f>Tabela17468101214223032268161925273133362421012141618242628303840248101214162022262830323436242681012142461012242624426262826268102628623668101214161820222424262830323438404244[[#This Row],[Total Acumulado]]-P97</f>
        <v>-67</v>
      </c>
      <c r="P97" s="48">
        <f>Tabela17468101214223032268161925273133362421012141618242628303840248101214162022262830323436242681012142461012242624426262826268102628623668101214161820222424262830323438404244[[#This Row],[Uso diário]]*5</f>
        <v>67</v>
      </c>
      <c r="Q9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9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7" s="25">
        <v>22</v>
      </c>
    </row>
    <row r="98" spans="1:20" s="26" customFormat="1" x14ac:dyDescent="0.25">
      <c r="A98" s="16">
        <v>231606</v>
      </c>
      <c r="B98" s="30" t="s">
        <v>848</v>
      </c>
      <c r="C98" s="20" t="s">
        <v>651</v>
      </c>
      <c r="D98" s="20" t="s">
        <v>719</v>
      </c>
      <c r="E98" s="20" t="s">
        <v>3444</v>
      </c>
      <c r="F98" s="20" t="s">
        <v>3445</v>
      </c>
      <c r="G98" s="21">
        <v>13.4</v>
      </c>
      <c r="H98" s="16">
        <v>16</v>
      </c>
      <c r="I98" s="16"/>
      <c r="J9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98" s="22"/>
      <c r="L98" s="23"/>
      <c r="M9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8" s="19">
        <f>Tabela17468101214223032268161925273133362421012141618242628303840248101214162022262830323436242681012142461012242624426262826268102628623668101214161820222424262830323438404244[[#This Row],[Uso diário]]*2</f>
        <v>26.8</v>
      </c>
      <c r="O98" s="19">
        <f>Tabela17468101214223032268161925273133362421012141618242628303840248101214162022262830323436242681012142461012242624426262826268102628623668101214161820222424262830323438404244[[#This Row],[Total Acumulado]]-P98</f>
        <v>-67</v>
      </c>
      <c r="P98" s="48">
        <f>Tabela17468101214223032268161925273133362421012141618242628303840248101214162022262830323436242681012142461012242624426262826268102628623668101214161820222424262830323438404244[[#This Row],[Uso diário]]*5</f>
        <v>67</v>
      </c>
      <c r="Q9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9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8" s="25">
        <v>22</v>
      </c>
    </row>
    <row r="99" spans="1:20" s="26" customFormat="1" x14ac:dyDescent="0.25">
      <c r="A99" s="16">
        <v>231693</v>
      </c>
      <c r="B99" s="30" t="s">
        <v>849</v>
      </c>
      <c r="C99" s="20" t="s">
        <v>651</v>
      </c>
      <c r="D99" s="20" t="s">
        <v>716</v>
      </c>
      <c r="E99" s="20" t="s">
        <v>3446</v>
      </c>
      <c r="F99" s="20" t="s">
        <v>3447</v>
      </c>
      <c r="G99" s="21">
        <v>13.4</v>
      </c>
      <c r="H99" s="16">
        <v>16</v>
      </c>
      <c r="I99" s="16"/>
      <c r="J9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99" s="22"/>
      <c r="L99" s="23"/>
      <c r="M9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99" s="19">
        <f>Tabela17468101214223032268161925273133362421012141618242628303840248101214162022262830323436242681012142461012242624426262826268102628623668101214161820222424262830323438404244[[#This Row],[Uso diário]]*2</f>
        <v>26.8</v>
      </c>
      <c r="O99" s="19">
        <f>Tabela17468101214223032268161925273133362421012141618242628303840248101214162022262830323436242681012142461012242624426262826268102628623668101214161820222424262830323438404244[[#This Row],[Total Acumulado]]-P99</f>
        <v>-67</v>
      </c>
      <c r="P99" s="48">
        <f>Tabela17468101214223032268161925273133362421012141618242628303840248101214162022262830323436242681012142461012242624426262826268102628623668101214161820222424262830323438404244[[#This Row],[Uso diário]]*5</f>
        <v>67</v>
      </c>
      <c r="Q9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9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9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99" s="25">
        <v>22</v>
      </c>
    </row>
    <row r="100" spans="1:20" s="26" customFormat="1" x14ac:dyDescent="0.25">
      <c r="A100" s="16">
        <v>231898</v>
      </c>
      <c r="B100" s="30" t="s">
        <v>850</v>
      </c>
      <c r="C100" s="20" t="s">
        <v>651</v>
      </c>
      <c r="D100" s="20" t="s">
        <v>716</v>
      </c>
      <c r="E100" s="20" t="s">
        <v>3448</v>
      </c>
      <c r="F100" s="20" t="s">
        <v>3449</v>
      </c>
      <c r="G100" s="21">
        <v>13.4</v>
      </c>
      <c r="H100" s="16">
        <v>26</v>
      </c>
      <c r="I100" s="16"/>
      <c r="J10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00" s="22"/>
      <c r="L100" s="23"/>
      <c r="M10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0" s="19">
        <f>Tabela17468101214223032268161925273133362421012141618242628303840248101214162022262830323436242681012142461012242624426262826268102628623668101214161820222424262830323438404244[[#This Row],[Uso diário]]*2</f>
        <v>26.8</v>
      </c>
      <c r="O100" s="19">
        <f>Tabela17468101214223032268161925273133362421012141618242628303840248101214162022262830323436242681012142461012242624426262826268102628623668101214161820222424262830323438404244[[#This Row],[Total Acumulado]]-P100</f>
        <v>-67</v>
      </c>
      <c r="P100" s="48">
        <f>Tabela17468101214223032268161925273133362421012141618242628303840248101214162022262830323436242681012142461012242624426262826268102628623668101214161820222424262830323438404244[[#This Row],[Uso diário]]*5</f>
        <v>67</v>
      </c>
      <c r="Q10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0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0" s="25">
        <v>22</v>
      </c>
    </row>
    <row r="101" spans="1:20" s="26" customFormat="1" x14ac:dyDescent="0.25">
      <c r="A101" s="16">
        <v>231995</v>
      </c>
      <c r="B101" s="30" t="s">
        <v>851</v>
      </c>
      <c r="C101" s="20" t="s">
        <v>651</v>
      </c>
      <c r="D101" s="20" t="s">
        <v>719</v>
      </c>
      <c r="E101" s="20" t="s">
        <v>3450</v>
      </c>
      <c r="F101" s="20" t="s">
        <v>3451</v>
      </c>
      <c r="G101" s="21">
        <v>13.4</v>
      </c>
      <c r="H101" s="16">
        <v>16</v>
      </c>
      <c r="I101" s="16">
        <v>1</v>
      </c>
      <c r="J10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101" s="22"/>
      <c r="L101" s="23"/>
      <c r="M10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1" s="19">
        <f>Tabela17468101214223032268161925273133362421012141618242628303840248101214162022262830323436242681012142461012242624426262826268102628623668101214161820222424262830323438404244[[#This Row],[Uso diário]]*2</f>
        <v>26.8</v>
      </c>
      <c r="O101" s="19">
        <f>Tabela17468101214223032268161925273133362421012141618242628303840248101214162022262830323436242681012142461012242624426262826268102628623668101214161820222424262830323438404244[[#This Row],[Total Acumulado]]-P101</f>
        <v>-67</v>
      </c>
      <c r="P101" s="48">
        <f>Tabela17468101214223032268161925273133362421012141618242628303840248101214162022262830323436242681012142461012242624426262826268102628623668101214161820222424262830323438404244[[#This Row],[Uso diário]]*5</f>
        <v>67</v>
      </c>
      <c r="Q10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10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1" s="25">
        <v>22</v>
      </c>
    </row>
    <row r="102" spans="1:20" s="26" customFormat="1" x14ac:dyDescent="0.25">
      <c r="A102" s="16">
        <v>232482</v>
      </c>
      <c r="B102" s="30" t="s">
        <v>918</v>
      </c>
      <c r="C102" s="20" t="s">
        <v>651</v>
      </c>
      <c r="D102" s="20" t="s">
        <v>716</v>
      </c>
      <c r="E102" s="20" t="s">
        <v>3452</v>
      </c>
      <c r="F102" s="20" t="s">
        <v>3453</v>
      </c>
      <c r="G102" s="21">
        <v>13.4</v>
      </c>
      <c r="H102" s="16">
        <v>16</v>
      </c>
      <c r="I102" s="16">
        <v>2</v>
      </c>
      <c r="J10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187.6</v>
      </c>
      <c r="K102" s="22"/>
      <c r="L102" s="23"/>
      <c r="M10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2" s="19">
        <f>Tabela17468101214223032268161925273133362421012141618242628303840248101214162022262830323436242681012142461012242624426262826268102628623668101214161820222424262830323438404244[[#This Row],[Uso diário]]*2</f>
        <v>26.8</v>
      </c>
      <c r="O102" s="19">
        <f>Tabela17468101214223032268161925273133362421012141618242628303840248101214162022262830323436242681012142461012242624426262826268102628623668101214161820222424262830323438404244[[#This Row],[Total Acumulado]]-P102</f>
        <v>-67</v>
      </c>
      <c r="P102" s="48">
        <f>Tabela17468101214223032268161925273133362421012141618242628303840248101214162022262830323436242681012142461012242624426262826268102628623668101214161820222424262830323438404244[[#This Row],[Uso diário]]*5</f>
        <v>67</v>
      </c>
      <c r="Q10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187.6</v>
      </c>
      <c r="S10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2" s="25">
        <v>22</v>
      </c>
    </row>
    <row r="103" spans="1:20" s="26" customFormat="1" x14ac:dyDescent="0.25">
      <c r="A103" s="16">
        <v>232867</v>
      </c>
      <c r="B103" s="30" t="s">
        <v>946</v>
      </c>
      <c r="C103" s="20" t="s">
        <v>651</v>
      </c>
      <c r="D103" s="20" t="s">
        <v>716</v>
      </c>
      <c r="E103" s="20" t="s">
        <v>3454</v>
      </c>
      <c r="F103" s="20" t="s">
        <v>3455</v>
      </c>
      <c r="G103" s="21">
        <v>13.4</v>
      </c>
      <c r="H103" s="16">
        <v>16</v>
      </c>
      <c r="I103" s="16">
        <v>11</v>
      </c>
      <c r="J10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67</v>
      </c>
      <c r="K103" s="22"/>
      <c r="L103" s="23"/>
      <c r="M10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3" s="19">
        <f>Tabela17468101214223032268161925273133362421012141618242628303840248101214162022262830323436242681012142461012242624426262826268102628623668101214161820222424262830323438404244[[#This Row],[Uso diário]]*2</f>
        <v>26.8</v>
      </c>
      <c r="O103" s="19">
        <f>Tabela17468101214223032268161925273133362421012141618242628303840248101214162022262830323436242681012142461012242624426262826268102628623668101214161820222424262830323438404244[[#This Row],[Total Acumulado]]-P103</f>
        <v>-67</v>
      </c>
      <c r="P103" s="48">
        <f>Tabela17468101214223032268161925273133362421012141618242628303840248101214162022262830323436242681012142461012242624426262826268102628623668101214161820222424262830323438404244[[#This Row],[Uso diário]]*5</f>
        <v>67</v>
      </c>
      <c r="Q10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67</v>
      </c>
      <c r="S10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3" s="25">
        <v>22</v>
      </c>
    </row>
    <row r="104" spans="1:20" s="26" customFormat="1" x14ac:dyDescent="0.25">
      <c r="A104" s="16">
        <v>233081</v>
      </c>
      <c r="B104" s="30" t="s">
        <v>1006</v>
      </c>
      <c r="C104" s="20" t="s">
        <v>651</v>
      </c>
      <c r="D104" s="20" t="s">
        <v>716</v>
      </c>
      <c r="E104" s="20" t="s">
        <v>3456</v>
      </c>
      <c r="F104" s="20" t="s">
        <v>3457</v>
      </c>
      <c r="G104" s="21">
        <v>13.4</v>
      </c>
      <c r="H104" s="16">
        <v>26</v>
      </c>
      <c r="I104" s="16"/>
      <c r="J10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04" s="22"/>
      <c r="L104" s="23"/>
      <c r="M10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4" s="19">
        <f>Tabela17468101214223032268161925273133362421012141618242628303840248101214162022262830323436242681012142461012242624426262826268102628623668101214161820222424262830323438404244[[#This Row],[Uso diário]]*2</f>
        <v>26.8</v>
      </c>
      <c r="O104" s="19">
        <f>Tabela17468101214223032268161925273133362421012141618242628303840248101214162022262830323436242681012142461012242624426262826268102628623668101214161820222424262830323438404244[[#This Row],[Total Acumulado]]-P104</f>
        <v>-67</v>
      </c>
      <c r="P104" s="48">
        <f>Tabela17468101214223032268161925273133362421012141618242628303840248101214162022262830323436242681012142461012242624426262826268102628623668101214161820222424262830323438404244[[#This Row],[Uso diário]]*5</f>
        <v>67</v>
      </c>
      <c r="Q10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0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4" s="25">
        <v>22</v>
      </c>
    </row>
    <row r="105" spans="1:20" s="26" customFormat="1" x14ac:dyDescent="0.25">
      <c r="A105" s="16">
        <v>233170</v>
      </c>
      <c r="B105" s="30" t="s">
        <v>1007</v>
      </c>
      <c r="C105" s="20" t="s">
        <v>651</v>
      </c>
      <c r="D105" s="20" t="s">
        <v>716</v>
      </c>
      <c r="E105" s="20" t="s">
        <v>3458</v>
      </c>
      <c r="F105" s="20" t="s">
        <v>3459</v>
      </c>
      <c r="G105" s="21">
        <v>15.4</v>
      </c>
      <c r="H105" s="16">
        <v>16</v>
      </c>
      <c r="I105" s="16">
        <v>3</v>
      </c>
      <c r="J10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200.20000000000002</v>
      </c>
      <c r="K105" s="22"/>
      <c r="L105" s="23"/>
      <c r="M10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5" s="19">
        <f>Tabela17468101214223032268161925273133362421012141618242628303840248101214162022262830323436242681012142461012242624426262826268102628623668101214161820222424262830323438404244[[#This Row],[Uso diário]]*2</f>
        <v>30.8</v>
      </c>
      <c r="O105" s="19">
        <f>Tabela17468101214223032268161925273133362421012141618242628303840248101214162022262830323436242681012142461012242624426262826268102628623668101214161820222424262830323438404244[[#This Row],[Total Acumulado]]-P105</f>
        <v>-77</v>
      </c>
      <c r="P105" s="48">
        <f>Tabela17468101214223032268161925273133362421012141618242628303840248101214162022262830323436242681012142461012242624426262826268102628623668101214161820222424262830323438404244[[#This Row],[Uso diário]]*5</f>
        <v>77</v>
      </c>
      <c r="Q10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200.20000000000002</v>
      </c>
      <c r="S10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5" s="25">
        <v>22</v>
      </c>
    </row>
    <row r="106" spans="1:20" s="26" customFormat="1" x14ac:dyDescent="0.25">
      <c r="A106" s="16">
        <v>233299</v>
      </c>
      <c r="B106" s="30" t="s">
        <v>1096</v>
      </c>
      <c r="C106" s="20" t="s">
        <v>651</v>
      </c>
      <c r="D106" s="20" t="s">
        <v>719</v>
      </c>
      <c r="E106" s="20" t="s">
        <v>3460</v>
      </c>
      <c r="F106" s="20" t="s">
        <v>3461</v>
      </c>
      <c r="G106" s="21">
        <v>13.4</v>
      </c>
      <c r="H106" s="16">
        <v>16</v>
      </c>
      <c r="I106" s="16"/>
      <c r="J10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06" s="22"/>
      <c r="L106" s="23"/>
      <c r="M10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6" s="19">
        <f>Tabela17468101214223032268161925273133362421012141618242628303840248101214162022262830323436242681012142461012242624426262826268102628623668101214161820222424262830323438404244[[#This Row],[Uso diário]]*2</f>
        <v>26.8</v>
      </c>
      <c r="O106" s="19">
        <f>Tabela17468101214223032268161925273133362421012141618242628303840248101214162022262830323436242681012142461012242624426262826268102628623668101214161820222424262830323438404244[[#This Row],[Total Acumulado]]-P106</f>
        <v>-67</v>
      </c>
      <c r="P106" s="48">
        <f>Tabela17468101214223032268161925273133362421012141618242628303840248101214162022262830323436242681012142461012242624426262826268102628623668101214161820222424262830323438404244[[#This Row],[Uso diário]]*5</f>
        <v>67</v>
      </c>
      <c r="Q10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0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6" s="25">
        <v>22</v>
      </c>
    </row>
    <row r="107" spans="1:20" s="26" customFormat="1" x14ac:dyDescent="0.25">
      <c r="A107" s="16">
        <v>233340</v>
      </c>
      <c r="B107" s="30" t="s">
        <v>1097</v>
      </c>
      <c r="C107" s="20" t="s">
        <v>651</v>
      </c>
      <c r="D107" s="20" t="s">
        <v>716</v>
      </c>
      <c r="E107" s="20" t="s">
        <v>3462</v>
      </c>
      <c r="F107" s="20" t="s">
        <v>3463</v>
      </c>
      <c r="G107" s="21">
        <v>13.4</v>
      </c>
      <c r="H107" s="16">
        <v>16</v>
      </c>
      <c r="I107" s="16">
        <v>3</v>
      </c>
      <c r="J10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174.20000000000002</v>
      </c>
      <c r="K107" s="22"/>
      <c r="L107" s="23"/>
      <c r="M10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7" s="19">
        <f>Tabela17468101214223032268161925273133362421012141618242628303840248101214162022262830323436242681012142461012242624426262826268102628623668101214161820222424262830323438404244[[#This Row],[Uso diário]]*2</f>
        <v>26.8</v>
      </c>
      <c r="O107" s="19">
        <f>Tabela17468101214223032268161925273133362421012141618242628303840248101214162022262830323436242681012142461012242624426262826268102628623668101214161820222424262830323438404244[[#This Row],[Total Acumulado]]-P107</f>
        <v>-67</v>
      </c>
      <c r="P107" s="48">
        <f>Tabela17468101214223032268161925273133362421012141618242628303840248101214162022262830323436242681012142461012242624426262826268102628623668101214161820222424262830323438404244[[#This Row],[Uso diário]]*5</f>
        <v>67</v>
      </c>
      <c r="Q10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174.20000000000002</v>
      </c>
      <c r="S10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7" s="25">
        <v>22</v>
      </c>
    </row>
    <row r="108" spans="1:20" s="26" customFormat="1" x14ac:dyDescent="0.25">
      <c r="A108" s="16">
        <v>233389</v>
      </c>
      <c r="B108" s="30" t="s">
        <v>1098</v>
      </c>
      <c r="C108" s="20" t="s">
        <v>651</v>
      </c>
      <c r="D108" s="20" t="s">
        <v>719</v>
      </c>
      <c r="E108" s="20" t="s">
        <v>3464</v>
      </c>
      <c r="F108" s="20" t="s">
        <v>3465</v>
      </c>
      <c r="G108" s="21">
        <v>18.8</v>
      </c>
      <c r="H108" s="16">
        <v>16</v>
      </c>
      <c r="I108" s="16">
        <v>3</v>
      </c>
      <c r="J10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244.4</v>
      </c>
      <c r="K108" s="22"/>
      <c r="L108" s="23"/>
      <c r="M10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8" s="19">
        <f>Tabela17468101214223032268161925273133362421012141618242628303840248101214162022262830323436242681012142461012242624426262826268102628623668101214161820222424262830323438404244[[#This Row],[Uso diário]]*2</f>
        <v>37.6</v>
      </c>
      <c r="O108" s="19">
        <f>Tabela17468101214223032268161925273133362421012141618242628303840248101214162022262830323436242681012142461012242624426262826268102628623668101214161820222424262830323438404244[[#This Row],[Total Acumulado]]-P108</f>
        <v>-94</v>
      </c>
      <c r="P108" s="48">
        <f>Tabela17468101214223032268161925273133362421012141618242628303840248101214162022262830323436242681012142461012242624426262826268102628623668101214161820222424262830323438404244[[#This Row],[Uso diário]]*5</f>
        <v>94</v>
      </c>
      <c r="Q10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244.4</v>
      </c>
      <c r="S10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8" s="25">
        <v>22</v>
      </c>
    </row>
    <row r="109" spans="1:20" s="26" customFormat="1" x14ac:dyDescent="0.25">
      <c r="A109" s="16">
        <v>233390</v>
      </c>
      <c r="B109" s="30" t="s">
        <v>1099</v>
      </c>
      <c r="C109" s="20" t="s">
        <v>651</v>
      </c>
      <c r="D109" s="20" t="s">
        <v>716</v>
      </c>
      <c r="E109" s="20" t="s">
        <v>3466</v>
      </c>
      <c r="F109" s="20" t="s">
        <v>3467</v>
      </c>
      <c r="G109" s="21">
        <v>13.4</v>
      </c>
      <c r="H109" s="16">
        <v>16</v>
      </c>
      <c r="I109" s="16"/>
      <c r="J10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09" s="22"/>
      <c r="L109" s="23"/>
      <c r="M10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09" s="19">
        <f>Tabela17468101214223032268161925273133362421012141618242628303840248101214162022262830323436242681012142461012242624426262826268102628623668101214161820222424262830323438404244[[#This Row],[Uso diário]]*2</f>
        <v>26.8</v>
      </c>
      <c r="O109" s="19">
        <f>Tabela17468101214223032268161925273133362421012141618242628303840248101214162022262830323436242681012142461012242624426262826268102628623668101214161820222424262830323438404244[[#This Row],[Total Acumulado]]-P109</f>
        <v>-67</v>
      </c>
      <c r="P109" s="48">
        <f>Tabela17468101214223032268161925273133362421012141618242628303840248101214162022262830323436242681012142461012242624426262826268102628623668101214161820222424262830323438404244[[#This Row],[Uso diário]]*5</f>
        <v>67</v>
      </c>
      <c r="Q10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0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0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09" s="25">
        <v>22</v>
      </c>
    </row>
    <row r="110" spans="1:20" s="26" customFormat="1" x14ac:dyDescent="0.25">
      <c r="A110" s="16">
        <v>233420</v>
      </c>
      <c r="B110" s="30" t="s">
        <v>1100</v>
      </c>
      <c r="C110" s="20" t="s">
        <v>651</v>
      </c>
      <c r="D110" s="20" t="s">
        <v>719</v>
      </c>
      <c r="E110" s="20" t="s">
        <v>3468</v>
      </c>
      <c r="F110" s="20" t="s">
        <v>3469</v>
      </c>
      <c r="G110" s="21">
        <v>13.4</v>
      </c>
      <c r="H110" s="16">
        <v>16</v>
      </c>
      <c r="I110" s="16"/>
      <c r="J11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0" s="22"/>
      <c r="L110" s="23"/>
      <c r="M11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0" s="19">
        <f>Tabela17468101214223032268161925273133362421012141618242628303840248101214162022262830323436242681012142461012242624426262826268102628623668101214161820222424262830323438404244[[#This Row],[Uso diário]]*2</f>
        <v>26.8</v>
      </c>
      <c r="O110" s="19">
        <f>Tabela17468101214223032268161925273133362421012141618242628303840248101214162022262830323436242681012142461012242624426262826268102628623668101214161820222424262830323438404244[[#This Row],[Total Acumulado]]-P110</f>
        <v>-67</v>
      </c>
      <c r="P110" s="48">
        <f>Tabela17468101214223032268161925273133362421012141618242628303840248101214162022262830323436242681012142461012242624426262826268102628623668101214161820222424262830323438404244[[#This Row],[Uso diário]]*5</f>
        <v>67</v>
      </c>
      <c r="Q11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0" s="25">
        <v>22</v>
      </c>
    </row>
    <row r="111" spans="1:20" s="26" customFormat="1" x14ac:dyDescent="0.25">
      <c r="A111" s="16">
        <v>233474</v>
      </c>
      <c r="B111" s="30" t="s">
        <v>1101</v>
      </c>
      <c r="C111" s="20" t="s">
        <v>651</v>
      </c>
      <c r="D111" s="20" t="s">
        <v>719</v>
      </c>
      <c r="E111" s="20" t="s">
        <v>3470</v>
      </c>
      <c r="F111" s="20" t="s">
        <v>3471</v>
      </c>
      <c r="G111" s="21">
        <v>13.4</v>
      </c>
      <c r="H111" s="16">
        <v>16</v>
      </c>
      <c r="I111" s="16">
        <v>1</v>
      </c>
      <c r="J11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111" s="22"/>
      <c r="L111" s="23"/>
      <c r="M11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1" s="19">
        <f>Tabela17468101214223032268161925273133362421012141618242628303840248101214162022262830323436242681012142461012242624426262826268102628623668101214161820222424262830323438404244[[#This Row],[Uso diário]]*2</f>
        <v>26.8</v>
      </c>
      <c r="O111" s="19">
        <f>Tabela17468101214223032268161925273133362421012141618242628303840248101214162022262830323436242681012142461012242624426262826268102628623668101214161820222424262830323438404244[[#This Row],[Total Acumulado]]-P111</f>
        <v>-67</v>
      </c>
      <c r="P111" s="48">
        <f>Tabela17468101214223032268161925273133362421012141618242628303840248101214162022262830323436242681012142461012242624426262826268102628623668101214161820222424262830323438404244[[#This Row],[Uso diário]]*5</f>
        <v>67</v>
      </c>
      <c r="Q11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11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1" s="25">
        <v>22</v>
      </c>
    </row>
    <row r="112" spans="1:20" s="26" customFormat="1" x14ac:dyDescent="0.25">
      <c r="A112" s="16">
        <v>233563</v>
      </c>
      <c r="B112" s="30" t="s">
        <v>1102</v>
      </c>
      <c r="C112" s="20" t="s">
        <v>651</v>
      </c>
      <c r="D112" s="20" t="s">
        <v>716</v>
      </c>
      <c r="E112" s="20" t="s">
        <v>3472</v>
      </c>
      <c r="F112" s="20" t="s">
        <v>3473</v>
      </c>
      <c r="G112" s="21">
        <v>13.4</v>
      </c>
      <c r="H112" s="16">
        <v>16</v>
      </c>
      <c r="I112" s="16">
        <v>1</v>
      </c>
      <c r="J11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201</v>
      </c>
      <c r="K112" s="22"/>
      <c r="L112" s="23"/>
      <c r="M11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2" s="19">
        <f>Tabela17468101214223032268161925273133362421012141618242628303840248101214162022262830323436242681012142461012242624426262826268102628623668101214161820222424262830323438404244[[#This Row],[Uso diário]]*2</f>
        <v>26.8</v>
      </c>
      <c r="O112" s="19">
        <f>Tabela17468101214223032268161925273133362421012141618242628303840248101214162022262830323436242681012142461012242624426262826268102628623668101214161820222424262830323438404244[[#This Row],[Total Acumulado]]-P112</f>
        <v>-67</v>
      </c>
      <c r="P112" s="48">
        <f>Tabela17468101214223032268161925273133362421012141618242628303840248101214162022262830323436242681012142461012242624426262826268102628623668101214161820222424262830323438404244[[#This Row],[Uso diário]]*5</f>
        <v>67</v>
      </c>
      <c r="Q11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201</v>
      </c>
      <c r="S11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2" s="25">
        <v>22</v>
      </c>
    </row>
    <row r="113" spans="1:20" s="26" customFormat="1" x14ac:dyDescent="0.25">
      <c r="A113" s="16">
        <v>233572</v>
      </c>
      <c r="B113" s="30" t="s">
        <v>1103</v>
      </c>
      <c r="C113" s="20" t="s">
        <v>651</v>
      </c>
      <c r="D113" s="20" t="s">
        <v>716</v>
      </c>
      <c r="E113" s="20" t="s">
        <v>3474</v>
      </c>
      <c r="F113" s="20" t="s">
        <v>3475</v>
      </c>
      <c r="G113" s="21">
        <v>13.4</v>
      </c>
      <c r="H113" s="16">
        <v>16</v>
      </c>
      <c r="I113" s="16"/>
      <c r="J11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3" s="22"/>
      <c r="L113" s="23"/>
      <c r="M11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3" s="19">
        <f>Tabela17468101214223032268161925273133362421012141618242628303840248101214162022262830323436242681012142461012242624426262826268102628623668101214161820222424262830323438404244[[#This Row],[Uso diário]]*2</f>
        <v>26.8</v>
      </c>
      <c r="O113" s="19">
        <f>Tabela17468101214223032268161925273133362421012141618242628303840248101214162022262830323436242681012142461012242624426262826268102628623668101214161820222424262830323438404244[[#This Row],[Total Acumulado]]-P113</f>
        <v>-67</v>
      </c>
      <c r="P113" s="48">
        <f>Tabela17468101214223032268161925273133362421012141618242628303840248101214162022262830323436242681012142461012242624426262826268102628623668101214161820222424262830323438404244[[#This Row],[Uso diário]]*5</f>
        <v>67</v>
      </c>
      <c r="Q11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3" s="25">
        <v>22</v>
      </c>
    </row>
    <row r="114" spans="1:20" s="26" customFormat="1" x14ac:dyDescent="0.25">
      <c r="A114" s="16">
        <v>233899</v>
      </c>
      <c r="B114" s="30" t="s">
        <v>1104</v>
      </c>
      <c r="C114" s="20" t="s">
        <v>651</v>
      </c>
      <c r="D114" s="20" t="s">
        <v>716</v>
      </c>
      <c r="E114" s="20" t="s">
        <v>3476</v>
      </c>
      <c r="F114" s="20" t="s">
        <v>3477</v>
      </c>
      <c r="G114" s="21">
        <v>13.4</v>
      </c>
      <c r="H114" s="16">
        <v>16</v>
      </c>
      <c r="I114" s="16"/>
      <c r="J11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4" s="22"/>
      <c r="L114" s="23"/>
      <c r="M11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4" s="19">
        <f>Tabela17468101214223032268161925273133362421012141618242628303840248101214162022262830323436242681012142461012242624426262826268102628623668101214161820222424262830323438404244[[#This Row],[Uso diário]]*2</f>
        <v>26.8</v>
      </c>
      <c r="O114" s="19">
        <f>Tabela17468101214223032268161925273133362421012141618242628303840248101214162022262830323436242681012142461012242624426262826268102628623668101214161820222424262830323438404244[[#This Row],[Total Acumulado]]-P114</f>
        <v>-67</v>
      </c>
      <c r="P114" s="48">
        <f>Tabela17468101214223032268161925273133362421012141618242628303840248101214162022262830323436242681012142461012242624426262826268102628623668101214161820222424262830323438404244[[#This Row],[Uso diário]]*5</f>
        <v>67</v>
      </c>
      <c r="Q11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4" s="25">
        <v>22</v>
      </c>
    </row>
    <row r="115" spans="1:20" s="26" customFormat="1" x14ac:dyDescent="0.25">
      <c r="A115" s="16">
        <v>233954</v>
      </c>
      <c r="B115" s="30" t="s">
        <v>1222</v>
      </c>
      <c r="C115" s="20" t="s">
        <v>651</v>
      </c>
      <c r="D115" s="20" t="s">
        <v>716</v>
      </c>
      <c r="E115" s="20" t="s">
        <v>3478</v>
      </c>
      <c r="F115" s="20" t="s">
        <v>3479</v>
      </c>
      <c r="G115" s="21">
        <v>13.4</v>
      </c>
      <c r="H115" s="16">
        <v>16</v>
      </c>
      <c r="I115" s="16"/>
      <c r="J11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5" s="22"/>
      <c r="L115" s="23"/>
      <c r="M11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5" s="19">
        <f>Tabela17468101214223032268161925273133362421012141618242628303840248101214162022262830323436242681012142461012242624426262826268102628623668101214161820222424262830323438404244[[#This Row],[Uso diário]]*2</f>
        <v>26.8</v>
      </c>
      <c r="O115" s="19">
        <f>Tabela17468101214223032268161925273133362421012141618242628303840248101214162022262830323436242681012142461012242624426262826268102628623668101214161820222424262830323438404244[[#This Row],[Total Acumulado]]-P115</f>
        <v>-67</v>
      </c>
      <c r="P115" s="48">
        <f>Tabela17468101214223032268161925273133362421012141618242628303840248101214162022262830323436242681012142461012242624426262826268102628623668101214161820222424262830323438404244[[#This Row],[Uso diário]]*5</f>
        <v>67</v>
      </c>
      <c r="Q11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5" s="25">
        <v>22</v>
      </c>
    </row>
    <row r="116" spans="1:20" s="26" customFormat="1" x14ac:dyDescent="0.25">
      <c r="A116" s="16">
        <v>234447</v>
      </c>
      <c r="B116" s="30" t="s">
        <v>1296</v>
      </c>
      <c r="C116" s="20" t="s">
        <v>651</v>
      </c>
      <c r="D116" s="20" t="s">
        <v>716</v>
      </c>
      <c r="E116" s="20" t="s">
        <v>3480</v>
      </c>
      <c r="F116" s="20" t="s">
        <v>3481</v>
      </c>
      <c r="G116" s="21">
        <v>13.4</v>
      </c>
      <c r="H116" s="16">
        <v>16</v>
      </c>
      <c r="I116" s="16"/>
      <c r="J11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6" s="22"/>
      <c r="L116" s="23"/>
      <c r="M11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6" s="19">
        <f>Tabela17468101214223032268161925273133362421012141618242628303840248101214162022262830323436242681012142461012242624426262826268102628623668101214161820222424262830323438404244[[#This Row],[Uso diário]]*2</f>
        <v>26.8</v>
      </c>
      <c r="O116" s="19">
        <f>Tabela17468101214223032268161925273133362421012141618242628303840248101214162022262830323436242681012142461012242624426262826268102628623668101214161820222424262830323438404244[[#This Row],[Total Acumulado]]-P116</f>
        <v>-67</v>
      </c>
      <c r="P116" s="48">
        <f>Tabela17468101214223032268161925273133362421012141618242628303840248101214162022262830323436242681012142461012242624426262826268102628623668101214161820222424262830323438404244[[#This Row],[Uso diário]]*5</f>
        <v>67</v>
      </c>
      <c r="Q11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6" s="25">
        <v>22</v>
      </c>
    </row>
    <row r="117" spans="1:20" s="26" customFormat="1" x14ac:dyDescent="0.25">
      <c r="A117" s="16">
        <v>234506</v>
      </c>
      <c r="B117" s="30" t="s">
        <v>1297</v>
      </c>
      <c r="C117" s="20" t="s">
        <v>651</v>
      </c>
      <c r="D117" s="20" t="s">
        <v>716</v>
      </c>
      <c r="E117" s="20" t="s">
        <v>3482</v>
      </c>
      <c r="F117" s="20" t="s">
        <v>3483</v>
      </c>
      <c r="G117" s="21">
        <v>13.4</v>
      </c>
      <c r="H117" s="16">
        <v>16</v>
      </c>
      <c r="I117" s="16"/>
      <c r="J11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7" s="22"/>
      <c r="L117" s="23"/>
      <c r="M11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7" s="19">
        <f>Tabela17468101214223032268161925273133362421012141618242628303840248101214162022262830323436242681012142461012242624426262826268102628623668101214161820222424262830323438404244[[#This Row],[Uso diário]]*2</f>
        <v>26.8</v>
      </c>
      <c r="O117" s="19">
        <f>Tabela17468101214223032268161925273133362421012141618242628303840248101214162022262830323436242681012142461012242624426262826268102628623668101214161820222424262830323438404244[[#This Row],[Total Acumulado]]-P117</f>
        <v>-67</v>
      </c>
      <c r="P117" s="48">
        <f>Tabela17468101214223032268161925273133362421012141618242628303840248101214162022262830323436242681012142461012242624426262826268102628623668101214161820222424262830323438404244[[#This Row],[Uso diário]]*5</f>
        <v>67</v>
      </c>
      <c r="Q11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7" s="25">
        <v>22</v>
      </c>
    </row>
    <row r="118" spans="1:20" s="26" customFormat="1" x14ac:dyDescent="0.25">
      <c r="A118" s="16">
        <v>234661</v>
      </c>
      <c r="B118" s="30" t="s">
        <v>1327</v>
      </c>
      <c r="C118" s="20" t="s">
        <v>651</v>
      </c>
      <c r="D118" s="20" t="s">
        <v>716</v>
      </c>
      <c r="E118" s="20" t="s">
        <v>3484</v>
      </c>
      <c r="F118" s="20" t="s">
        <v>3485</v>
      </c>
      <c r="G118" s="21">
        <v>13.4</v>
      </c>
      <c r="H118" s="16">
        <v>16</v>
      </c>
      <c r="I118" s="16"/>
      <c r="J11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8" s="22"/>
      <c r="L118" s="23"/>
      <c r="M11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8" s="19">
        <f>Tabela17468101214223032268161925273133362421012141618242628303840248101214162022262830323436242681012142461012242624426262826268102628623668101214161820222424262830323438404244[[#This Row],[Uso diário]]*2</f>
        <v>26.8</v>
      </c>
      <c r="O118" s="19">
        <f>Tabela17468101214223032268161925273133362421012141618242628303840248101214162022262830323436242681012142461012242624426262826268102628623668101214161820222424262830323438404244[[#This Row],[Total Acumulado]]-P118</f>
        <v>-67</v>
      </c>
      <c r="P118" s="48">
        <f>Tabela17468101214223032268161925273133362421012141618242628303840248101214162022262830323436242681012142461012242624426262826268102628623668101214161820222424262830323438404244[[#This Row],[Uso diário]]*5</f>
        <v>67</v>
      </c>
      <c r="Q11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8" s="25">
        <v>22</v>
      </c>
    </row>
    <row r="119" spans="1:20" s="26" customFormat="1" x14ac:dyDescent="0.25">
      <c r="A119" s="16">
        <v>234878</v>
      </c>
      <c r="B119" s="30" t="s">
        <v>1498</v>
      </c>
      <c r="C119" s="20" t="s">
        <v>651</v>
      </c>
      <c r="D119" s="20" t="s">
        <v>716</v>
      </c>
      <c r="E119" s="20" t="s">
        <v>3486</v>
      </c>
      <c r="F119" s="20" t="s">
        <v>3487</v>
      </c>
      <c r="G119" s="21">
        <v>13.4</v>
      </c>
      <c r="H119" s="16">
        <v>16</v>
      </c>
      <c r="I119" s="16"/>
      <c r="J11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214.4</v>
      </c>
      <c r="K119" s="22"/>
      <c r="L119" s="23"/>
      <c r="M11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19" s="19">
        <f>Tabela17468101214223032268161925273133362421012141618242628303840248101214162022262830323436242681012142461012242624426262826268102628623668101214161820222424262830323438404244[[#This Row],[Uso diário]]*2</f>
        <v>26.8</v>
      </c>
      <c r="O119" s="19">
        <f>Tabela17468101214223032268161925273133362421012141618242628303840248101214162022262830323436242681012142461012242624426262826268102628623668101214161820222424262830323438404244[[#This Row],[Total Acumulado]]-P119</f>
        <v>-67</v>
      </c>
      <c r="P119" s="48">
        <f>Tabela17468101214223032268161925273133362421012141618242628303840248101214162022262830323436242681012142461012242624426262826268102628623668101214161820222424262830323438404244[[#This Row],[Uso diário]]*5</f>
        <v>67</v>
      </c>
      <c r="Q11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1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214.4</v>
      </c>
      <c r="S11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19" s="25">
        <v>22</v>
      </c>
    </row>
    <row r="120" spans="1:20" s="26" customFormat="1" x14ac:dyDescent="0.25">
      <c r="A120" s="16">
        <v>234921</v>
      </c>
      <c r="B120" s="30" t="s">
        <v>1499</v>
      </c>
      <c r="C120" s="20" t="s">
        <v>651</v>
      </c>
      <c r="D120" s="20" t="s">
        <v>716</v>
      </c>
      <c r="E120" s="20" t="s">
        <v>3488</v>
      </c>
      <c r="F120" s="20" t="s">
        <v>3489</v>
      </c>
      <c r="G120" s="21">
        <v>13.4</v>
      </c>
      <c r="H120" s="16">
        <v>16</v>
      </c>
      <c r="I120" s="16">
        <v>3</v>
      </c>
      <c r="J12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174.20000000000002</v>
      </c>
      <c r="K120" s="22"/>
      <c r="L120" s="23"/>
      <c r="M12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0" s="19">
        <f>Tabela17468101214223032268161925273133362421012141618242628303840248101214162022262830323436242681012142461012242624426262826268102628623668101214161820222424262830323438404244[[#This Row],[Uso diário]]*2</f>
        <v>26.8</v>
      </c>
      <c r="O120" s="19">
        <f>Tabela17468101214223032268161925273133362421012141618242628303840248101214162022262830323436242681012142461012242624426262826268102628623668101214161820222424262830323438404244[[#This Row],[Total Acumulado]]-P120</f>
        <v>-67</v>
      </c>
      <c r="P120" s="48">
        <f>Tabela17468101214223032268161925273133362421012141618242628303840248101214162022262830323436242681012142461012242624426262826268102628623668101214161820222424262830323438404244[[#This Row],[Uso diário]]*5</f>
        <v>67</v>
      </c>
      <c r="Q12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174.20000000000002</v>
      </c>
      <c r="S12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0" s="25">
        <v>22</v>
      </c>
    </row>
    <row r="121" spans="1:20" s="26" customFormat="1" x14ac:dyDescent="0.25">
      <c r="A121" s="16">
        <v>10483</v>
      </c>
      <c r="B121" s="30" t="s">
        <v>852</v>
      </c>
      <c r="C121" s="20" t="s">
        <v>652</v>
      </c>
      <c r="D121" s="20" t="s">
        <v>739</v>
      </c>
      <c r="E121" s="20" t="s">
        <v>3490</v>
      </c>
      <c r="F121" s="20" t="s">
        <v>3491</v>
      </c>
      <c r="G121" s="21">
        <v>29.2</v>
      </c>
      <c r="H121" s="16">
        <v>26</v>
      </c>
      <c r="I121" s="16"/>
      <c r="J12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759.19999999999993</v>
      </c>
      <c r="K121" s="22"/>
      <c r="L121" s="23">
        <v>337.95</v>
      </c>
      <c r="M121" s="23">
        <f>SUM(Tabela17468101214223032268161925273133362421012141618242628303840248101214162022262830323436242681012142461012242624426262826268102628623668101214161820222424262830323438404244[[#This Row],[Saldo no cartão]:[Recarga Pendente]])</f>
        <v>337.95</v>
      </c>
      <c r="N121" s="19">
        <f>Tabela17468101214223032268161925273133362421012141618242628303840248101214162022262830323436242681012142461012242624426262826268102628623668101214161820222424262830323438404244[[#This Row],[Uso diário]]*2</f>
        <v>58.4</v>
      </c>
      <c r="O121" s="19">
        <f>Tabela17468101214223032268161925273133362421012141618242628303840248101214162022262830323436242681012142461012242624426262826268102628623668101214161820222424262830323438404244[[#This Row],[Total Acumulado]]-P121</f>
        <v>191.95</v>
      </c>
      <c r="P121" s="48">
        <f>Tabela17468101214223032268161925273133362421012141618242628303840248101214162022262830323436242681012142461012242624426262826268102628623668101214161820222424262830323438404244[[#This Row],[Uso diário]]*5</f>
        <v>146</v>
      </c>
      <c r="Q12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191.95</v>
      </c>
      <c r="R12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567.25</v>
      </c>
      <c r="S121" s="18" t="s">
        <v>11</v>
      </c>
      <c r="T121" s="25">
        <v>22</v>
      </c>
    </row>
    <row r="122" spans="1:20" s="26" customFormat="1" x14ac:dyDescent="0.25">
      <c r="A122" s="16">
        <v>222119</v>
      </c>
      <c r="B122" s="30" t="s">
        <v>480</v>
      </c>
      <c r="C122" s="20" t="s">
        <v>1388</v>
      </c>
      <c r="D122" s="20" t="s">
        <v>1389</v>
      </c>
      <c r="E122" s="20" t="s">
        <v>3492</v>
      </c>
      <c r="F122" s="20" t="s">
        <v>3493</v>
      </c>
      <c r="G122" s="21">
        <v>14.2</v>
      </c>
      <c r="H122" s="16">
        <v>26</v>
      </c>
      <c r="I122" s="16"/>
      <c r="J12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369.2</v>
      </c>
      <c r="K122" s="22"/>
      <c r="L122" s="23"/>
      <c r="M12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2" s="19">
        <f>Tabela17468101214223032268161925273133362421012141618242628303840248101214162022262830323436242681012142461012242624426262826268102628623668101214161820222424262830323438404244[[#This Row],[Uso diário]]*2</f>
        <v>28.4</v>
      </c>
      <c r="O122" s="19">
        <f>Tabela17468101214223032268161925273133362421012141618242628303840248101214162022262830323436242681012142461012242624426262826268102628623668101214161820222424262830323438404244[[#This Row],[Total Acumulado]]-P122</f>
        <v>-71</v>
      </c>
      <c r="P122" s="48">
        <f>Tabela17468101214223032268161925273133362421012141618242628303840248101214162022262830323436242681012142461012242624426262826268102628623668101214161820222424262830323438404244[[#This Row],[Uso diário]]*5</f>
        <v>71</v>
      </c>
      <c r="Q12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369.2</v>
      </c>
      <c r="S12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2" s="25">
        <v>22</v>
      </c>
    </row>
    <row r="123" spans="1:20" s="26" customFormat="1" x14ac:dyDescent="0.25">
      <c r="A123" s="16">
        <v>211813</v>
      </c>
      <c r="B123" s="30" t="s">
        <v>468</v>
      </c>
      <c r="C123" s="20" t="s">
        <v>635</v>
      </c>
      <c r="D123" s="20" t="s">
        <v>698</v>
      </c>
      <c r="E123" s="20" t="s">
        <v>3494</v>
      </c>
      <c r="F123" s="20" t="s">
        <v>3495</v>
      </c>
      <c r="G123" s="21">
        <v>14.2</v>
      </c>
      <c r="H123" s="16">
        <v>26</v>
      </c>
      <c r="I123" s="16"/>
      <c r="J12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369.2</v>
      </c>
      <c r="K123" s="22"/>
      <c r="L123" s="23"/>
      <c r="M12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3" s="19">
        <f>Tabela17468101214223032268161925273133362421012141618242628303840248101214162022262830323436242681012142461012242624426262826268102628623668101214161820222424262830323438404244[[#This Row],[Uso diário]]*2</f>
        <v>28.4</v>
      </c>
      <c r="O123" s="19">
        <f>Tabela17468101214223032268161925273133362421012141618242628303840248101214162022262830323436242681012142461012242624426262826268102628623668101214161820222424262830323438404244[[#This Row],[Total Acumulado]]-P123</f>
        <v>-71</v>
      </c>
      <c r="P123" s="48">
        <f>Tabela17468101214223032268161925273133362421012141618242628303840248101214162022262830323436242681012142461012242624426262826268102628623668101214161820222424262830323438404244[[#This Row],[Uso diário]]*5</f>
        <v>71</v>
      </c>
      <c r="Q12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369.2</v>
      </c>
      <c r="S12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3" s="25">
        <v>22</v>
      </c>
    </row>
    <row r="124" spans="1:20" s="26" customFormat="1" x14ac:dyDescent="0.25">
      <c r="A124" s="16">
        <v>226106</v>
      </c>
      <c r="B124" s="30" t="s">
        <v>300</v>
      </c>
      <c r="C124" s="20" t="s">
        <v>635</v>
      </c>
      <c r="D124" s="20" t="s">
        <v>689</v>
      </c>
      <c r="E124" s="20" t="s">
        <v>3496</v>
      </c>
      <c r="F124" s="20" t="s">
        <v>3497</v>
      </c>
      <c r="G124" s="21">
        <v>16.5</v>
      </c>
      <c r="H124" s="16">
        <v>26</v>
      </c>
      <c r="I124" s="16">
        <v>1</v>
      </c>
      <c r="J12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412.5</v>
      </c>
      <c r="K124" s="22"/>
      <c r="L124" s="23"/>
      <c r="M12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4" s="19">
        <f>Tabela17468101214223032268161925273133362421012141618242628303840248101214162022262830323436242681012142461012242624426262826268102628623668101214161820222424262830323438404244[[#This Row],[Uso diário]]*2</f>
        <v>33</v>
      </c>
      <c r="O124" s="19">
        <f>Tabela17468101214223032268161925273133362421012141618242628303840248101214162022262830323436242681012142461012242624426262826268102628623668101214161820222424262830323438404244[[#This Row],[Total Acumulado]]-P124</f>
        <v>-82.5</v>
      </c>
      <c r="P124" s="48">
        <f>Tabela17468101214223032268161925273133362421012141618242628303840248101214162022262830323436242681012142461012242624426262826268102628623668101214161820222424262830323438404244[[#This Row],[Uso diário]]*5</f>
        <v>82.5</v>
      </c>
      <c r="Q12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412.5</v>
      </c>
      <c r="S12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4" s="25">
        <v>22</v>
      </c>
    </row>
    <row r="125" spans="1:20" s="26" customFormat="1" x14ac:dyDescent="0.25">
      <c r="A125" s="16">
        <v>231226</v>
      </c>
      <c r="B125" s="30" t="s">
        <v>797</v>
      </c>
      <c r="C125" s="20" t="s">
        <v>636</v>
      </c>
      <c r="D125" s="20" t="s">
        <v>729</v>
      </c>
      <c r="E125" s="20" t="s">
        <v>3498</v>
      </c>
      <c r="F125" s="20" t="s">
        <v>3499</v>
      </c>
      <c r="G125" s="21">
        <v>9.4</v>
      </c>
      <c r="H125" s="16">
        <v>22</v>
      </c>
      <c r="I125" s="16">
        <v>3</v>
      </c>
      <c r="J12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178.6</v>
      </c>
      <c r="K125" s="22"/>
      <c r="L125" s="23"/>
      <c r="M12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5" s="19">
        <f>Tabela17468101214223032268161925273133362421012141618242628303840248101214162022262830323436242681012142461012242624426262826268102628623668101214161820222424262830323438404244[[#This Row],[Uso diário]]*2</f>
        <v>18.8</v>
      </c>
      <c r="O125" s="19">
        <f>Tabela17468101214223032268161925273133362421012141618242628303840248101214162022262830323436242681012142461012242624426262826268102628623668101214161820222424262830323438404244[[#This Row],[Total Acumulado]]-P125</f>
        <v>-47</v>
      </c>
      <c r="P125" s="48">
        <f>Tabela17468101214223032268161925273133362421012141618242628303840248101214162022262830323436242681012142461012242624426262826268102628623668101214161820222424262830323438404244[[#This Row],[Uso diário]]*5</f>
        <v>47</v>
      </c>
      <c r="Q12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178.6</v>
      </c>
      <c r="S12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5" s="25">
        <v>22</v>
      </c>
    </row>
    <row r="126" spans="1:20" s="26" customFormat="1" x14ac:dyDescent="0.25">
      <c r="A126" s="16">
        <v>231625</v>
      </c>
      <c r="B126" s="30" t="s">
        <v>853</v>
      </c>
      <c r="C126" s="20" t="s">
        <v>636</v>
      </c>
      <c r="D126" s="20" t="s">
        <v>729</v>
      </c>
      <c r="E126" s="20" t="s">
        <v>3500</v>
      </c>
      <c r="F126" s="20" t="s">
        <v>3501</v>
      </c>
      <c r="G126" s="21">
        <v>13.4</v>
      </c>
      <c r="H126" s="16">
        <v>22</v>
      </c>
      <c r="I126" s="16"/>
      <c r="J12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294.8</v>
      </c>
      <c r="K126" s="22"/>
      <c r="L126" s="23"/>
      <c r="M12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6" s="19">
        <f>Tabela17468101214223032268161925273133362421012141618242628303840248101214162022262830323436242681012142461012242624426262826268102628623668101214161820222424262830323438404244[[#This Row],[Uso diário]]*2</f>
        <v>26.8</v>
      </c>
      <c r="O126" s="19">
        <f>Tabela17468101214223032268161925273133362421012141618242628303840248101214162022262830323436242681012142461012242624426262826268102628623668101214161820222424262830323438404244[[#This Row],[Total Acumulado]]-P126</f>
        <v>-67</v>
      </c>
      <c r="P126" s="48">
        <f>Tabela17468101214223032268161925273133362421012141618242628303840248101214162022262830323436242681012142461012242624426262826268102628623668101214161820222424262830323438404244[[#This Row],[Uso diário]]*5</f>
        <v>67</v>
      </c>
      <c r="Q12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294.8</v>
      </c>
      <c r="S12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6" s="25">
        <v>22</v>
      </c>
    </row>
    <row r="127" spans="1:20" s="26" customFormat="1" x14ac:dyDescent="0.25">
      <c r="A127" s="16">
        <v>231626</v>
      </c>
      <c r="B127" s="30" t="s">
        <v>854</v>
      </c>
      <c r="C127" s="20" t="s">
        <v>636</v>
      </c>
      <c r="D127" s="20" t="s">
        <v>730</v>
      </c>
      <c r="E127" s="20" t="s">
        <v>3502</v>
      </c>
      <c r="F127" s="20" t="s">
        <v>3503</v>
      </c>
      <c r="G127" s="21">
        <v>13.4</v>
      </c>
      <c r="H127" s="16">
        <v>22</v>
      </c>
      <c r="I127" s="16"/>
      <c r="J12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294.8</v>
      </c>
      <c r="K127" s="22"/>
      <c r="L127" s="23"/>
      <c r="M12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7" s="19">
        <f>Tabela17468101214223032268161925273133362421012141618242628303840248101214162022262830323436242681012142461012242624426262826268102628623668101214161820222424262830323438404244[[#This Row],[Uso diário]]*2</f>
        <v>26.8</v>
      </c>
      <c r="O127" s="19">
        <f>Tabela17468101214223032268161925273133362421012141618242628303840248101214162022262830323436242681012142461012242624426262826268102628623668101214161820222424262830323438404244[[#This Row],[Total Acumulado]]-P127</f>
        <v>-67</v>
      </c>
      <c r="P127" s="48">
        <f>Tabela17468101214223032268161925273133362421012141618242628303840248101214162022262830323436242681012142461012242624426262826268102628623668101214161820222424262830323438404244[[#This Row],[Uso diário]]*5</f>
        <v>67</v>
      </c>
      <c r="Q12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294.8</v>
      </c>
      <c r="S12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7" s="25">
        <v>22</v>
      </c>
    </row>
    <row r="128" spans="1:20" s="26" customFormat="1" x14ac:dyDescent="0.25">
      <c r="A128" s="16">
        <v>231627</v>
      </c>
      <c r="B128" s="30" t="s">
        <v>855</v>
      </c>
      <c r="C128" s="20" t="s">
        <v>636</v>
      </c>
      <c r="D128" s="20" t="s">
        <v>730</v>
      </c>
      <c r="E128" s="20" t="s">
        <v>3504</v>
      </c>
      <c r="F128" s="20" t="s">
        <v>3505</v>
      </c>
      <c r="G128" s="21">
        <v>13.4</v>
      </c>
      <c r="H128" s="16">
        <v>22</v>
      </c>
      <c r="I128" s="16"/>
      <c r="J12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294.8</v>
      </c>
      <c r="K128" s="22"/>
      <c r="L128" s="23"/>
      <c r="M12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8" s="19">
        <f>Tabela17468101214223032268161925273133362421012141618242628303840248101214162022262830323436242681012142461012242624426262826268102628623668101214161820222424262830323438404244[[#This Row],[Uso diário]]*2</f>
        <v>26.8</v>
      </c>
      <c r="O128" s="19">
        <f>Tabela17468101214223032268161925273133362421012141618242628303840248101214162022262830323436242681012142461012242624426262826268102628623668101214161820222424262830323438404244[[#This Row],[Total Acumulado]]-P128</f>
        <v>-67</v>
      </c>
      <c r="P128" s="48">
        <f>Tabela17468101214223032268161925273133362421012141618242628303840248101214162022262830323436242681012142461012242624426262826268102628623668101214161820222424262830323438404244[[#This Row],[Uso diário]]*5</f>
        <v>67</v>
      </c>
      <c r="Q12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294.8</v>
      </c>
      <c r="S12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8" s="25">
        <v>22</v>
      </c>
    </row>
    <row r="129" spans="1:20" s="26" customFormat="1" x14ac:dyDescent="0.25">
      <c r="A129" s="16">
        <v>233235</v>
      </c>
      <c r="B129" s="30" t="s">
        <v>1008</v>
      </c>
      <c r="C129" s="20" t="s">
        <v>636</v>
      </c>
      <c r="D129" s="20" t="s">
        <v>729</v>
      </c>
      <c r="E129" s="20" t="s">
        <v>3506</v>
      </c>
      <c r="F129" s="20" t="s">
        <v>3507</v>
      </c>
      <c r="G129" s="21">
        <v>18.8</v>
      </c>
      <c r="H129" s="16">
        <v>22</v>
      </c>
      <c r="I129" s="16">
        <v>1</v>
      </c>
      <c r="J12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394.8</v>
      </c>
      <c r="K129" s="22"/>
      <c r="L129" s="23"/>
      <c r="M12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29" s="19">
        <f>Tabela17468101214223032268161925273133362421012141618242628303840248101214162022262830323436242681012142461012242624426262826268102628623668101214161820222424262830323438404244[[#This Row],[Uso diário]]*2</f>
        <v>37.6</v>
      </c>
      <c r="O129" s="19">
        <f>Tabela17468101214223032268161925273133362421012141618242628303840248101214162022262830323436242681012142461012242624426262826268102628623668101214161820222424262830323438404244[[#This Row],[Total Acumulado]]-P129</f>
        <v>-94</v>
      </c>
      <c r="P129" s="48">
        <f>Tabela17468101214223032268161925273133362421012141618242628303840248101214162022262830323436242681012142461012242624426262826268102628623668101214161820222424262830323438404244[[#This Row],[Uso diário]]*5</f>
        <v>94</v>
      </c>
      <c r="Q12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2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394.8</v>
      </c>
      <c r="S12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29" s="25">
        <v>22</v>
      </c>
    </row>
    <row r="130" spans="1:20" s="26" customFormat="1" x14ac:dyDescent="0.25">
      <c r="A130" s="16">
        <v>233236</v>
      </c>
      <c r="B130" s="30" t="s">
        <v>1009</v>
      </c>
      <c r="C130" s="20" t="s">
        <v>636</v>
      </c>
      <c r="D130" s="20" t="s">
        <v>729</v>
      </c>
      <c r="E130" s="20" t="s">
        <v>3508</v>
      </c>
      <c r="F130" s="20" t="s">
        <v>3509</v>
      </c>
      <c r="G130" s="21">
        <v>13.4</v>
      </c>
      <c r="H130" s="16">
        <v>22</v>
      </c>
      <c r="I130" s="16">
        <v>5</v>
      </c>
      <c r="J13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227.8</v>
      </c>
      <c r="K130" s="22"/>
      <c r="L130" s="23"/>
      <c r="M13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0" s="19">
        <f>Tabela17468101214223032268161925273133362421012141618242628303840248101214162022262830323436242681012142461012242624426262826268102628623668101214161820222424262830323438404244[[#This Row],[Uso diário]]*2</f>
        <v>26.8</v>
      </c>
      <c r="O130" s="19">
        <f>Tabela17468101214223032268161925273133362421012141618242628303840248101214162022262830323436242681012142461012242624426262826268102628623668101214161820222424262830323438404244[[#This Row],[Total Acumulado]]-P130</f>
        <v>-67</v>
      </c>
      <c r="P130" s="48">
        <f>Tabela17468101214223032268161925273133362421012141618242628303840248101214162022262830323436242681012142461012242624426262826268102628623668101214161820222424262830323438404244[[#This Row],[Uso diário]]*5</f>
        <v>67</v>
      </c>
      <c r="Q13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227.8</v>
      </c>
      <c r="S13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0" s="25">
        <v>22</v>
      </c>
    </row>
    <row r="131" spans="1:20" s="26" customFormat="1" x14ac:dyDescent="0.25">
      <c r="A131" s="16">
        <v>234094</v>
      </c>
      <c r="B131" s="30" t="s">
        <v>1223</v>
      </c>
      <c r="C131" s="20" t="s">
        <v>636</v>
      </c>
      <c r="D131" s="20" t="s">
        <v>729</v>
      </c>
      <c r="E131" s="20" t="s">
        <v>3510</v>
      </c>
      <c r="F131" s="20" t="s">
        <v>3511</v>
      </c>
      <c r="G131" s="21">
        <v>13.4</v>
      </c>
      <c r="H131" s="16">
        <v>22</v>
      </c>
      <c r="I131" s="16">
        <v>1</v>
      </c>
      <c r="J13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281.40000000000003</v>
      </c>
      <c r="K131" s="22"/>
      <c r="L131" s="23"/>
      <c r="M13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1" s="19">
        <f>Tabela17468101214223032268161925273133362421012141618242628303840248101214162022262830323436242681012142461012242624426262826268102628623668101214161820222424262830323438404244[[#This Row],[Uso diário]]*2</f>
        <v>26.8</v>
      </c>
      <c r="O131" s="19">
        <f>Tabela17468101214223032268161925273133362421012141618242628303840248101214162022262830323436242681012142461012242624426262826268102628623668101214161820222424262830323438404244[[#This Row],[Total Acumulado]]-P131</f>
        <v>-67</v>
      </c>
      <c r="P131" s="48">
        <f>Tabela17468101214223032268161925273133362421012141618242628303840248101214162022262830323436242681012142461012242624426262826268102628623668101214161820222424262830323438404244[[#This Row],[Uso diário]]*5</f>
        <v>67</v>
      </c>
      <c r="Q13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281.40000000000003</v>
      </c>
      <c r="S13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1" s="25">
        <v>22</v>
      </c>
    </row>
    <row r="132" spans="1:20" s="26" customFormat="1" x14ac:dyDescent="0.25">
      <c r="A132" s="16">
        <v>234096</v>
      </c>
      <c r="B132" s="30" t="s">
        <v>1224</v>
      </c>
      <c r="C132" s="20" t="s">
        <v>636</v>
      </c>
      <c r="D132" s="20" t="s">
        <v>729</v>
      </c>
      <c r="E132" s="20" t="s">
        <v>3512</v>
      </c>
      <c r="F132" s="20" t="s">
        <v>3513</v>
      </c>
      <c r="G132" s="21">
        <v>20.100000000000001</v>
      </c>
      <c r="H132" s="16">
        <v>22</v>
      </c>
      <c r="I132" s="16">
        <v>1</v>
      </c>
      <c r="J13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422.1</v>
      </c>
      <c r="K132" s="22"/>
      <c r="L132" s="23"/>
      <c r="M13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2" s="19">
        <f>Tabela17468101214223032268161925273133362421012141618242628303840248101214162022262830323436242681012142461012242624426262826268102628623668101214161820222424262830323438404244[[#This Row],[Uso diário]]*2</f>
        <v>40.200000000000003</v>
      </c>
      <c r="O132" s="19">
        <f>Tabela17468101214223032268161925273133362421012141618242628303840248101214162022262830323436242681012142461012242624426262826268102628623668101214161820222424262830323438404244[[#This Row],[Total Acumulado]]-P132</f>
        <v>-100.5</v>
      </c>
      <c r="P132" s="48">
        <f>Tabela17468101214223032268161925273133362421012141618242628303840248101214162022262830323436242681012142461012242624426262826268102628623668101214161820222424262830323438404244[[#This Row],[Uso diário]]*5</f>
        <v>100.5</v>
      </c>
      <c r="Q13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422.1</v>
      </c>
      <c r="S13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2" s="25">
        <v>22</v>
      </c>
    </row>
    <row r="133" spans="1:20" s="26" customFormat="1" x14ac:dyDescent="0.25">
      <c r="A133" s="16">
        <v>234097</v>
      </c>
      <c r="B133" s="30" t="s">
        <v>1225</v>
      </c>
      <c r="C133" s="20" t="s">
        <v>636</v>
      </c>
      <c r="D133" s="20" t="s">
        <v>729</v>
      </c>
      <c r="E133" s="20" t="s">
        <v>3514</v>
      </c>
      <c r="F133" s="20" t="s">
        <v>3515</v>
      </c>
      <c r="G133" s="21">
        <v>13.4</v>
      </c>
      <c r="H133" s="16">
        <v>22</v>
      </c>
      <c r="I133" s="16"/>
      <c r="J13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294.8</v>
      </c>
      <c r="K133" s="22"/>
      <c r="L133" s="23"/>
      <c r="M13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3" s="19">
        <f>Tabela17468101214223032268161925273133362421012141618242628303840248101214162022262830323436242681012142461012242624426262826268102628623668101214161820222424262830323438404244[[#This Row],[Uso diário]]*2</f>
        <v>26.8</v>
      </c>
      <c r="O133" s="19">
        <f>Tabela17468101214223032268161925273133362421012141618242628303840248101214162022262830323436242681012142461012242624426262826268102628623668101214161820222424262830323438404244[[#This Row],[Total Acumulado]]-P133</f>
        <v>-67</v>
      </c>
      <c r="P133" s="48">
        <f>Tabela17468101214223032268161925273133362421012141618242628303840248101214162022262830323436242681012142461012242624426262826268102628623668101214161820222424262830323438404244[[#This Row],[Uso diário]]*5</f>
        <v>67</v>
      </c>
      <c r="Q13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294.8</v>
      </c>
      <c r="S13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3" s="25">
        <v>22</v>
      </c>
    </row>
    <row r="134" spans="1:20" s="26" customFormat="1" x14ac:dyDescent="0.25">
      <c r="A134" s="16">
        <v>235048</v>
      </c>
      <c r="B134" s="30" t="s">
        <v>1500</v>
      </c>
      <c r="C134" s="20" t="s">
        <v>636</v>
      </c>
      <c r="D134" s="20" t="s">
        <v>729</v>
      </c>
      <c r="E134" s="20" t="s">
        <v>3516</v>
      </c>
      <c r="F134" s="20" t="s">
        <v>3517</v>
      </c>
      <c r="G134" s="21">
        <v>16.100000000000001</v>
      </c>
      <c r="H134" s="16">
        <v>22</v>
      </c>
      <c r="I134" s="16"/>
      <c r="J13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354.20000000000005</v>
      </c>
      <c r="K134" s="22"/>
      <c r="L134" s="23">
        <v>11.9</v>
      </c>
      <c r="M134" s="23">
        <f>SUM(Tabela17468101214223032268161925273133362421012141618242628303840248101214162022262830323436242681012142461012242624426262826268102628623668101214161820222424262830323438404244[[#This Row],[Saldo no cartão]:[Recarga Pendente]])</f>
        <v>11.9</v>
      </c>
      <c r="N134" s="19">
        <f>Tabela17468101214223032268161925273133362421012141618242628303840248101214162022262830323436242681012142461012242624426262826268102628623668101214161820222424262830323438404244[[#This Row],[Uso diário]]*2</f>
        <v>32.200000000000003</v>
      </c>
      <c r="O134" s="19">
        <f>Tabela17468101214223032268161925273133362421012141618242628303840248101214162022262830323436242681012142461012242624426262826268102628623668101214161820222424262830323438404244[[#This Row],[Total Acumulado]]-P134</f>
        <v>-68.599999999999994</v>
      </c>
      <c r="P134" s="48">
        <f>Tabela17468101214223032268161925273133362421012141618242628303840248101214162022262830323436242681012142461012242624426262826268102628623668101214161820222424262830323438404244[[#This Row],[Uso diário]]*5</f>
        <v>80.5</v>
      </c>
      <c r="Q13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354.20000000000005</v>
      </c>
      <c r="S13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4" s="25">
        <v>22</v>
      </c>
    </row>
    <row r="135" spans="1:20" s="26" customFormat="1" x14ac:dyDescent="0.25">
      <c r="A135" s="16">
        <v>235049</v>
      </c>
      <c r="B135" s="30" t="s">
        <v>1501</v>
      </c>
      <c r="C135" s="20" t="s">
        <v>636</v>
      </c>
      <c r="D135" s="20" t="s">
        <v>729</v>
      </c>
      <c r="E135" s="20" t="s">
        <v>3518</v>
      </c>
      <c r="F135" s="20" t="s">
        <v>3519</v>
      </c>
      <c r="G135" s="21">
        <v>13.4</v>
      </c>
      <c r="H135" s="16">
        <v>22</v>
      </c>
      <c r="I135" s="16"/>
      <c r="J13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294.8</v>
      </c>
      <c r="K135" s="22"/>
      <c r="L135" s="23">
        <v>11.9</v>
      </c>
      <c r="M135" s="23">
        <f>SUM(Tabela17468101214223032268161925273133362421012141618242628303840248101214162022262830323436242681012142461012242624426262826268102628623668101214161820222424262830323438404244[[#This Row],[Saldo no cartão]:[Recarga Pendente]])</f>
        <v>11.9</v>
      </c>
      <c r="N135" s="19">
        <f>Tabela17468101214223032268161925273133362421012141618242628303840248101214162022262830323436242681012142461012242624426262826268102628623668101214161820222424262830323438404244[[#This Row],[Uso diário]]*2</f>
        <v>26.8</v>
      </c>
      <c r="O135" s="19">
        <f>Tabela17468101214223032268161925273133362421012141618242628303840248101214162022262830323436242681012142461012242624426262826268102628623668101214161820222424262830323438404244[[#This Row],[Total Acumulado]]-P135</f>
        <v>-55.1</v>
      </c>
      <c r="P135" s="48">
        <f>Tabela17468101214223032268161925273133362421012141618242628303840248101214162022262830323436242681012142461012242624426262826268102628623668101214161820222424262830323438404244[[#This Row],[Uso diário]]*5</f>
        <v>67</v>
      </c>
      <c r="Q13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294.8</v>
      </c>
      <c r="S13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5" s="25">
        <v>22</v>
      </c>
    </row>
    <row r="136" spans="1:20" s="26" customFormat="1" x14ac:dyDescent="0.25">
      <c r="A136" s="16">
        <v>221976</v>
      </c>
      <c r="B136" s="30" t="s">
        <v>470</v>
      </c>
      <c r="C136" s="20" t="s">
        <v>653</v>
      </c>
      <c r="D136" s="20" t="s">
        <v>891</v>
      </c>
      <c r="E136" s="20" t="s">
        <v>3520</v>
      </c>
      <c r="F136" s="20" t="s">
        <v>3521</v>
      </c>
      <c r="G136" s="21">
        <v>18.8</v>
      </c>
      <c r="H136" s="16">
        <v>26</v>
      </c>
      <c r="I136" s="16">
        <v>1</v>
      </c>
      <c r="J13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470</v>
      </c>
      <c r="K136" s="22"/>
      <c r="L136" s="23"/>
      <c r="M13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6" s="19">
        <f>Tabela17468101214223032268161925273133362421012141618242628303840248101214162022262830323436242681012142461012242624426262826268102628623668101214161820222424262830323438404244[[#This Row],[Uso diário]]*2</f>
        <v>37.6</v>
      </c>
      <c r="O136" s="19">
        <f>Tabela17468101214223032268161925273133362421012141618242628303840248101214162022262830323436242681012142461012242624426262826268102628623668101214161820222424262830323438404244[[#This Row],[Total Acumulado]]-P136</f>
        <v>-94</v>
      </c>
      <c r="P136" s="48">
        <f>Tabela17468101214223032268161925273133362421012141618242628303840248101214162022262830323436242681012142461012242624426262826268102628623668101214161820222424262830323438404244[[#This Row],[Uso diário]]*5</f>
        <v>94</v>
      </c>
      <c r="Q13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470</v>
      </c>
      <c r="S13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6" s="25">
        <v>22</v>
      </c>
    </row>
    <row r="137" spans="1:20" s="26" customFormat="1" x14ac:dyDescent="0.25">
      <c r="A137" s="16">
        <v>222969</v>
      </c>
      <c r="B137" s="30" t="s">
        <v>1226</v>
      </c>
      <c r="C137" s="20" t="s">
        <v>653</v>
      </c>
      <c r="D137" s="20" t="s">
        <v>714</v>
      </c>
      <c r="E137" s="20" t="s">
        <v>3522</v>
      </c>
      <c r="F137" s="20" t="s">
        <v>3523</v>
      </c>
      <c r="G137" s="21">
        <v>13.1</v>
      </c>
      <c r="H137" s="16">
        <v>26</v>
      </c>
      <c r="I137" s="16"/>
      <c r="J13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340.59999999999997</v>
      </c>
      <c r="K137" s="22"/>
      <c r="L137" s="23"/>
      <c r="M13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7" s="19">
        <f>Tabela17468101214223032268161925273133362421012141618242628303840248101214162022262830323436242681012142461012242624426262826268102628623668101214161820222424262830323438404244[[#This Row],[Uso diário]]*2</f>
        <v>26.2</v>
      </c>
      <c r="O137" s="19">
        <f>Tabela17468101214223032268161925273133362421012141618242628303840248101214162022262830323436242681012142461012242624426262826268102628623668101214161820222424262830323438404244[[#This Row],[Total Acumulado]]-P137</f>
        <v>-65.5</v>
      </c>
      <c r="P137" s="48">
        <f>Tabela17468101214223032268161925273133362421012141618242628303840248101214162022262830323436242681012142461012242624426262826268102628623668101214161820222424262830323438404244[[#This Row],[Uso diário]]*5</f>
        <v>65.5</v>
      </c>
      <c r="Q13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340.59999999999997</v>
      </c>
      <c r="S13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7" s="25">
        <v>22</v>
      </c>
    </row>
    <row r="138" spans="1:20" s="26" customFormat="1" x14ac:dyDescent="0.25">
      <c r="A138" s="16">
        <v>228216</v>
      </c>
      <c r="B138" s="30" t="s">
        <v>472</v>
      </c>
      <c r="C138" s="20" t="s">
        <v>653</v>
      </c>
      <c r="D138" s="20" t="s">
        <v>714</v>
      </c>
      <c r="E138" s="20" t="s">
        <v>3524</v>
      </c>
      <c r="F138" s="20" t="s">
        <v>3525</v>
      </c>
      <c r="G138" s="21">
        <v>15.4</v>
      </c>
      <c r="H138" s="16">
        <v>26</v>
      </c>
      <c r="I138" s="16"/>
      <c r="J13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400.40000000000003</v>
      </c>
      <c r="K138" s="22"/>
      <c r="L138" s="23"/>
      <c r="M13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8" s="19">
        <f>Tabela17468101214223032268161925273133362421012141618242628303840248101214162022262830323436242681012142461012242624426262826268102628623668101214161820222424262830323438404244[[#This Row],[Uso diário]]*2</f>
        <v>30.8</v>
      </c>
      <c r="O138" s="19">
        <f>Tabela17468101214223032268161925273133362421012141618242628303840248101214162022262830323436242681012142461012242624426262826268102628623668101214161820222424262830323438404244[[#This Row],[Total Acumulado]]-P138</f>
        <v>-77</v>
      </c>
      <c r="P138" s="48">
        <f>Tabela17468101214223032268161925273133362421012141618242628303840248101214162022262830323436242681012142461012242624426262826268102628623668101214161820222424262830323438404244[[#This Row],[Uso diário]]*5</f>
        <v>77</v>
      </c>
      <c r="Q13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400.40000000000003</v>
      </c>
      <c r="S13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8" s="25">
        <v>22</v>
      </c>
    </row>
    <row r="139" spans="1:20" s="26" customFormat="1" x14ac:dyDescent="0.25">
      <c r="A139" s="16">
        <v>229279</v>
      </c>
      <c r="B139" s="30" t="s">
        <v>473</v>
      </c>
      <c r="C139" s="20" t="s">
        <v>653</v>
      </c>
      <c r="D139" s="20" t="s">
        <v>714</v>
      </c>
      <c r="E139" s="20" t="s">
        <v>3526</v>
      </c>
      <c r="F139" s="20" t="s">
        <v>3527</v>
      </c>
      <c r="G139" s="21">
        <v>13.4</v>
      </c>
      <c r="H139" s="16">
        <v>26</v>
      </c>
      <c r="I139" s="16"/>
      <c r="J13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39" s="22"/>
      <c r="L139" s="23"/>
      <c r="M13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39" s="19">
        <f>Tabela17468101214223032268161925273133362421012141618242628303840248101214162022262830323436242681012142461012242624426262826268102628623668101214161820222424262830323438404244[[#This Row],[Uso diário]]*2</f>
        <v>26.8</v>
      </c>
      <c r="O139" s="19">
        <f>Tabela17468101214223032268161925273133362421012141618242628303840248101214162022262830323436242681012142461012242624426262826268102628623668101214161820222424262830323438404244[[#This Row],[Total Acumulado]]-P139</f>
        <v>-67</v>
      </c>
      <c r="P139" s="48">
        <f>Tabela17468101214223032268161925273133362421012141618242628303840248101214162022262830323436242681012142461012242624426262826268102628623668101214161820222424262830323438404244[[#This Row],[Uso diário]]*5</f>
        <v>67</v>
      </c>
      <c r="Q13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3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3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39" s="25">
        <v>22</v>
      </c>
    </row>
    <row r="140" spans="1:20" s="26" customFormat="1" x14ac:dyDescent="0.25">
      <c r="A140" s="16">
        <v>229503</v>
      </c>
      <c r="B140" s="30" t="s">
        <v>474</v>
      </c>
      <c r="C140" s="20" t="s">
        <v>653</v>
      </c>
      <c r="D140" s="20" t="s">
        <v>714</v>
      </c>
      <c r="E140" s="20" t="s">
        <v>3528</v>
      </c>
      <c r="F140" s="20" t="s">
        <v>3529</v>
      </c>
      <c r="G140" s="21">
        <v>18.8</v>
      </c>
      <c r="H140" s="16">
        <v>26</v>
      </c>
      <c r="I140" s="16"/>
      <c r="J14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40" s="22"/>
      <c r="L140" s="23">
        <v>153.55000000000001</v>
      </c>
      <c r="M140" s="23">
        <f>SUM(Tabela17468101214223032268161925273133362421012141618242628303840248101214162022262830323436242681012142461012242624426262826268102628623668101214161820222424262830323438404244[[#This Row],[Saldo no cartão]:[Recarga Pendente]])</f>
        <v>153.55000000000001</v>
      </c>
      <c r="N140" s="19">
        <f>Tabela17468101214223032268161925273133362421012141618242628303840248101214162022262830323436242681012142461012242624426262826268102628623668101214161820222424262830323438404244[[#This Row],[Uso diário]]*2</f>
        <v>37.6</v>
      </c>
      <c r="O140" s="19">
        <f>Tabela17468101214223032268161925273133362421012141618242628303840248101214162022262830323436242681012142461012242624426262826268102628623668101214161820222424262830323438404244[[#This Row],[Total Acumulado]]-P140</f>
        <v>59.550000000000011</v>
      </c>
      <c r="P140" s="48">
        <f>Tabela17468101214223032268161925273133362421012141618242628303840248101214162022262830323436242681012142461012242624426262826268102628623668101214161820222424262830323438404244[[#This Row],[Uso diário]]*5</f>
        <v>94</v>
      </c>
      <c r="Q14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59.550000000000011</v>
      </c>
      <c r="R14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429.25</v>
      </c>
      <c r="S140" s="18" t="s">
        <v>11</v>
      </c>
      <c r="T140" s="25">
        <v>22</v>
      </c>
    </row>
    <row r="141" spans="1:20" s="26" customFormat="1" x14ac:dyDescent="0.25">
      <c r="A141" s="16">
        <v>230158</v>
      </c>
      <c r="B141" s="30" t="s">
        <v>475</v>
      </c>
      <c r="C141" s="20" t="s">
        <v>653</v>
      </c>
      <c r="D141" s="20" t="s">
        <v>714</v>
      </c>
      <c r="E141" s="20" t="s">
        <v>3530</v>
      </c>
      <c r="F141" s="20" t="s">
        <v>3531</v>
      </c>
      <c r="G141" s="21">
        <v>13.4</v>
      </c>
      <c r="H141" s="16">
        <v>26</v>
      </c>
      <c r="I141" s="16">
        <v>1</v>
      </c>
      <c r="J14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141" s="22"/>
      <c r="L141" s="23"/>
      <c r="M14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1" s="19">
        <f>Tabela17468101214223032268161925273133362421012141618242628303840248101214162022262830323436242681012142461012242624426262826268102628623668101214161820222424262830323438404244[[#This Row],[Uso diário]]*2</f>
        <v>26.8</v>
      </c>
      <c r="O141" s="19">
        <f>Tabela17468101214223032268161925273133362421012141618242628303840248101214162022262830323436242681012142461012242624426262826268102628623668101214161820222424262830323438404244[[#This Row],[Total Acumulado]]-P141</f>
        <v>-67</v>
      </c>
      <c r="P141" s="48">
        <f>Tabela17468101214223032268161925273133362421012141618242628303840248101214162022262830323436242681012142461012242624426262826268102628623668101214161820222424262830323438404244[[#This Row],[Uso diário]]*5</f>
        <v>67</v>
      </c>
      <c r="Q14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14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1" s="25">
        <v>22</v>
      </c>
    </row>
    <row r="142" spans="1:20" s="26" customFormat="1" x14ac:dyDescent="0.25">
      <c r="A142" s="16">
        <v>230693</v>
      </c>
      <c r="B142" s="30" t="s">
        <v>591</v>
      </c>
      <c r="C142" s="20" t="s">
        <v>653</v>
      </c>
      <c r="D142" s="20" t="s">
        <v>714</v>
      </c>
      <c r="E142" s="20" t="s">
        <v>3532</v>
      </c>
      <c r="F142" s="20" t="s">
        <v>3533</v>
      </c>
      <c r="G142" s="21">
        <v>13.4</v>
      </c>
      <c r="H142" s="16">
        <v>26</v>
      </c>
      <c r="I142" s="16"/>
      <c r="J14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42" s="22"/>
      <c r="L142" s="23"/>
      <c r="M14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2" s="19">
        <f>Tabela17468101214223032268161925273133362421012141618242628303840248101214162022262830323436242681012142461012242624426262826268102628623668101214161820222424262830323438404244[[#This Row],[Uso diário]]*2</f>
        <v>26.8</v>
      </c>
      <c r="O142" s="19">
        <f>Tabela17468101214223032268161925273133362421012141618242628303840248101214162022262830323436242681012142461012242624426262826268102628623668101214161820222424262830323438404244[[#This Row],[Total Acumulado]]-P142</f>
        <v>-67</v>
      </c>
      <c r="P142" s="48">
        <f>Tabela17468101214223032268161925273133362421012141618242628303840248101214162022262830323436242681012142461012242624426262826268102628623668101214161820222424262830323438404244[[#This Row],[Uso diário]]*5</f>
        <v>67</v>
      </c>
      <c r="Q14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4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2" s="25">
        <v>22</v>
      </c>
    </row>
    <row r="143" spans="1:20" s="26" customFormat="1" x14ac:dyDescent="0.25">
      <c r="A143" s="16">
        <v>230772</v>
      </c>
      <c r="B143" s="30" t="s">
        <v>592</v>
      </c>
      <c r="C143" s="20" t="s">
        <v>653</v>
      </c>
      <c r="D143" s="20" t="s">
        <v>714</v>
      </c>
      <c r="E143" s="20" t="s">
        <v>3534</v>
      </c>
      <c r="F143" s="20" t="s">
        <v>3535</v>
      </c>
      <c r="G143" s="21">
        <v>13.4</v>
      </c>
      <c r="H143" s="16">
        <v>26</v>
      </c>
      <c r="I143" s="16">
        <v>1</v>
      </c>
      <c r="J14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143" s="22"/>
      <c r="L143" s="23"/>
      <c r="M14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3" s="19">
        <f>Tabela17468101214223032268161925273133362421012141618242628303840248101214162022262830323436242681012142461012242624426262826268102628623668101214161820222424262830323438404244[[#This Row],[Uso diário]]*2</f>
        <v>26.8</v>
      </c>
      <c r="O143" s="19">
        <f>Tabela17468101214223032268161925273133362421012141618242628303840248101214162022262830323436242681012142461012242624426262826268102628623668101214161820222424262830323438404244[[#This Row],[Total Acumulado]]-P143</f>
        <v>-67</v>
      </c>
      <c r="P143" s="48">
        <f>Tabela17468101214223032268161925273133362421012141618242628303840248101214162022262830323436242681012142461012242624426262826268102628623668101214161820222424262830323438404244[[#This Row],[Uso diário]]*5</f>
        <v>67</v>
      </c>
      <c r="Q14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14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3" s="25">
        <v>22</v>
      </c>
    </row>
    <row r="144" spans="1:20" s="26" customFormat="1" x14ac:dyDescent="0.25">
      <c r="A144" s="16">
        <v>231042</v>
      </c>
      <c r="B144" s="30" t="s">
        <v>476</v>
      </c>
      <c r="C144" s="20" t="s">
        <v>653</v>
      </c>
      <c r="D144" s="20" t="s">
        <v>714</v>
      </c>
      <c r="E144" s="20" t="s">
        <v>3536</v>
      </c>
      <c r="F144" s="20" t="s">
        <v>3537</v>
      </c>
      <c r="G144" s="21">
        <v>13.4</v>
      </c>
      <c r="H144" s="16">
        <v>26</v>
      </c>
      <c r="I144" s="16"/>
      <c r="J14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44" s="22"/>
      <c r="L144" s="23"/>
      <c r="M14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4" s="19">
        <f>Tabela17468101214223032268161925273133362421012141618242628303840248101214162022262830323436242681012142461012242624426262826268102628623668101214161820222424262830323438404244[[#This Row],[Uso diário]]*2</f>
        <v>26.8</v>
      </c>
      <c r="O144" s="19">
        <f>Tabela17468101214223032268161925273133362421012141618242628303840248101214162022262830323436242681012142461012242624426262826268102628623668101214161820222424262830323438404244[[#This Row],[Total Acumulado]]-P144</f>
        <v>-67</v>
      </c>
      <c r="P144" s="48">
        <f>Tabela17468101214223032268161925273133362421012141618242628303840248101214162022262830323436242681012142461012242624426262826268102628623668101214161820222424262830323438404244[[#This Row],[Uso diário]]*5</f>
        <v>67</v>
      </c>
      <c r="Q14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4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4" s="25">
        <v>22</v>
      </c>
    </row>
    <row r="145" spans="1:20" s="26" customFormat="1" x14ac:dyDescent="0.25">
      <c r="A145" s="16">
        <v>231177</v>
      </c>
      <c r="B145" s="30" t="s">
        <v>773</v>
      </c>
      <c r="C145" s="20" t="s">
        <v>653</v>
      </c>
      <c r="D145" s="20" t="s">
        <v>714</v>
      </c>
      <c r="E145" s="20" t="s">
        <v>3538</v>
      </c>
      <c r="F145" s="20" t="s">
        <v>3539</v>
      </c>
      <c r="G145" s="21">
        <v>13.4</v>
      </c>
      <c r="H145" s="16">
        <v>11</v>
      </c>
      <c r="I145" s="16">
        <v>1</v>
      </c>
      <c r="J14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134</v>
      </c>
      <c r="K145" s="22"/>
      <c r="L145" s="23"/>
      <c r="M14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5" s="19">
        <f>Tabela17468101214223032268161925273133362421012141618242628303840248101214162022262830323436242681012142461012242624426262826268102628623668101214161820222424262830323438404244[[#This Row],[Uso diário]]*2</f>
        <v>26.8</v>
      </c>
      <c r="O145" s="19">
        <f>Tabela17468101214223032268161925273133362421012141618242628303840248101214162022262830323436242681012142461012242624426262826268102628623668101214161820222424262830323438404244[[#This Row],[Total Acumulado]]-P145</f>
        <v>-67</v>
      </c>
      <c r="P145" s="48">
        <f>Tabela17468101214223032268161925273133362421012141618242628303840248101214162022262830323436242681012142461012242624426262826268102628623668101214161820222424262830323438404244[[#This Row],[Uso diário]]*5</f>
        <v>67</v>
      </c>
      <c r="Q14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134</v>
      </c>
      <c r="S14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5" s="25">
        <v>22</v>
      </c>
    </row>
    <row r="146" spans="1:20" s="26" customFormat="1" x14ac:dyDescent="0.25">
      <c r="A146" s="16">
        <v>231222</v>
      </c>
      <c r="B146" s="30" t="s">
        <v>1502</v>
      </c>
      <c r="C146" s="20" t="s">
        <v>653</v>
      </c>
      <c r="D146" s="20" t="s">
        <v>714</v>
      </c>
      <c r="E146" s="20" t="s">
        <v>3540</v>
      </c>
      <c r="F146" s="20" t="s">
        <v>3541</v>
      </c>
      <c r="G146" s="21">
        <v>13.4</v>
      </c>
      <c r="H146" s="16">
        <v>26</v>
      </c>
      <c r="I146" s="16"/>
      <c r="J14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46" s="22"/>
      <c r="L146" s="23"/>
      <c r="M14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6" s="19">
        <f>Tabela17468101214223032268161925273133362421012141618242628303840248101214162022262830323436242681012142461012242624426262826268102628623668101214161820222424262830323438404244[[#This Row],[Uso diário]]*2</f>
        <v>26.8</v>
      </c>
      <c r="O146" s="19">
        <f>Tabela17468101214223032268161925273133362421012141618242628303840248101214162022262830323436242681012142461012242624426262826268102628623668101214161820222424262830323438404244[[#This Row],[Total Acumulado]]-P146</f>
        <v>-67</v>
      </c>
      <c r="P146" s="48">
        <f>Tabela17468101214223032268161925273133362421012141618242628303840248101214162022262830323436242681012142461012242624426262826268102628623668101214161820222424262830323438404244[[#This Row],[Uso diário]]*5</f>
        <v>67</v>
      </c>
      <c r="Q14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4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6" s="25">
        <v>22</v>
      </c>
    </row>
    <row r="147" spans="1:20" s="26" customFormat="1" x14ac:dyDescent="0.25">
      <c r="A147" s="16">
        <v>231827</v>
      </c>
      <c r="B147" s="30" t="s">
        <v>856</v>
      </c>
      <c r="C147" s="20" t="s">
        <v>653</v>
      </c>
      <c r="D147" s="20" t="s">
        <v>714</v>
      </c>
      <c r="E147" s="20" t="s">
        <v>3542</v>
      </c>
      <c r="F147" s="20" t="s">
        <v>3543</v>
      </c>
      <c r="G147" s="21">
        <v>13.4</v>
      </c>
      <c r="H147" s="16">
        <v>26</v>
      </c>
      <c r="I147" s="16"/>
      <c r="J14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47" s="22"/>
      <c r="L147" s="23"/>
      <c r="M14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7" s="19">
        <f>Tabela17468101214223032268161925273133362421012141618242628303840248101214162022262830323436242681012142461012242624426262826268102628623668101214161820222424262830323438404244[[#This Row],[Uso diário]]*2</f>
        <v>26.8</v>
      </c>
      <c r="O147" s="19">
        <f>Tabela17468101214223032268161925273133362421012141618242628303840248101214162022262830323436242681012142461012242624426262826268102628623668101214161820222424262830323438404244[[#This Row],[Total Acumulado]]-P147</f>
        <v>-67</v>
      </c>
      <c r="P147" s="48">
        <f>Tabela17468101214223032268161925273133362421012141618242628303840248101214162022262830323436242681012142461012242624426262826268102628623668101214161820222424262830323438404244[[#This Row],[Uso diário]]*5</f>
        <v>67</v>
      </c>
      <c r="Q14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4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7" s="25">
        <v>22</v>
      </c>
    </row>
    <row r="148" spans="1:20" s="26" customFormat="1" x14ac:dyDescent="0.25">
      <c r="A148" s="16">
        <v>233200</v>
      </c>
      <c r="B148" s="30" t="s">
        <v>1010</v>
      </c>
      <c r="C148" s="20" t="s">
        <v>653</v>
      </c>
      <c r="D148" s="20" t="s">
        <v>714</v>
      </c>
      <c r="E148" s="20" t="s">
        <v>3544</v>
      </c>
      <c r="F148" s="20" t="s">
        <v>3545</v>
      </c>
      <c r="G148" s="21">
        <v>18.8</v>
      </c>
      <c r="H148" s="16">
        <v>26</v>
      </c>
      <c r="I148" s="16"/>
      <c r="J14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48" s="22"/>
      <c r="L148" s="23">
        <v>81.45</v>
      </c>
      <c r="M148" s="23">
        <f>SUM(Tabela17468101214223032268161925273133362421012141618242628303840248101214162022262830323436242681012142461012242624426262826268102628623668101214161820222424262830323438404244[[#This Row],[Saldo no cartão]:[Recarga Pendente]])</f>
        <v>81.45</v>
      </c>
      <c r="N148" s="19">
        <f>Tabela17468101214223032268161925273133362421012141618242628303840248101214162022262830323436242681012142461012242624426262826268102628623668101214161820222424262830323438404244[[#This Row],[Uso diário]]*2</f>
        <v>37.6</v>
      </c>
      <c r="O148" s="19">
        <f>Tabela17468101214223032268161925273133362421012141618242628303840248101214162022262830323436242681012142461012242624426262826268102628623668101214161820222424262830323438404244[[#This Row],[Total Acumulado]]-P148</f>
        <v>-12.549999999999997</v>
      </c>
      <c r="P148" s="48">
        <f>Tabela17468101214223032268161925273133362421012141618242628303840248101214162022262830323436242681012142461012242624426262826268102628623668101214161820222424262830323438404244[[#This Row],[Uso diário]]*5</f>
        <v>94</v>
      </c>
      <c r="Q14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14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8" s="25">
        <v>22</v>
      </c>
    </row>
    <row r="149" spans="1:20" s="26" customFormat="1" x14ac:dyDescent="0.25">
      <c r="A149" s="16">
        <v>234227</v>
      </c>
      <c r="B149" s="30" t="s">
        <v>1227</v>
      </c>
      <c r="C149" s="20" t="s">
        <v>653</v>
      </c>
      <c r="D149" s="20" t="s">
        <v>714</v>
      </c>
      <c r="E149" s="20" t="s">
        <v>3546</v>
      </c>
      <c r="F149" s="20" t="s">
        <v>3547</v>
      </c>
      <c r="G149" s="21">
        <v>13.4</v>
      </c>
      <c r="H149" s="16">
        <v>26</v>
      </c>
      <c r="I149" s="16"/>
      <c r="J14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49" s="22"/>
      <c r="L149" s="23"/>
      <c r="M14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49" s="19">
        <f>Tabela17468101214223032268161925273133362421012141618242628303840248101214162022262830323436242681012142461012242624426262826268102628623668101214161820222424262830323438404244[[#This Row],[Uso diário]]*2</f>
        <v>26.8</v>
      </c>
      <c r="O149" s="19">
        <f>Tabela17468101214223032268161925273133362421012141618242628303840248101214162022262830323436242681012142461012242624426262826268102628623668101214161820222424262830323438404244[[#This Row],[Total Acumulado]]-P149</f>
        <v>-67</v>
      </c>
      <c r="P149" s="48">
        <f>Tabela17468101214223032268161925273133362421012141618242628303840248101214162022262830323436242681012142461012242624426262826268102628623668101214161820222424262830323438404244[[#This Row],[Uso diário]]*5</f>
        <v>67</v>
      </c>
      <c r="Q14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4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4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49" s="25">
        <v>22</v>
      </c>
    </row>
    <row r="150" spans="1:20" s="26" customFormat="1" x14ac:dyDescent="0.25">
      <c r="A150" s="16">
        <v>235075</v>
      </c>
      <c r="B150" s="30" t="s">
        <v>1503</v>
      </c>
      <c r="C150" s="20" t="s">
        <v>653</v>
      </c>
      <c r="D150" s="20" t="s">
        <v>714</v>
      </c>
      <c r="E150" s="20" t="s">
        <v>3548</v>
      </c>
      <c r="F150" s="20" t="s">
        <v>3549</v>
      </c>
      <c r="G150" s="21">
        <v>13.4</v>
      </c>
      <c r="H150" s="16">
        <v>26</v>
      </c>
      <c r="I150" s="16"/>
      <c r="J15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0" s="22"/>
      <c r="L150" s="23"/>
      <c r="M15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0" s="19">
        <f>Tabela17468101214223032268161925273133362421012141618242628303840248101214162022262830323436242681012142461012242624426262826268102628623668101214161820222424262830323438404244[[#This Row],[Uso diário]]*2</f>
        <v>26.8</v>
      </c>
      <c r="O150" s="19">
        <f>Tabela17468101214223032268161925273133362421012141618242628303840248101214162022262830323436242681012142461012242624426262826268102628623668101214161820222424262830323438404244[[#This Row],[Total Acumulado]]-P150</f>
        <v>-67</v>
      </c>
      <c r="P150" s="48">
        <f>Tabela17468101214223032268161925273133362421012141618242628303840248101214162022262830323436242681012142461012242624426262826268102628623668101214161820222424262830323438404244[[#This Row],[Uso diário]]*5</f>
        <v>67</v>
      </c>
      <c r="Q15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0" s="25">
        <v>22</v>
      </c>
    </row>
    <row r="151" spans="1:20" s="26" customFormat="1" ht="22.5" x14ac:dyDescent="0.25">
      <c r="A151" s="16">
        <v>235106</v>
      </c>
      <c r="B151" s="30" t="s">
        <v>1504</v>
      </c>
      <c r="C151" s="20" t="s">
        <v>653</v>
      </c>
      <c r="D151" s="20" t="s">
        <v>714</v>
      </c>
      <c r="E151" s="20">
        <v>0</v>
      </c>
      <c r="F151" s="20" t="s">
        <v>4181</v>
      </c>
      <c r="G151" s="21">
        <v>13.4</v>
      </c>
      <c r="H151" s="16">
        <v>0</v>
      </c>
      <c r="I151" s="16"/>
      <c r="J15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0</v>
      </c>
      <c r="K151" s="22"/>
      <c r="L151" s="23"/>
      <c r="M15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1" s="19">
        <f>Tabela17468101214223032268161925273133362421012141618242628303840248101214162022262830323436242681012142461012242624426262826268102628623668101214161820222424262830323438404244[[#This Row],[Uso diário]]*2</f>
        <v>26.8</v>
      </c>
      <c r="O151" s="19">
        <f>Tabela17468101214223032268161925273133362421012141618242628303840248101214162022262830323436242681012142461012242624426262826268102628623668101214161820222424262830323438404244[[#This Row],[Total Acumulado]]-P151</f>
        <v>-67</v>
      </c>
      <c r="P151" s="48">
        <f>Tabela17468101214223032268161925273133362421012141618242628303840248101214162022262830323436242681012142461012242624426262826268102628623668101214161820222424262830323438404244[[#This Row],[Uso diário]]*5</f>
        <v>67</v>
      </c>
      <c r="Q15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0</v>
      </c>
      <c r="S15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NÃO EFETUAR RECARGA</v>
      </c>
      <c r="T151" s="25">
        <v>22</v>
      </c>
    </row>
    <row r="152" spans="1:20" s="26" customFormat="1" x14ac:dyDescent="0.25">
      <c r="A152" s="16">
        <v>224336</v>
      </c>
      <c r="B152" s="30" t="s">
        <v>441</v>
      </c>
      <c r="C152" s="20" t="s">
        <v>656</v>
      </c>
      <c r="D152" s="20" t="s">
        <v>740</v>
      </c>
      <c r="E152" s="20" t="s">
        <v>3550</v>
      </c>
      <c r="F152" s="20" t="s">
        <v>3551</v>
      </c>
      <c r="G152" s="21">
        <v>13.4</v>
      </c>
      <c r="H152" s="16">
        <v>26</v>
      </c>
      <c r="I152" s="16"/>
      <c r="J15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2" s="22"/>
      <c r="L152" s="23"/>
      <c r="M15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2" s="19">
        <f>Tabela17468101214223032268161925273133362421012141618242628303840248101214162022262830323436242681012142461012242624426262826268102628623668101214161820222424262830323438404244[[#This Row],[Uso diário]]*2</f>
        <v>26.8</v>
      </c>
      <c r="O152" s="19">
        <f>Tabela17468101214223032268161925273133362421012141618242628303840248101214162022262830323436242681012142461012242624426262826268102628623668101214161820222424262830323438404244[[#This Row],[Total Acumulado]]-P152</f>
        <v>-67</v>
      </c>
      <c r="P152" s="48">
        <f>Tabela17468101214223032268161925273133362421012141618242628303840248101214162022262830323436242681012142461012242624426262826268102628623668101214161820222424262830323438404244[[#This Row],[Uso diário]]*5</f>
        <v>67</v>
      </c>
      <c r="Q15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2" s="25">
        <v>22</v>
      </c>
    </row>
    <row r="153" spans="1:20" s="26" customFormat="1" x14ac:dyDescent="0.25">
      <c r="A153" s="16">
        <v>4157</v>
      </c>
      <c r="B153" s="30" t="s">
        <v>477</v>
      </c>
      <c r="C153" s="20" t="s">
        <v>654</v>
      </c>
      <c r="D153" s="20" t="s">
        <v>731</v>
      </c>
      <c r="E153" s="20" t="s">
        <v>3552</v>
      </c>
      <c r="F153" s="20" t="s">
        <v>3553</v>
      </c>
      <c r="G153" s="21">
        <v>18.8</v>
      </c>
      <c r="H153" s="16">
        <v>26</v>
      </c>
      <c r="I153" s="16"/>
      <c r="J15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53" s="22"/>
      <c r="L153" s="23">
        <v>282.8</v>
      </c>
      <c r="M153" s="23">
        <f>SUM(Tabela17468101214223032268161925273133362421012141618242628303840248101214162022262830323436242681012142461012242624426262826268102628623668101214161820222424262830323438404244[[#This Row],[Saldo no cartão]:[Recarga Pendente]])</f>
        <v>282.8</v>
      </c>
      <c r="N153" s="19">
        <f>Tabela17468101214223032268161925273133362421012141618242628303840248101214162022262830323436242681012142461012242624426262826268102628623668101214161820222424262830323438404244[[#This Row],[Uso diário]]*2</f>
        <v>37.6</v>
      </c>
      <c r="O153" s="19">
        <f>Tabela17468101214223032268161925273133362421012141618242628303840248101214162022262830323436242681012142461012242624426262826268102628623668101214161820222424262830323438404244[[#This Row],[Total Acumulado]]-P153</f>
        <v>188.8</v>
      </c>
      <c r="P153" s="48">
        <f>Tabela17468101214223032268161925273133362421012141618242628303840248101214162022262830323436242681012142461012242624426262826268102628623668101214161820222424262830323438404244[[#This Row],[Uso diário]]*5</f>
        <v>94</v>
      </c>
      <c r="Q15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188.8</v>
      </c>
      <c r="R15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300</v>
      </c>
      <c r="S153" s="18" t="s">
        <v>11</v>
      </c>
      <c r="T153" s="25">
        <v>22</v>
      </c>
    </row>
    <row r="154" spans="1:20" s="26" customFormat="1" x14ac:dyDescent="0.25">
      <c r="A154" s="16">
        <v>219225</v>
      </c>
      <c r="B154" s="30" t="s">
        <v>479</v>
      </c>
      <c r="C154" s="20" t="s">
        <v>654</v>
      </c>
      <c r="D154" s="20" t="s">
        <v>715</v>
      </c>
      <c r="E154" s="20" t="s">
        <v>3554</v>
      </c>
      <c r="F154" s="20" t="s">
        <v>3555</v>
      </c>
      <c r="G154" s="21">
        <v>13.4</v>
      </c>
      <c r="H154" s="16">
        <v>26</v>
      </c>
      <c r="I154" s="16"/>
      <c r="J15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4" s="22"/>
      <c r="L154" s="23"/>
      <c r="M15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4" s="19">
        <f>Tabela17468101214223032268161925273133362421012141618242628303840248101214162022262830323436242681012142461012242624426262826268102628623668101214161820222424262830323438404244[[#This Row],[Uso diário]]*2</f>
        <v>26.8</v>
      </c>
      <c r="O154" s="19">
        <f>Tabela17468101214223032268161925273133362421012141618242628303840248101214162022262830323436242681012142461012242624426262826268102628623668101214161820222424262830323438404244[[#This Row],[Total Acumulado]]-P154</f>
        <v>-67</v>
      </c>
      <c r="P154" s="48">
        <f>Tabela17468101214223032268161925273133362421012141618242628303840248101214162022262830323436242681012142461012242624426262826268102628623668101214161820222424262830323438404244[[#This Row],[Uso diário]]*5</f>
        <v>67</v>
      </c>
      <c r="Q15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4" s="25">
        <v>22</v>
      </c>
    </row>
    <row r="155" spans="1:20" s="26" customFormat="1" x14ac:dyDescent="0.25">
      <c r="A155" s="16">
        <v>222309</v>
      </c>
      <c r="B155" s="30" t="s">
        <v>481</v>
      </c>
      <c r="C155" s="20" t="s">
        <v>654</v>
      </c>
      <c r="D155" s="20" t="s">
        <v>715</v>
      </c>
      <c r="E155" s="20" t="s">
        <v>3556</v>
      </c>
      <c r="F155" s="20" t="s">
        <v>3557</v>
      </c>
      <c r="G155" s="21">
        <v>13.7</v>
      </c>
      <c r="H155" s="16">
        <v>26</v>
      </c>
      <c r="I155" s="16"/>
      <c r="J15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356.2</v>
      </c>
      <c r="K155" s="22"/>
      <c r="L155" s="23">
        <v>242.5</v>
      </c>
      <c r="M155" s="23">
        <f>SUM(Tabela17468101214223032268161925273133362421012141618242628303840248101214162022262830323436242681012142461012242624426262826268102628623668101214161820222424262830323438404244[[#This Row],[Saldo no cartão]:[Recarga Pendente]])</f>
        <v>242.5</v>
      </c>
      <c r="N155" s="19">
        <f>Tabela17468101214223032268161925273133362421012141618242628303840248101214162022262830323436242681012142461012242624426262826268102628623668101214161820222424262830323438404244[[#This Row],[Uso diário]]*2</f>
        <v>27.4</v>
      </c>
      <c r="O155" s="19">
        <f>Tabela17468101214223032268161925273133362421012141618242628303840248101214162022262830323436242681012142461012242624426262826268102628623668101214161820222424262830323438404244[[#This Row],[Total Acumulado]]-P155</f>
        <v>174</v>
      </c>
      <c r="P155" s="48">
        <f>Tabela17468101214223032268161925273133362421012141618242628303840248101214162022262830323436242681012142461012242624426262826268102628623668101214161820222424262830323438404244[[#This Row],[Uso diário]]*5</f>
        <v>68.5</v>
      </c>
      <c r="Q15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174</v>
      </c>
      <c r="R15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182.2</v>
      </c>
      <c r="S155" s="18" t="s">
        <v>11</v>
      </c>
      <c r="T155" s="25">
        <v>22</v>
      </c>
    </row>
    <row r="156" spans="1:20" s="26" customFormat="1" x14ac:dyDescent="0.25">
      <c r="A156" s="16">
        <v>222371</v>
      </c>
      <c r="B156" s="30" t="s">
        <v>1228</v>
      </c>
      <c r="C156" s="20" t="s">
        <v>654</v>
      </c>
      <c r="D156" s="20" t="s">
        <v>715</v>
      </c>
      <c r="E156" s="20" t="s">
        <v>3558</v>
      </c>
      <c r="F156" s="20" t="s">
        <v>3559</v>
      </c>
      <c r="G156" s="21">
        <v>18.8</v>
      </c>
      <c r="H156" s="16">
        <v>26</v>
      </c>
      <c r="I156" s="16"/>
      <c r="J15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56" s="22"/>
      <c r="L156" s="23"/>
      <c r="M15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6" s="19">
        <f>Tabela17468101214223032268161925273133362421012141618242628303840248101214162022262830323436242681012142461012242624426262826268102628623668101214161820222424262830323438404244[[#This Row],[Uso diário]]*2</f>
        <v>37.6</v>
      </c>
      <c r="O156" s="19">
        <f>Tabela17468101214223032268161925273133362421012141618242628303840248101214162022262830323436242681012142461012242624426262826268102628623668101214161820222424262830323438404244[[#This Row],[Total Acumulado]]-P156</f>
        <v>-94</v>
      </c>
      <c r="P156" s="48">
        <f>Tabela17468101214223032268161925273133362421012141618242628303840248101214162022262830323436242681012142461012242624426262826268102628623668101214161820222424262830323438404244[[#This Row],[Uso diário]]*5</f>
        <v>94</v>
      </c>
      <c r="Q15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15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6" s="25">
        <v>22</v>
      </c>
    </row>
    <row r="157" spans="1:20" s="26" customFormat="1" x14ac:dyDescent="0.25">
      <c r="A157" s="16">
        <v>223192</v>
      </c>
      <c r="B157" s="30" t="s">
        <v>482</v>
      </c>
      <c r="C157" s="20" t="s">
        <v>654</v>
      </c>
      <c r="D157" s="20" t="s">
        <v>715</v>
      </c>
      <c r="E157" s="20" t="s">
        <v>3560</v>
      </c>
      <c r="F157" s="20" t="s">
        <v>3561</v>
      </c>
      <c r="G157" s="21">
        <v>13.4</v>
      </c>
      <c r="H157" s="16">
        <v>26</v>
      </c>
      <c r="I157" s="16"/>
      <c r="J15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7" s="22"/>
      <c r="L157" s="23"/>
      <c r="M15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7" s="19">
        <f>Tabela17468101214223032268161925273133362421012141618242628303840248101214162022262830323436242681012142461012242624426262826268102628623668101214161820222424262830323438404244[[#This Row],[Uso diário]]*2</f>
        <v>26.8</v>
      </c>
      <c r="O157" s="19">
        <f>Tabela17468101214223032268161925273133362421012141618242628303840248101214162022262830323436242681012142461012242624426262826268102628623668101214161820222424262830323438404244[[#This Row],[Total Acumulado]]-P157</f>
        <v>-67</v>
      </c>
      <c r="P157" s="48">
        <f>Tabela17468101214223032268161925273133362421012141618242628303840248101214162022262830323436242681012142461012242624426262826268102628623668101214161820222424262830323438404244[[#This Row],[Uso diário]]*5</f>
        <v>67</v>
      </c>
      <c r="Q15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7" s="25">
        <v>22</v>
      </c>
    </row>
    <row r="158" spans="1:20" s="26" customFormat="1" x14ac:dyDescent="0.25">
      <c r="A158" s="16">
        <v>225123</v>
      </c>
      <c r="B158" s="30" t="s">
        <v>483</v>
      </c>
      <c r="C158" s="20" t="s">
        <v>654</v>
      </c>
      <c r="D158" s="20" t="s">
        <v>715</v>
      </c>
      <c r="E158" s="20" t="s">
        <v>3562</v>
      </c>
      <c r="F158" s="20" t="s">
        <v>3563</v>
      </c>
      <c r="G158" s="21">
        <v>13.4</v>
      </c>
      <c r="H158" s="16">
        <v>26</v>
      </c>
      <c r="I158" s="16"/>
      <c r="J15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8" s="22"/>
      <c r="L158" s="23"/>
      <c r="M15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8" s="19">
        <f>Tabela17468101214223032268161925273133362421012141618242628303840248101214162022262830323436242681012142461012242624426262826268102628623668101214161820222424262830323438404244[[#This Row],[Uso diário]]*2</f>
        <v>26.8</v>
      </c>
      <c r="O158" s="19">
        <f>Tabela17468101214223032268161925273133362421012141618242628303840248101214162022262830323436242681012142461012242624426262826268102628623668101214161820222424262830323438404244[[#This Row],[Total Acumulado]]-P158</f>
        <v>-67</v>
      </c>
      <c r="P158" s="48">
        <f>Tabela17468101214223032268161925273133362421012141618242628303840248101214162022262830323436242681012142461012242624426262826268102628623668101214161820222424262830323438404244[[#This Row],[Uso diário]]*5</f>
        <v>67</v>
      </c>
      <c r="Q15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8" s="25">
        <v>22</v>
      </c>
    </row>
    <row r="159" spans="1:20" s="26" customFormat="1" x14ac:dyDescent="0.25">
      <c r="A159" s="16">
        <v>226402</v>
      </c>
      <c r="B159" s="30" t="s">
        <v>484</v>
      </c>
      <c r="C159" s="20" t="s">
        <v>654</v>
      </c>
      <c r="D159" s="20" t="s">
        <v>715</v>
      </c>
      <c r="E159" s="20" t="s">
        <v>3564</v>
      </c>
      <c r="F159" s="20" t="s">
        <v>3565</v>
      </c>
      <c r="G159" s="21">
        <v>13.4</v>
      </c>
      <c r="H159" s="16">
        <v>26</v>
      </c>
      <c r="I159" s="16"/>
      <c r="J15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59" s="22"/>
      <c r="L159" s="23"/>
      <c r="M15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59" s="19">
        <f>Tabela17468101214223032268161925273133362421012141618242628303840248101214162022262830323436242681012142461012242624426262826268102628623668101214161820222424262830323438404244[[#This Row],[Uso diário]]*2</f>
        <v>26.8</v>
      </c>
      <c r="O159" s="19">
        <f>Tabela17468101214223032268161925273133362421012141618242628303840248101214162022262830323436242681012142461012242624426262826268102628623668101214161820222424262830323438404244[[#This Row],[Total Acumulado]]-P159</f>
        <v>-67</v>
      </c>
      <c r="P159" s="48">
        <f>Tabela17468101214223032268161925273133362421012141618242628303840248101214162022262830323436242681012142461012242624426262826268102628623668101214161820222424262830323438404244[[#This Row],[Uso diário]]*5</f>
        <v>67</v>
      </c>
      <c r="Q15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5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5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59" s="25">
        <v>22</v>
      </c>
    </row>
    <row r="160" spans="1:20" s="26" customFormat="1" x14ac:dyDescent="0.25">
      <c r="A160" s="16">
        <v>228529</v>
      </c>
      <c r="B160" s="30" t="s">
        <v>485</v>
      </c>
      <c r="C160" s="20" t="s">
        <v>654</v>
      </c>
      <c r="D160" s="20" t="s">
        <v>715</v>
      </c>
      <c r="E160" s="20" t="s">
        <v>3566</v>
      </c>
      <c r="F160" s="20" t="s">
        <v>3567</v>
      </c>
      <c r="G160" s="21">
        <v>13.4</v>
      </c>
      <c r="H160" s="16">
        <v>26</v>
      </c>
      <c r="I160" s="16"/>
      <c r="J16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0" s="22"/>
      <c r="L160" s="23"/>
      <c r="M16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0" s="19">
        <f>Tabela17468101214223032268161925273133362421012141618242628303840248101214162022262830323436242681012142461012242624426262826268102628623668101214161820222424262830323438404244[[#This Row],[Uso diário]]*2</f>
        <v>26.8</v>
      </c>
      <c r="O160" s="19">
        <f>Tabela17468101214223032268161925273133362421012141618242628303840248101214162022262830323436242681012142461012242624426262826268102628623668101214161820222424262830323438404244[[#This Row],[Total Acumulado]]-P160</f>
        <v>-67</v>
      </c>
      <c r="P160" s="48">
        <f>Tabela17468101214223032268161925273133362421012141618242628303840248101214162022262830323436242681012142461012242624426262826268102628623668101214161820222424262830323438404244[[#This Row],[Uso diário]]*5</f>
        <v>67</v>
      </c>
      <c r="Q16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0" s="25">
        <v>22</v>
      </c>
    </row>
    <row r="161" spans="1:20" s="26" customFormat="1" x14ac:dyDescent="0.25">
      <c r="A161" s="16">
        <v>229214</v>
      </c>
      <c r="B161" s="30" t="s">
        <v>486</v>
      </c>
      <c r="C161" s="20" t="s">
        <v>654</v>
      </c>
      <c r="D161" s="20" t="s">
        <v>715</v>
      </c>
      <c r="E161" s="20" t="s">
        <v>3568</v>
      </c>
      <c r="F161" s="20" t="s">
        <v>3569</v>
      </c>
      <c r="G161" s="21">
        <v>15.4</v>
      </c>
      <c r="H161" s="16">
        <v>26</v>
      </c>
      <c r="I161" s="16"/>
      <c r="J16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400.40000000000003</v>
      </c>
      <c r="K161" s="22"/>
      <c r="L161" s="23"/>
      <c r="M16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1" s="19">
        <f>Tabela17468101214223032268161925273133362421012141618242628303840248101214162022262830323436242681012142461012242624426262826268102628623668101214161820222424262830323438404244[[#This Row],[Uso diário]]*2</f>
        <v>30.8</v>
      </c>
      <c r="O161" s="19">
        <f>Tabela17468101214223032268161925273133362421012141618242628303840248101214162022262830323436242681012142461012242624426262826268102628623668101214161820222424262830323438404244[[#This Row],[Total Acumulado]]-P161</f>
        <v>-77</v>
      </c>
      <c r="P161" s="48">
        <f>Tabela17468101214223032268161925273133362421012141618242628303840248101214162022262830323436242681012142461012242624426262826268102628623668101214161820222424262830323438404244[[#This Row],[Uso diário]]*5</f>
        <v>77</v>
      </c>
      <c r="Q16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400.40000000000003</v>
      </c>
      <c r="S16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1" s="25">
        <v>22</v>
      </c>
    </row>
    <row r="162" spans="1:20" s="26" customFormat="1" x14ac:dyDescent="0.25">
      <c r="A162" s="16">
        <v>229909</v>
      </c>
      <c r="B162" s="30" t="s">
        <v>487</v>
      </c>
      <c r="C162" s="20" t="s">
        <v>654</v>
      </c>
      <c r="D162" s="20" t="s">
        <v>715</v>
      </c>
      <c r="E162" s="20" t="s">
        <v>3570</v>
      </c>
      <c r="F162" s="20" t="s">
        <v>3571</v>
      </c>
      <c r="G162" s="21">
        <v>13.4</v>
      </c>
      <c r="H162" s="16">
        <v>26</v>
      </c>
      <c r="I162" s="16"/>
      <c r="J16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2" s="22"/>
      <c r="L162" s="23"/>
      <c r="M16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2" s="19">
        <f>Tabela17468101214223032268161925273133362421012141618242628303840248101214162022262830323436242681012142461012242624426262826268102628623668101214161820222424262830323438404244[[#This Row],[Uso diário]]*2</f>
        <v>26.8</v>
      </c>
      <c r="O162" s="19">
        <f>Tabela17468101214223032268161925273133362421012141618242628303840248101214162022262830323436242681012142461012242624426262826268102628623668101214161820222424262830323438404244[[#This Row],[Total Acumulado]]-P162</f>
        <v>-67</v>
      </c>
      <c r="P162" s="48">
        <f>Tabela17468101214223032268161925273133362421012141618242628303840248101214162022262830323436242681012142461012242624426262826268102628623668101214161820222424262830323438404244[[#This Row],[Uso diário]]*5</f>
        <v>67</v>
      </c>
      <c r="Q16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2" s="25">
        <v>22</v>
      </c>
    </row>
    <row r="163" spans="1:20" s="26" customFormat="1" x14ac:dyDescent="0.25">
      <c r="A163" s="16">
        <v>230377</v>
      </c>
      <c r="B163" s="30" t="s">
        <v>488</v>
      </c>
      <c r="C163" s="20" t="s">
        <v>654</v>
      </c>
      <c r="D163" s="20" t="s">
        <v>715</v>
      </c>
      <c r="E163" s="20" t="s">
        <v>3572</v>
      </c>
      <c r="F163" s="20" t="s">
        <v>3573</v>
      </c>
      <c r="G163" s="21">
        <v>13.4</v>
      </c>
      <c r="H163" s="16">
        <v>26</v>
      </c>
      <c r="I163" s="16"/>
      <c r="J16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3" s="22"/>
      <c r="L163" s="23"/>
      <c r="M16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3" s="19">
        <f>Tabela17468101214223032268161925273133362421012141618242628303840248101214162022262830323436242681012142461012242624426262826268102628623668101214161820222424262830323438404244[[#This Row],[Uso diário]]*2</f>
        <v>26.8</v>
      </c>
      <c r="O163" s="19">
        <f>Tabela17468101214223032268161925273133362421012141618242628303840248101214162022262830323436242681012142461012242624426262826268102628623668101214161820222424262830323438404244[[#This Row],[Total Acumulado]]-P163</f>
        <v>-67</v>
      </c>
      <c r="P163" s="48">
        <f>Tabela17468101214223032268161925273133362421012141618242628303840248101214162022262830323436242681012142461012242624426262826268102628623668101214161820222424262830323438404244[[#This Row],[Uso diário]]*5</f>
        <v>67</v>
      </c>
      <c r="Q16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3" s="25">
        <v>22</v>
      </c>
    </row>
    <row r="164" spans="1:20" s="26" customFormat="1" x14ac:dyDescent="0.25">
      <c r="A164" s="16">
        <v>231041</v>
      </c>
      <c r="B164" s="30" t="s">
        <v>1505</v>
      </c>
      <c r="C164" s="20" t="s">
        <v>654</v>
      </c>
      <c r="D164" s="20" t="s">
        <v>715</v>
      </c>
      <c r="E164" s="20" t="s">
        <v>3574</v>
      </c>
      <c r="F164" s="20" t="s">
        <v>3575</v>
      </c>
      <c r="G164" s="21">
        <v>13.4</v>
      </c>
      <c r="H164" s="16">
        <v>26</v>
      </c>
      <c r="I164" s="16"/>
      <c r="J16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4" s="22"/>
      <c r="L164" s="23"/>
      <c r="M16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4" s="19">
        <f>Tabela17468101214223032268161925273133362421012141618242628303840248101214162022262830323436242681012142461012242624426262826268102628623668101214161820222424262830323438404244[[#This Row],[Uso diário]]*2</f>
        <v>26.8</v>
      </c>
      <c r="O164" s="19">
        <f>Tabela17468101214223032268161925273133362421012141618242628303840248101214162022262830323436242681012142461012242624426262826268102628623668101214161820222424262830323438404244[[#This Row],[Total Acumulado]]-P164</f>
        <v>-67</v>
      </c>
      <c r="P164" s="48">
        <f>Tabela17468101214223032268161925273133362421012141618242628303840248101214162022262830323436242681012142461012242624426262826268102628623668101214161820222424262830323438404244[[#This Row],[Uso diário]]*5</f>
        <v>67</v>
      </c>
      <c r="Q16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4" s="25">
        <v>22</v>
      </c>
    </row>
    <row r="165" spans="1:20" s="26" customFormat="1" x14ac:dyDescent="0.25">
      <c r="A165" s="16">
        <v>231607</v>
      </c>
      <c r="B165" s="30" t="s">
        <v>857</v>
      </c>
      <c r="C165" s="20" t="s">
        <v>654</v>
      </c>
      <c r="D165" s="20" t="s">
        <v>715</v>
      </c>
      <c r="E165" s="20" t="s">
        <v>3576</v>
      </c>
      <c r="F165" s="20" t="s">
        <v>3577</v>
      </c>
      <c r="G165" s="21">
        <v>13.4</v>
      </c>
      <c r="H165" s="16">
        <v>26</v>
      </c>
      <c r="I165" s="16"/>
      <c r="J16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5" s="22"/>
      <c r="L165" s="23"/>
      <c r="M16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5" s="19">
        <f>Tabela17468101214223032268161925273133362421012141618242628303840248101214162022262830323436242681012142461012242624426262826268102628623668101214161820222424262830323438404244[[#This Row],[Uso diário]]*2</f>
        <v>26.8</v>
      </c>
      <c r="O165" s="19">
        <f>Tabela17468101214223032268161925273133362421012141618242628303840248101214162022262830323436242681012142461012242624426262826268102628623668101214161820222424262830323438404244[[#This Row],[Total Acumulado]]-P165</f>
        <v>-67</v>
      </c>
      <c r="P165" s="48">
        <f>Tabela17468101214223032268161925273133362421012141618242628303840248101214162022262830323436242681012142461012242624426262826268102628623668101214161820222424262830323438404244[[#This Row],[Uso diário]]*5</f>
        <v>67</v>
      </c>
      <c r="Q16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5" s="25">
        <v>22</v>
      </c>
    </row>
    <row r="166" spans="1:20" s="26" customFormat="1" x14ac:dyDescent="0.25">
      <c r="A166" s="16">
        <v>231993</v>
      </c>
      <c r="B166" s="30" t="s">
        <v>858</v>
      </c>
      <c r="C166" s="20" t="s">
        <v>654</v>
      </c>
      <c r="D166" s="20" t="s">
        <v>715</v>
      </c>
      <c r="E166" s="20" t="s">
        <v>3578</v>
      </c>
      <c r="F166" s="20" t="s">
        <v>3579</v>
      </c>
      <c r="G166" s="21">
        <v>15.4</v>
      </c>
      <c r="H166" s="16">
        <v>26</v>
      </c>
      <c r="I166" s="16"/>
      <c r="J16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400.40000000000003</v>
      </c>
      <c r="K166" s="22"/>
      <c r="L166" s="23"/>
      <c r="M16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6" s="19">
        <f>Tabela17468101214223032268161925273133362421012141618242628303840248101214162022262830323436242681012142461012242624426262826268102628623668101214161820222424262830323438404244[[#This Row],[Uso diário]]*2</f>
        <v>30.8</v>
      </c>
      <c r="O166" s="19">
        <f>Tabela17468101214223032268161925273133362421012141618242628303840248101214162022262830323436242681012142461012242624426262826268102628623668101214161820222424262830323438404244[[#This Row],[Total Acumulado]]-P166</f>
        <v>-77</v>
      </c>
      <c r="P166" s="48">
        <f>Tabela17468101214223032268161925273133362421012141618242628303840248101214162022262830323436242681012142461012242624426262826268102628623668101214161820222424262830323438404244[[#This Row],[Uso diário]]*5</f>
        <v>77</v>
      </c>
      <c r="Q16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400.40000000000003</v>
      </c>
      <c r="S16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6" s="25">
        <v>22</v>
      </c>
    </row>
    <row r="167" spans="1:20" s="26" customFormat="1" x14ac:dyDescent="0.25">
      <c r="A167" s="16">
        <v>232401</v>
      </c>
      <c r="B167" s="30" t="s">
        <v>919</v>
      </c>
      <c r="C167" s="20" t="s">
        <v>654</v>
      </c>
      <c r="D167" s="20" t="s">
        <v>715</v>
      </c>
      <c r="E167" s="20" t="s">
        <v>3580</v>
      </c>
      <c r="F167" s="20" t="s">
        <v>3581</v>
      </c>
      <c r="G167" s="21">
        <v>13.4</v>
      </c>
      <c r="H167" s="16">
        <v>26</v>
      </c>
      <c r="I167" s="16"/>
      <c r="J16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7" s="22"/>
      <c r="L167" s="23"/>
      <c r="M16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7" s="19">
        <f>Tabela17468101214223032268161925273133362421012141618242628303840248101214162022262830323436242681012142461012242624426262826268102628623668101214161820222424262830323438404244[[#This Row],[Uso diário]]*2</f>
        <v>26.8</v>
      </c>
      <c r="O167" s="19">
        <f>Tabela17468101214223032268161925273133362421012141618242628303840248101214162022262830323436242681012142461012242624426262826268102628623668101214161820222424262830323438404244[[#This Row],[Total Acumulado]]-P167</f>
        <v>-67</v>
      </c>
      <c r="P167" s="48">
        <f>Tabela17468101214223032268161925273133362421012141618242628303840248101214162022262830323436242681012142461012242624426262826268102628623668101214161820222424262830323438404244[[#This Row],[Uso diário]]*5</f>
        <v>67</v>
      </c>
      <c r="Q16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7" s="25">
        <v>22</v>
      </c>
    </row>
    <row r="168" spans="1:20" s="26" customFormat="1" x14ac:dyDescent="0.25">
      <c r="A168" s="16">
        <v>234014</v>
      </c>
      <c r="B168" s="30" t="s">
        <v>1229</v>
      </c>
      <c r="C168" s="20" t="s">
        <v>654</v>
      </c>
      <c r="D168" s="20" t="s">
        <v>715</v>
      </c>
      <c r="E168" s="20" t="s">
        <v>3582</v>
      </c>
      <c r="F168" s="20" t="s">
        <v>3583</v>
      </c>
      <c r="G168" s="21">
        <v>13.4</v>
      </c>
      <c r="H168" s="16">
        <v>26</v>
      </c>
      <c r="I168" s="16"/>
      <c r="J16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8" s="22"/>
      <c r="L168" s="23"/>
      <c r="M16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8" s="19">
        <f>Tabela17468101214223032268161925273133362421012141618242628303840248101214162022262830323436242681012142461012242624426262826268102628623668101214161820222424262830323438404244[[#This Row],[Uso diário]]*2</f>
        <v>26.8</v>
      </c>
      <c r="O168" s="19">
        <f>Tabela17468101214223032268161925273133362421012141618242628303840248101214162022262830323436242681012142461012242624426262826268102628623668101214161820222424262830323438404244[[#This Row],[Total Acumulado]]-P168</f>
        <v>-67</v>
      </c>
      <c r="P168" s="48">
        <f>Tabela17468101214223032268161925273133362421012141618242628303840248101214162022262830323436242681012142461012242624426262826268102628623668101214161820222424262830323438404244[[#This Row],[Uso diário]]*5</f>
        <v>67</v>
      </c>
      <c r="Q16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8" s="25">
        <v>22</v>
      </c>
    </row>
    <row r="169" spans="1:20" s="26" customFormat="1" x14ac:dyDescent="0.25">
      <c r="A169" s="16">
        <v>234073</v>
      </c>
      <c r="B169" s="30" t="s">
        <v>1230</v>
      </c>
      <c r="C169" s="20" t="s">
        <v>654</v>
      </c>
      <c r="D169" s="20" t="s">
        <v>715</v>
      </c>
      <c r="E169" s="20" t="s">
        <v>3584</v>
      </c>
      <c r="F169" s="20" t="s">
        <v>3585</v>
      </c>
      <c r="G169" s="21">
        <v>13.4</v>
      </c>
      <c r="H169" s="16">
        <v>26</v>
      </c>
      <c r="I169" s="16"/>
      <c r="J16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69" s="22"/>
      <c r="L169" s="23"/>
      <c r="M16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69" s="19">
        <f>Tabela17468101214223032268161925273133362421012141618242628303840248101214162022262830323436242681012142461012242624426262826268102628623668101214161820222424262830323438404244[[#This Row],[Uso diário]]*2</f>
        <v>26.8</v>
      </c>
      <c r="O169" s="19">
        <f>Tabela17468101214223032268161925273133362421012141618242628303840248101214162022262830323436242681012142461012242624426262826268102628623668101214161820222424262830323438404244[[#This Row],[Total Acumulado]]-P169</f>
        <v>-67</v>
      </c>
      <c r="P169" s="48">
        <f>Tabela17468101214223032268161925273133362421012141618242628303840248101214162022262830323436242681012142461012242624426262826268102628623668101214161820222424262830323438404244[[#This Row],[Uso diário]]*5</f>
        <v>67</v>
      </c>
      <c r="Q16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6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6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69" s="25">
        <v>22</v>
      </c>
    </row>
    <row r="170" spans="1:20" s="26" customFormat="1" x14ac:dyDescent="0.25">
      <c r="A170" s="16">
        <v>234469</v>
      </c>
      <c r="B170" s="30" t="s">
        <v>1298</v>
      </c>
      <c r="C170" s="20" t="s">
        <v>654</v>
      </c>
      <c r="D170" s="20" t="s">
        <v>715</v>
      </c>
      <c r="E170" s="20" t="s">
        <v>3586</v>
      </c>
      <c r="F170" s="20" t="s">
        <v>3587</v>
      </c>
      <c r="G170" s="21">
        <v>13.4</v>
      </c>
      <c r="H170" s="16">
        <v>26</v>
      </c>
      <c r="I170" s="16"/>
      <c r="J17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0" s="22"/>
      <c r="L170" s="23"/>
      <c r="M17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0" s="19">
        <f>Tabela17468101214223032268161925273133362421012141618242628303840248101214162022262830323436242681012142461012242624426262826268102628623668101214161820222424262830323438404244[[#This Row],[Uso diário]]*2</f>
        <v>26.8</v>
      </c>
      <c r="O170" s="19">
        <f>Tabela17468101214223032268161925273133362421012141618242628303840248101214162022262830323436242681012142461012242624426262826268102628623668101214161820222424262830323438404244[[#This Row],[Total Acumulado]]-P170</f>
        <v>-67</v>
      </c>
      <c r="P170" s="48">
        <f>Tabela17468101214223032268161925273133362421012141618242628303840248101214162022262830323436242681012142461012242624426262826268102628623668101214161820222424262830323438404244[[#This Row],[Uso diário]]*5</f>
        <v>67</v>
      </c>
      <c r="Q17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0" s="25">
        <v>22</v>
      </c>
    </row>
    <row r="171" spans="1:20" s="26" customFormat="1" x14ac:dyDescent="0.25">
      <c r="A171" s="16">
        <v>234605</v>
      </c>
      <c r="B171" s="30" t="s">
        <v>1328</v>
      </c>
      <c r="C171" s="20" t="s">
        <v>654</v>
      </c>
      <c r="D171" s="20" t="s">
        <v>715</v>
      </c>
      <c r="E171" s="20" t="s">
        <v>3588</v>
      </c>
      <c r="F171" s="20" t="s">
        <v>3589</v>
      </c>
      <c r="G171" s="21">
        <v>13.4</v>
      </c>
      <c r="H171" s="16">
        <v>26</v>
      </c>
      <c r="I171" s="16"/>
      <c r="J17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1" s="22"/>
      <c r="L171" s="23"/>
      <c r="M17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1" s="19">
        <f>Tabela17468101214223032268161925273133362421012141618242628303840248101214162022262830323436242681012142461012242624426262826268102628623668101214161820222424262830323438404244[[#This Row],[Uso diário]]*2</f>
        <v>26.8</v>
      </c>
      <c r="O171" s="19">
        <f>Tabela17468101214223032268161925273133362421012141618242628303840248101214162022262830323436242681012142461012242624426262826268102628623668101214161820222424262830323438404244[[#This Row],[Total Acumulado]]-P171</f>
        <v>-67</v>
      </c>
      <c r="P171" s="48">
        <f>Tabela17468101214223032268161925273133362421012141618242628303840248101214162022262830323436242681012142461012242624426262826268102628623668101214161820222424262830323438404244[[#This Row],[Uso diário]]*5</f>
        <v>67</v>
      </c>
      <c r="Q17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1" s="25">
        <v>22</v>
      </c>
    </row>
    <row r="172" spans="1:20" s="26" customFormat="1" x14ac:dyDescent="0.25">
      <c r="A172" s="16">
        <v>234623</v>
      </c>
      <c r="B172" s="30" t="s">
        <v>1329</v>
      </c>
      <c r="C172" s="20" t="s">
        <v>654</v>
      </c>
      <c r="D172" s="20" t="s">
        <v>715</v>
      </c>
      <c r="E172" s="20" t="s">
        <v>3590</v>
      </c>
      <c r="F172" s="20" t="s">
        <v>3591</v>
      </c>
      <c r="G172" s="21">
        <v>13.4</v>
      </c>
      <c r="H172" s="16">
        <v>26</v>
      </c>
      <c r="I172" s="16"/>
      <c r="J17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2" s="22"/>
      <c r="L172" s="23"/>
      <c r="M17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2" s="19">
        <f>Tabela17468101214223032268161925273133362421012141618242628303840248101214162022262830323436242681012142461012242624426262826268102628623668101214161820222424262830323438404244[[#This Row],[Uso diário]]*2</f>
        <v>26.8</v>
      </c>
      <c r="O172" s="19">
        <f>Tabela17468101214223032268161925273133362421012141618242628303840248101214162022262830323436242681012142461012242624426262826268102628623668101214161820222424262830323438404244[[#This Row],[Total Acumulado]]-P172</f>
        <v>-67</v>
      </c>
      <c r="P172" s="48">
        <f>Tabela17468101214223032268161925273133362421012141618242628303840248101214162022262830323436242681012142461012242624426262826268102628623668101214161820222424262830323438404244[[#This Row],[Uso diário]]*5</f>
        <v>67</v>
      </c>
      <c r="Q17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2" s="25">
        <v>22</v>
      </c>
    </row>
    <row r="173" spans="1:20" s="26" customFormat="1" x14ac:dyDescent="0.25">
      <c r="A173" s="16">
        <v>222310</v>
      </c>
      <c r="B173" s="30" t="s">
        <v>489</v>
      </c>
      <c r="C173" s="20" t="s">
        <v>640</v>
      </c>
      <c r="D173" s="20" t="s">
        <v>702</v>
      </c>
      <c r="E173" s="20" t="s">
        <v>3592</v>
      </c>
      <c r="F173" s="20" t="s">
        <v>3593</v>
      </c>
      <c r="G173" s="21">
        <v>13.4</v>
      </c>
      <c r="H173" s="16">
        <v>26</v>
      </c>
      <c r="I173" s="16"/>
      <c r="J17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3" s="22"/>
      <c r="L173" s="23"/>
      <c r="M17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3" s="19">
        <f>Tabela17468101214223032268161925273133362421012141618242628303840248101214162022262830323436242681012142461012242624426262826268102628623668101214161820222424262830323438404244[[#This Row],[Uso diário]]*2</f>
        <v>26.8</v>
      </c>
      <c r="O173" s="19">
        <f>Tabela17468101214223032268161925273133362421012141618242628303840248101214162022262830323436242681012142461012242624426262826268102628623668101214161820222424262830323438404244[[#This Row],[Total Acumulado]]-P173</f>
        <v>-67</v>
      </c>
      <c r="P173" s="48">
        <f>Tabela17468101214223032268161925273133362421012141618242628303840248101214162022262830323436242681012142461012242624426262826268102628623668101214161820222424262830323438404244[[#This Row],[Uso diário]]*5</f>
        <v>67</v>
      </c>
      <c r="Q17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3" s="25">
        <v>22</v>
      </c>
    </row>
    <row r="174" spans="1:20" s="26" customFormat="1" x14ac:dyDescent="0.25">
      <c r="A174" s="16">
        <v>229063</v>
      </c>
      <c r="B174" s="30" t="s">
        <v>254</v>
      </c>
      <c r="C174" s="20" t="s">
        <v>640</v>
      </c>
      <c r="D174" s="20" t="s">
        <v>701</v>
      </c>
      <c r="E174" s="20" t="s">
        <v>3594</v>
      </c>
      <c r="F174" s="20" t="s">
        <v>3595</v>
      </c>
      <c r="G174" s="21">
        <v>18.8</v>
      </c>
      <c r="H174" s="16">
        <v>26</v>
      </c>
      <c r="I174" s="16"/>
      <c r="J17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74" s="22"/>
      <c r="L174" s="23"/>
      <c r="M17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4" s="19">
        <f>Tabela17468101214223032268161925273133362421012141618242628303840248101214162022262830323436242681012142461012242624426262826268102628623668101214161820222424262830323438404244[[#This Row],[Uso diário]]*2</f>
        <v>37.6</v>
      </c>
      <c r="O174" s="19">
        <f>Tabela17468101214223032268161925273133362421012141618242628303840248101214162022262830323436242681012142461012242624426262826268102628623668101214161820222424262830323438404244[[#This Row],[Total Acumulado]]-P174</f>
        <v>-94</v>
      </c>
      <c r="P174" s="48">
        <f>Tabela17468101214223032268161925273133362421012141618242628303840248101214162022262830323436242681012142461012242624426262826268102628623668101214161820222424262830323438404244[[#This Row],[Uso diário]]*5</f>
        <v>94</v>
      </c>
      <c r="Q17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17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4" s="25">
        <v>22</v>
      </c>
    </row>
    <row r="175" spans="1:20" s="26" customFormat="1" x14ac:dyDescent="0.25">
      <c r="A175" s="16">
        <v>231900</v>
      </c>
      <c r="B175" s="30" t="s">
        <v>878</v>
      </c>
      <c r="C175" s="20" t="s">
        <v>640</v>
      </c>
      <c r="D175" s="20" t="s">
        <v>701</v>
      </c>
      <c r="E175" s="20" t="s">
        <v>3596</v>
      </c>
      <c r="F175" s="20" t="s">
        <v>3597</v>
      </c>
      <c r="G175" s="21">
        <v>13.4</v>
      </c>
      <c r="H175" s="16">
        <v>26</v>
      </c>
      <c r="I175" s="16"/>
      <c r="J17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5" s="22"/>
      <c r="L175" s="23"/>
      <c r="M17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5" s="19">
        <f>Tabela17468101214223032268161925273133362421012141618242628303840248101214162022262830323436242681012142461012242624426262826268102628623668101214161820222424262830323438404244[[#This Row],[Uso diário]]*2</f>
        <v>26.8</v>
      </c>
      <c r="O175" s="19">
        <f>Tabela17468101214223032268161925273133362421012141618242628303840248101214162022262830323436242681012142461012242624426262826268102628623668101214161820222424262830323438404244[[#This Row],[Total Acumulado]]-P175</f>
        <v>-67</v>
      </c>
      <c r="P175" s="48">
        <f>Tabela17468101214223032268161925273133362421012141618242628303840248101214162022262830323436242681012142461012242624426262826268102628623668101214161820222424262830323438404244[[#This Row],[Uso diário]]*5</f>
        <v>67</v>
      </c>
      <c r="Q17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5" s="25">
        <v>22</v>
      </c>
    </row>
    <row r="176" spans="1:20" s="26" customFormat="1" x14ac:dyDescent="0.25">
      <c r="A176" s="16">
        <v>234622</v>
      </c>
      <c r="B176" s="30" t="s">
        <v>1330</v>
      </c>
      <c r="C176" s="20" t="s">
        <v>640</v>
      </c>
      <c r="D176" s="20" t="s">
        <v>701</v>
      </c>
      <c r="E176" s="20" t="s">
        <v>3598</v>
      </c>
      <c r="F176" s="20" t="s">
        <v>3599</v>
      </c>
      <c r="G176" s="21">
        <v>13.4</v>
      </c>
      <c r="H176" s="16">
        <v>26</v>
      </c>
      <c r="I176" s="16"/>
      <c r="J17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6" s="22"/>
      <c r="L176" s="23"/>
      <c r="M17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6" s="19">
        <f>Tabela17468101214223032268161925273133362421012141618242628303840248101214162022262830323436242681012142461012242624426262826268102628623668101214161820222424262830323438404244[[#This Row],[Uso diário]]*2</f>
        <v>26.8</v>
      </c>
      <c r="O176" s="19">
        <f>Tabela17468101214223032268161925273133362421012141618242628303840248101214162022262830323436242681012142461012242624426262826268102628623668101214161820222424262830323438404244[[#This Row],[Total Acumulado]]-P176</f>
        <v>-67</v>
      </c>
      <c r="P176" s="48">
        <f>Tabela17468101214223032268161925273133362421012141618242628303840248101214162022262830323436242681012142461012242624426262826268102628623668101214161820222424262830323438404244[[#This Row],[Uso diário]]*5</f>
        <v>67</v>
      </c>
      <c r="Q17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6" s="25">
        <v>22</v>
      </c>
    </row>
    <row r="177" spans="1:20" s="26" customFormat="1" x14ac:dyDescent="0.25">
      <c r="A177" s="16">
        <v>222064</v>
      </c>
      <c r="B177" s="30" t="s">
        <v>490</v>
      </c>
      <c r="C177" s="20" t="s">
        <v>655</v>
      </c>
      <c r="D177" s="20" t="s">
        <v>732</v>
      </c>
      <c r="E177" s="20" t="s">
        <v>3600</v>
      </c>
      <c r="F177" s="20" t="s">
        <v>3601</v>
      </c>
      <c r="G177" s="21">
        <v>10</v>
      </c>
      <c r="H177" s="16">
        <v>26</v>
      </c>
      <c r="I177" s="16"/>
      <c r="J17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260</v>
      </c>
      <c r="K177" s="22"/>
      <c r="L177" s="23"/>
      <c r="M17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7" s="19">
        <f>Tabela17468101214223032268161925273133362421012141618242628303840248101214162022262830323436242681012142461012242624426262826268102628623668101214161820222424262830323438404244[[#This Row],[Uso diário]]*2</f>
        <v>20</v>
      </c>
      <c r="O177" s="19">
        <f>Tabela17468101214223032268161925273133362421012141618242628303840248101214162022262830323436242681012142461012242624426262826268102628623668101214161820222424262830323438404244[[#This Row],[Total Acumulado]]-P177</f>
        <v>-50</v>
      </c>
      <c r="P177" s="48">
        <f>Tabela17468101214223032268161925273133362421012141618242628303840248101214162022262830323436242681012142461012242624426262826268102628623668101214161820222424262830323438404244[[#This Row],[Uso diário]]*5</f>
        <v>50</v>
      </c>
      <c r="Q17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260</v>
      </c>
      <c r="S17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7" s="25">
        <v>22</v>
      </c>
    </row>
    <row r="178" spans="1:20" s="26" customFormat="1" x14ac:dyDescent="0.25">
      <c r="A178" s="16">
        <v>223191</v>
      </c>
      <c r="B178" s="30" t="s">
        <v>491</v>
      </c>
      <c r="C178" s="20" t="s">
        <v>655</v>
      </c>
      <c r="D178" s="20" t="s">
        <v>734</v>
      </c>
      <c r="E178" s="20" t="s">
        <v>3602</v>
      </c>
      <c r="F178" s="20" t="s">
        <v>3603</v>
      </c>
      <c r="G178" s="21">
        <v>10</v>
      </c>
      <c r="H178" s="16">
        <v>26</v>
      </c>
      <c r="I178" s="16">
        <v>2</v>
      </c>
      <c r="J17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240</v>
      </c>
      <c r="K178" s="22"/>
      <c r="L178" s="23"/>
      <c r="M17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8" s="19">
        <f>Tabela17468101214223032268161925273133362421012141618242628303840248101214162022262830323436242681012142461012242624426262826268102628623668101214161820222424262830323438404244[[#This Row],[Uso diário]]*2</f>
        <v>20</v>
      </c>
      <c r="O178" s="19">
        <f>Tabela17468101214223032268161925273133362421012141618242628303840248101214162022262830323436242681012142461012242624426262826268102628623668101214161820222424262830323438404244[[#This Row],[Total Acumulado]]-P178</f>
        <v>-50</v>
      </c>
      <c r="P178" s="48">
        <f>Tabela17468101214223032268161925273133362421012141618242628303840248101214162022262830323436242681012142461012242624426262826268102628623668101214161820222424262830323438404244[[#This Row],[Uso diário]]*5</f>
        <v>50</v>
      </c>
      <c r="Q17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240</v>
      </c>
      <c r="S17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8" s="25">
        <v>22</v>
      </c>
    </row>
    <row r="179" spans="1:20" s="26" customFormat="1" x14ac:dyDescent="0.25">
      <c r="A179" s="16">
        <v>223733</v>
      </c>
      <c r="B179" s="30" t="s">
        <v>492</v>
      </c>
      <c r="C179" s="20" t="s">
        <v>655</v>
      </c>
      <c r="D179" s="20" t="s">
        <v>713</v>
      </c>
      <c r="E179" s="20" t="s">
        <v>3604</v>
      </c>
      <c r="F179" s="20" t="s">
        <v>3605</v>
      </c>
      <c r="G179" s="21">
        <v>13.4</v>
      </c>
      <c r="H179" s="16">
        <v>26</v>
      </c>
      <c r="I179" s="16"/>
      <c r="J17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79" s="22"/>
      <c r="L179" s="23"/>
      <c r="M17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79" s="19">
        <f>Tabela17468101214223032268161925273133362421012141618242628303840248101214162022262830323436242681012142461012242624426262826268102628623668101214161820222424262830323438404244[[#This Row],[Uso diário]]*2</f>
        <v>26.8</v>
      </c>
      <c r="O179" s="19">
        <f>Tabela17468101214223032268161925273133362421012141618242628303840248101214162022262830323436242681012142461012242624426262826268102628623668101214161820222424262830323438404244[[#This Row],[Total Acumulado]]-P179</f>
        <v>-67</v>
      </c>
      <c r="P179" s="48">
        <f>Tabela17468101214223032268161925273133362421012141618242628303840248101214162022262830323436242681012142461012242624426262826268102628623668101214161820222424262830323438404244[[#This Row],[Uso diário]]*5</f>
        <v>67</v>
      </c>
      <c r="Q17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7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7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79" s="25">
        <v>22</v>
      </c>
    </row>
    <row r="180" spans="1:20" s="26" customFormat="1" x14ac:dyDescent="0.25">
      <c r="A180" s="16">
        <v>225138</v>
      </c>
      <c r="B180" s="30" t="s">
        <v>1506</v>
      </c>
      <c r="C180" s="20" t="s">
        <v>655</v>
      </c>
      <c r="D180" s="20" t="s">
        <v>713</v>
      </c>
      <c r="E180" s="20" t="s">
        <v>3606</v>
      </c>
      <c r="F180" s="20" t="s">
        <v>3607</v>
      </c>
      <c r="G180" s="21">
        <v>14.2</v>
      </c>
      <c r="H180" s="16">
        <v>26</v>
      </c>
      <c r="I180" s="16"/>
      <c r="J18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369.2</v>
      </c>
      <c r="K180" s="22"/>
      <c r="L180" s="23"/>
      <c r="M18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0" s="19">
        <f>Tabela17468101214223032268161925273133362421012141618242628303840248101214162022262830323436242681012142461012242624426262826268102628623668101214161820222424262830323438404244[[#This Row],[Uso diário]]*2</f>
        <v>28.4</v>
      </c>
      <c r="O180" s="19">
        <f>Tabela17468101214223032268161925273133362421012141618242628303840248101214162022262830323436242681012142461012242624426262826268102628623668101214161820222424262830323438404244[[#This Row],[Total Acumulado]]-P180</f>
        <v>-71</v>
      </c>
      <c r="P180" s="48">
        <f>Tabela17468101214223032268161925273133362421012141618242628303840248101214162022262830323436242681012142461012242624426262826268102628623668101214161820222424262830323438404244[[#This Row],[Uso diário]]*5</f>
        <v>71</v>
      </c>
      <c r="Q18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369.2</v>
      </c>
      <c r="S18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0" s="25">
        <v>22</v>
      </c>
    </row>
    <row r="181" spans="1:20" s="26" customFormat="1" x14ac:dyDescent="0.25">
      <c r="A181" s="16">
        <v>225576</v>
      </c>
      <c r="B181" s="30" t="s">
        <v>605</v>
      </c>
      <c r="C181" s="20" t="s">
        <v>655</v>
      </c>
      <c r="D181" s="20" t="s">
        <v>734</v>
      </c>
      <c r="E181" s="20" t="s">
        <v>3608</v>
      </c>
      <c r="F181" s="20" t="s">
        <v>3609</v>
      </c>
      <c r="G181" s="21">
        <v>13.7</v>
      </c>
      <c r="H181" s="16">
        <v>26</v>
      </c>
      <c r="I181" s="16"/>
      <c r="J18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356.2</v>
      </c>
      <c r="K181" s="22"/>
      <c r="L181" s="23"/>
      <c r="M18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1" s="19">
        <f>Tabela17468101214223032268161925273133362421012141618242628303840248101214162022262830323436242681012142461012242624426262826268102628623668101214161820222424262830323438404244[[#This Row],[Uso diário]]*2</f>
        <v>27.4</v>
      </c>
      <c r="O181" s="19">
        <f>Tabela17468101214223032268161925273133362421012141618242628303840248101214162022262830323436242681012142461012242624426262826268102628623668101214161820222424262830323438404244[[#This Row],[Total Acumulado]]-P181</f>
        <v>-68.5</v>
      </c>
      <c r="P181" s="48">
        <f>Tabela17468101214223032268161925273133362421012141618242628303840248101214162022262830323436242681012142461012242624426262826268102628623668101214161820222424262830323438404244[[#This Row],[Uso diário]]*5</f>
        <v>68.5</v>
      </c>
      <c r="Q18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356.2</v>
      </c>
      <c r="S18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1" s="25">
        <v>22</v>
      </c>
    </row>
    <row r="182" spans="1:20" s="26" customFormat="1" x14ac:dyDescent="0.25">
      <c r="A182" s="16">
        <v>226324</v>
      </c>
      <c r="B182" s="30" t="s">
        <v>1507</v>
      </c>
      <c r="C182" s="20" t="s">
        <v>655</v>
      </c>
      <c r="D182" s="20" t="s">
        <v>713</v>
      </c>
      <c r="E182" s="20" t="s">
        <v>3610</v>
      </c>
      <c r="F182" s="20" t="s">
        <v>3611</v>
      </c>
      <c r="G182" s="21">
        <v>13.4</v>
      </c>
      <c r="H182" s="16">
        <v>26</v>
      </c>
      <c r="I182" s="16"/>
      <c r="J18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2" s="22"/>
      <c r="L182" s="23"/>
      <c r="M18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2" s="19">
        <f>Tabela17468101214223032268161925273133362421012141618242628303840248101214162022262830323436242681012142461012242624426262826268102628623668101214161820222424262830323438404244[[#This Row],[Uso diário]]*2</f>
        <v>26.8</v>
      </c>
      <c r="O182" s="19">
        <f>Tabela17468101214223032268161925273133362421012141618242628303840248101214162022262830323436242681012142461012242624426262826268102628623668101214161820222424262830323438404244[[#This Row],[Total Acumulado]]-P182</f>
        <v>-67</v>
      </c>
      <c r="P182" s="48">
        <f>Tabela17468101214223032268161925273133362421012141618242628303840248101214162022262830323436242681012142461012242624426262826268102628623668101214161820222424262830323438404244[[#This Row],[Uso diário]]*5</f>
        <v>67</v>
      </c>
      <c r="Q18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2" s="25">
        <v>22</v>
      </c>
    </row>
    <row r="183" spans="1:20" s="26" customFormat="1" x14ac:dyDescent="0.25">
      <c r="A183" s="16">
        <v>228252</v>
      </c>
      <c r="B183" s="30" t="s">
        <v>494</v>
      </c>
      <c r="C183" s="20" t="s">
        <v>655</v>
      </c>
      <c r="D183" s="20" t="s">
        <v>734</v>
      </c>
      <c r="E183" s="20" t="s">
        <v>3612</v>
      </c>
      <c r="F183" s="20" t="s">
        <v>3613</v>
      </c>
      <c r="G183" s="21">
        <v>13.4</v>
      </c>
      <c r="H183" s="16">
        <v>26</v>
      </c>
      <c r="I183" s="16"/>
      <c r="J18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3" s="22"/>
      <c r="L183" s="23"/>
      <c r="M18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3" s="19">
        <f>Tabela17468101214223032268161925273133362421012141618242628303840248101214162022262830323436242681012142461012242624426262826268102628623668101214161820222424262830323438404244[[#This Row],[Uso diário]]*2</f>
        <v>26.8</v>
      </c>
      <c r="O183" s="19">
        <f>Tabela17468101214223032268161925273133362421012141618242628303840248101214162022262830323436242681012142461012242624426262826268102628623668101214161820222424262830323438404244[[#This Row],[Total Acumulado]]-P183</f>
        <v>-67</v>
      </c>
      <c r="P183" s="48">
        <f>Tabela17468101214223032268161925273133362421012141618242628303840248101214162022262830323436242681012142461012242624426262826268102628623668101214161820222424262830323438404244[[#This Row],[Uso diário]]*5</f>
        <v>67</v>
      </c>
      <c r="Q18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3" s="25">
        <v>22</v>
      </c>
    </row>
    <row r="184" spans="1:20" s="26" customFormat="1" x14ac:dyDescent="0.25">
      <c r="A184" s="16">
        <v>229789</v>
      </c>
      <c r="B184" s="30" t="s">
        <v>1231</v>
      </c>
      <c r="C184" s="20" t="s">
        <v>655</v>
      </c>
      <c r="D184" s="20" t="s">
        <v>733</v>
      </c>
      <c r="E184" s="20" t="s">
        <v>3614</v>
      </c>
      <c r="F184" s="20" t="s">
        <v>3615</v>
      </c>
      <c r="G184" s="21">
        <v>13.4</v>
      </c>
      <c r="H184" s="16">
        <v>26</v>
      </c>
      <c r="I184" s="16"/>
      <c r="J18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4" s="22"/>
      <c r="L184" s="23"/>
      <c r="M18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4" s="19">
        <f>Tabela17468101214223032268161925273133362421012141618242628303840248101214162022262830323436242681012142461012242624426262826268102628623668101214161820222424262830323438404244[[#This Row],[Uso diário]]*2</f>
        <v>26.8</v>
      </c>
      <c r="O184" s="19">
        <f>Tabela17468101214223032268161925273133362421012141618242628303840248101214162022262830323436242681012142461012242624426262826268102628623668101214161820222424262830323438404244[[#This Row],[Total Acumulado]]-P184</f>
        <v>-67</v>
      </c>
      <c r="P184" s="48">
        <f>Tabela17468101214223032268161925273133362421012141618242628303840248101214162022262830323436242681012142461012242624426262826268102628623668101214161820222424262830323438404244[[#This Row],[Uso diário]]*5</f>
        <v>67</v>
      </c>
      <c r="Q18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4" s="25">
        <v>22</v>
      </c>
    </row>
    <row r="185" spans="1:20" s="26" customFormat="1" x14ac:dyDescent="0.25">
      <c r="A185" s="16">
        <v>231608</v>
      </c>
      <c r="B185" s="30" t="s">
        <v>859</v>
      </c>
      <c r="C185" s="20" t="s">
        <v>655</v>
      </c>
      <c r="D185" s="20" t="s">
        <v>734</v>
      </c>
      <c r="E185" s="20" t="s">
        <v>3616</v>
      </c>
      <c r="F185" s="20" t="s">
        <v>3617</v>
      </c>
      <c r="G185" s="21">
        <v>13.4</v>
      </c>
      <c r="H185" s="16">
        <v>26</v>
      </c>
      <c r="I185" s="16"/>
      <c r="J18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5" s="22"/>
      <c r="L185" s="23"/>
      <c r="M18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5" s="19">
        <f>Tabela17468101214223032268161925273133362421012141618242628303840248101214162022262830323436242681012142461012242624426262826268102628623668101214161820222424262830323438404244[[#This Row],[Uso diário]]*2</f>
        <v>26.8</v>
      </c>
      <c r="O185" s="19">
        <f>Tabela17468101214223032268161925273133362421012141618242628303840248101214162022262830323436242681012142461012242624426262826268102628623668101214161820222424262830323438404244[[#This Row],[Total Acumulado]]-P185</f>
        <v>-67</v>
      </c>
      <c r="P185" s="48">
        <f>Tabela17468101214223032268161925273133362421012141618242628303840248101214162022262830323436242681012142461012242624426262826268102628623668101214161820222424262830323438404244[[#This Row],[Uso diário]]*5</f>
        <v>67</v>
      </c>
      <c r="Q18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5" s="25">
        <v>22</v>
      </c>
    </row>
    <row r="186" spans="1:20" s="26" customFormat="1" x14ac:dyDescent="0.25">
      <c r="A186" s="16">
        <v>232886</v>
      </c>
      <c r="B186" s="30" t="s">
        <v>1011</v>
      </c>
      <c r="C186" s="20" t="s">
        <v>655</v>
      </c>
      <c r="D186" s="20" t="s">
        <v>713</v>
      </c>
      <c r="E186" s="20" t="s">
        <v>3618</v>
      </c>
      <c r="F186" s="20" t="s">
        <v>3619</v>
      </c>
      <c r="G186" s="21">
        <v>13.4</v>
      </c>
      <c r="H186" s="16">
        <v>26</v>
      </c>
      <c r="I186" s="16"/>
      <c r="J18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6" s="22"/>
      <c r="L186" s="23"/>
      <c r="M18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6" s="19">
        <f>Tabela17468101214223032268161925273133362421012141618242628303840248101214162022262830323436242681012142461012242624426262826268102628623668101214161820222424262830323438404244[[#This Row],[Uso diário]]*2</f>
        <v>26.8</v>
      </c>
      <c r="O186" s="19">
        <f>Tabela17468101214223032268161925273133362421012141618242628303840248101214162022262830323436242681012142461012242624426262826268102628623668101214161820222424262830323438404244[[#This Row],[Total Acumulado]]-P186</f>
        <v>-67</v>
      </c>
      <c r="P186" s="48">
        <f>Tabela17468101214223032268161925273133362421012141618242628303840248101214162022262830323436242681012142461012242624426262826268102628623668101214161820222424262830323438404244[[#This Row],[Uso diário]]*5</f>
        <v>67</v>
      </c>
      <c r="Q18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6" s="25">
        <v>22</v>
      </c>
    </row>
    <row r="187" spans="1:20" s="26" customFormat="1" x14ac:dyDescent="0.25">
      <c r="A187" s="16">
        <v>233419</v>
      </c>
      <c r="B187" s="30" t="s">
        <v>1105</v>
      </c>
      <c r="C187" s="20" t="s">
        <v>655</v>
      </c>
      <c r="D187" s="20" t="s">
        <v>713</v>
      </c>
      <c r="E187" s="20" t="s">
        <v>3620</v>
      </c>
      <c r="F187" s="20" t="s">
        <v>3621</v>
      </c>
      <c r="G187" s="21">
        <v>13.4</v>
      </c>
      <c r="H187" s="16">
        <v>26</v>
      </c>
      <c r="I187" s="16"/>
      <c r="J18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7" s="22"/>
      <c r="L187" s="23"/>
      <c r="M18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7" s="19">
        <f>Tabela17468101214223032268161925273133362421012141618242628303840248101214162022262830323436242681012142461012242624426262826268102628623668101214161820222424262830323438404244[[#This Row],[Uso diário]]*2</f>
        <v>26.8</v>
      </c>
      <c r="O187" s="19">
        <f>Tabela17468101214223032268161925273133362421012141618242628303840248101214162022262830323436242681012142461012242624426262826268102628623668101214161820222424262830323438404244[[#This Row],[Total Acumulado]]-P187</f>
        <v>-67</v>
      </c>
      <c r="P187" s="48">
        <f>Tabela17468101214223032268161925273133362421012141618242628303840248101214162022262830323436242681012142461012242624426262826268102628623668101214161820222424262830323438404244[[#This Row],[Uso diário]]*5</f>
        <v>67</v>
      </c>
      <c r="Q18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7" s="25">
        <v>22</v>
      </c>
    </row>
    <row r="188" spans="1:20" s="26" customFormat="1" x14ac:dyDescent="0.25">
      <c r="A188" s="16">
        <v>234877</v>
      </c>
      <c r="B188" s="30" t="s">
        <v>1508</v>
      </c>
      <c r="C188" s="20" t="s">
        <v>655</v>
      </c>
      <c r="D188" s="20" t="s">
        <v>734</v>
      </c>
      <c r="E188" s="20" t="s">
        <v>3622</v>
      </c>
      <c r="F188" s="20" t="s">
        <v>3623</v>
      </c>
      <c r="G188" s="21">
        <v>13.4</v>
      </c>
      <c r="H188" s="16">
        <v>26</v>
      </c>
      <c r="I188" s="16"/>
      <c r="J18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88" s="22"/>
      <c r="L188" s="23"/>
      <c r="M18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88" s="19">
        <f>Tabela17468101214223032268161925273133362421012141618242628303840248101214162022262830323436242681012142461012242624426262826268102628623668101214161820222424262830323438404244[[#This Row],[Uso diário]]*2</f>
        <v>26.8</v>
      </c>
      <c r="O188" s="19">
        <f>Tabela17468101214223032268161925273133362421012141618242628303840248101214162022262830323436242681012142461012242624426262826268102628623668101214161820222424262830323438404244[[#This Row],[Total Acumulado]]-P188</f>
        <v>-67</v>
      </c>
      <c r="P188" s="48">
        <f>Tabela17468101214223032268161925273133362421012141618242628303840248101214162022262830323436242681012142461012242624426262826268102628623668101214161820222424262830323438404244[[#This Row],[Uso diário]]*5</f>
        <v>67</v>
      </c>
      <c r="Q18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8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8" s="25">
        <v>22</v>
      </c>
    </row>
    <row r="189" spans="1:20" s="26" customFormat="1" x14ac:dyDescent="0.25">
      <c r="A189" s="16">
        <v>218437</v>
      </c>
      <c r="B189" s="30" t="s">
        <v>1106</v>
      </c>
      <c r="C189" s="20" t="s">
        <v>641</v>
      </c>
      <c r="D189" s="20" t="s">
        <v>735</v>
      </c>
      <c r="E189" s="20" t="s">
        <v>3624</v>
      </c>
      <c r="F189" s="20" t="s">
        <v>3625</v>
      </c>
      <c r="G189" s="21">
        <v>18.8</v>
      </c>
      <c r="H189" s="16">
        <v>26</v>
      </c>
      <c r="I189" s="16">
        <v>1</v>
      </c>
      <c r="J18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470</v>
      </c>
      <c r="K189" s="22"/>
      <c r="L189" s="23">
        <v>37.6</v>
      </c>
      <c r="M189" s="23">
        <f>SUM(Tabela17468101214223032268161925273133362421012141618242628303840248101214162022262830323436242681012142461012242624426262826268102628623668101214161820222424262830323438404244[[#This Row],[Saldo no cartão]:[Recarga Pendente]])</f>
        <v>37.6</v>
      </c>
      <c r="N189" s="19">
        <f>Tabela17468101214223032268161925273133362421012141618242628303840248101214162022262830323436242681012142461012242624426262826268102628623668101214161820222424262830323438404244[[#This Row],[Uso diário]]*2</f>
        <v>37.6</v>
      </c>
      <c r="O189" s="19">
        <f>Tabela17468101214223032268161925273133362421012141618242628303840248101214162022262830323436242681012142461012242624426262826268102628623668101214161820222424262830323438404244[[#This Row],[Total Acumulado]]-P189</f>
        <v>-56.4</v>
      </c>
      <c r="P189" s="48">
        <f>Tabela17468101214223032268161925273133362421012141618242628303840248101214162022262830323436242681012142461012242624426262826268102628623668101214161820222424262830323438404244[[#This Row],[Uso diário]]*5</f>
        <v>94</v>
      </c>
      <c r="Q18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8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470</v>
      </c>
      <c r="S18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89" s="25">
        <v>22</v>
      </c>
    </row>
    <row r="190" spans="1:20" s="26" customFormat="1" x14ac:dyDescent="0.25">
      <c r="A190" s="16">
        <v>220301</v>
      </c>
      <c r="B190" s="30" t="s">
        <v>261</v>
      </c>
      <c r="C190" s="20" t="s">
        <v>641</v>
      </c>
      <c r="D190" s="20" t="s">
        <v>735</v>
      </c>
      <c r="E190" s="20" t="s">
        <v>3626</v>
      </c>
      <c r="F190" s="20" t="s">
        <v>3627</v>
      </c>
      <c r="G190" s="21">
        <v>18.8</v>
      </c>
      <c r="H190" s="16">
        <v>26</v>
      </c>
      <c r="I190" s="16"/>
      <c r="J19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90" s="22"/>
      <c r="L190" s="23">
        <v>18.8</v>
      </c>
      <c r="M190" s="23">
        <f>SUM(Tabela17468101214223032268161925273133362421012141618242628303840248101214162022262830323436242681012142461012242624426262826268102628623668101214161820222424262830323438404244[[#This Row],[Saldo no cartão]:[Recarga Pendente]])</f>
        <v>18.8</v>
      </c>
      <c r="N190" s="19">
        <f>Tabela17468101214223032268161925273133362421012141618242628303840248101214162022262830323436242681012142461012242624426262826268102628623668101214161820222424262830323438404244[[#This Row],[Uso diário]]*2</f>
        <v>37.6</v>
      </c>
      <c r="O190" s="19">
        <f>Tabela17468101214223032268161925273133362421012141618242628303840248101214162022262830323436242681012142461012242624426262826268102628623668101214161820222424262830323438404244[[#This Row],[Total Acumulado]]-P190</f>
        <v>-75.2</v>
      </c>
      <c r="P190" s="48">
        <f>Tabela17468101214223032268161925273133362421012141618242628303840248101214162022262830323436242681012142461012242624426262826268102628623668101214161820222424262830323438404244[[#This Row],[Uso diário]]*5</f>
        <v>94</v>
      </c>
      <c r="Q19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19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0" s="25">
        <v>22</v>
      </c>
    </row>
    <row r="191" spans="1:20" s="26" customFormat="1" x14ac:dyDescent="0.25">
      <c r="A191" s="16">
        <v>221364</v>
      </c>
      <c r="B191" s="30" t="s">
        <v>608</v>
      </c>
      <c r="C191" s="20" t="s">
        <v>641</v>
      </c>
      <c r="D191" s="20" t="s">
        <v>735</v>
      </c>
      <c r="E191" s="20" t="s">
        <v>3628</v>
      </c>
      <c r="F191" s="20" t="s">
        <v>3629</v>
      </c>
      <c r="G191" s="21">
        <v>18.8</v>
      </c>
      <c r="H191" s="16">
        <v>26</v>
      </c>
      <c r="I191" s="16"/>
      <c r="J19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191" s="22"/>
      <c r="L191" s="23"/>
      <c r="M19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1" s="19">
        <f>Tabela17468101214223032268161925273133362421012141618242628303840248101214162022262830323436242681012142461012242624426262826268102628623668101214161820222424262830323438404244[[#This Row],[Uso diário]]*2</f>
        <v>37.6</v>
      </c>
      <c r="O191" s="19">
        <f>Tabela17468101214223032268161925273133362421012141618242628303840248101214162022262830323436242681012142461012242624426262826268102628623668101214161820222424262830323438404244[[#This Row],[Total Acumulado]]-P191</f>
        <v>-94</v>
      </c>
      <c r="P191" s="48">
        <f>Tabela17468101214223032268161925273133362421012141618242628303840248101214162022262830323436242681012142461012242624426262826268102628623668101214161820222424262830323438404244[[#This Row],[Uso diário]]*5</f>
        <v>94</v>
      </c>
      <c r="Q19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19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1" s="25">
        <v>22</v>
      </c>
    </row>
    <row r="192" spans="1:20" s="26" customFormat="1" x14ac:dyDescent="0.25">
      <c r="A192" s="16">
        <v>222337</v>
      </c>
      <c r="B192" s="30" t="s">
        <v>495</v>
      </c>
      <c r="C192" s="20" t="s">
        <v>641</v>
      </c>
      <c r="D192" s="20" t="s">
        <v>743</v>
      </c>
      <c r="E192" s="20" t="s">
        <v>3630</v>
      </c>
      <c r="F192" s="20" t="s">
        <v>3631</v>
      </c>
      <c r="G192" s="21">
        <v>13.4</v>
      </c>
      <c r="H192" s="16">
        <v>26</v>
      </c>
      <c r="I192" s="16"/>
      <c r="J19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92" s="22"/>
      <c r="L192" s="23"/>
      <c r="M19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2" s="19">
        <f>Tabela17468101214223032268161925273133362421012141618242628303840248101214162022262830323436242681012142461012242624426262826268102628623668101214161820222424262830323438404244[[#This Row],[Uso diário]]*2</f>
        <v>26.8</v>
      </c>
      <c r="O192" s="19">
        <f>Tabela17468101214223032268161925273133362421012141618242628303840248101214162022262830323436242681012142461012242624426262826268102628623668101214161820222424262830323438404244[[#This Row],[Total Acumulado]]-P192</f>
        <v>-67</v>
      </c>
      <c r="P192" s="48">
        <f>Tabela17468101214223032268161925273133362421012141618242628303840248101214162022262830323436242681012142461012242624426262826268102628623668101214161820222424262830323438404244[[#This Row],[Uso diário]]*5</f>
        <v>67</v>
      </c>
      <c r="Q19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9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2" s="25">
        <v>22</v>
      </c>
    </row>
    <row r="193" spans="1:20" s="26" customFormat="1" x14ac:dyDescent="0.25">
      <c r="A193" s="16">
        <v>222370</v>
      </c>
      <c r="B193" s="30" t="s">
        <v>496</v>
      </c>
      <c r="C193" s="20" t="s">
        <v>641</v>
      </c>
      <c r="D193" s="20" t="s">
        <v>704</v>
      </c>
      <c r="E193" s="20" t="s">
        <v>3632</v>
      </c>
      <c r="F193" s="20" t="s">
        <v>3633</v>
      </c>
      <c r="G193" s="21">
        <v>13.7</v>
      </c>
      <c r="H193" s="16">
        <v>26</v>
      </c>
      <c r="I193" s="16"/>
      <c r="J19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356.2</v>
      </c>
      <c r="K193" s="22"/>
      <c r="L193" s="23"/>
      <c r="M19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3" s="19">
        <f>Tabela17468101214223032268161925273133362421012141618242628303840248101214162022262830323436242681012142461012242624426262826268102628623668101214161820222424262830323438404244[[#This Row],[Uso diário]]*2</f>
        <v>27.4</v>
      </c>
      <c r="O193" s="19">
        <f>Tabela17468101214223032268161925273133362421012141618242628303840248101214162022262830323436242681012142461012242624426262826268102628623668101214161820222424262830323438404244[[#This Row],[Total Acumulado]]-P193</f>
        <v>-68.5</v>
      </c>
      <c r="P193" s="48">
        <f>Tabela17468101214223032268161925273133362421012141618242628303840248101214162022262830323436242681012142461012242624426262826268102628623668101214161820222424262830323438404244[[#This Row],[Uso diário]]*5</f>
        <v>68.5</v>
      </c>
      <c r="Q19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356.2</v>
      </c>
      <c r="S19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3" s="25">
        <v>22</v>
      </c>
    </row>
    <row r="194" spans="1:20" s="26" customFormat="1" x14ac:dyDescent="0.25">
      <c r="A194" s="16">
        <v>222512</v>
      </c>
      <c r="B194" s="30" t="s">
        <v>497</v>
      </c>
      <c r="C194" s="20" t="s">
        <v>641</v>
      </c>
      <c r="D194" s="20" t="s">
        <v>705</v>
      </c>
      <c r="E194" s="20" t="s">
        <v>3634</v>
      </c>
      <c r="F194" s="20" t="s">
        <v>3635</v>
      </c>
      <c r="G194" s="21">
        <v>13.4</v>
      </c>
      <c r="H194" s="16">
        <v>26</v>
      </c>
      <c r="I194" s="16"/>
      <c r="J19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94" s="22"/>
      <c r="L194" s="23"/>
      <c r="M19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4" s="19">
        <f>Tabela17468101214223032268161925273133362421012141618242628303840248101214162022262830323436242681012142461012242624426262826268102628623668101214161820222424262830323438404244[[#This Row],[Uso diário]]*2</f>
        <v>26.8</v>
      </c>
      <c r="O194" s="19">
        <f>Tabela17468101214223032268161925273133362421012141618242628303840248101214162022262830323436242681012142461012242624426262826268102628623668101214161820222424262830323438404244[[#This Row],[Total Acumulado]]-P194</f>
        <v>-67</v>
      </c>
      <c r="P194" s="48">
        <f>Tabela17468101214223032268161925273133362421012141618242628303840248101214162022262830323436242681012142461012242624426262826268102628623668101214161820222424262830323438404244[[#This Row],[Uso diário]]*5</f>
        <v>67</v>
      </c>
      <c r="Q19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9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4" s="25">
        <v>22</v>
      </c>
    </row>
    <row r="195" spans="1:20" s="26" customFormat="1" x14ac:dyDescent="0.25">
      <c r="A195" s="16">
        <v>223819</v>
      </c>
      <c r="B195" s="30" t="s">
        <v>498</v>
      </c>
      <c r="C195" s="20" t="s">
        <v>641</v>
      </c>
      <c r="D195" s="20" t="s">
        <v>743</v>
      </c>
      <c r="E195" s="20" t="s">
        <v>3636</v>
      </c>
      <c r="F195" s="20" t="s">
        <v>3637</v>
      </c>
      <c r="G195" s="21">
        <v>13.4</v>
      </c>
      <c r="H195" s="16">
        <v>26</v>
      </c>
      <c r="I195" s="16"/>
      <c r="J19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95" s="22"/>
      <c r="L195" s="23"/>
      <c r="M19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5" s="19">
        <f>Tabela17468101214223032268161925273133362421012141618242628303840248101214162022262830323436242681012142461012242624426262826268102628623668101214161820222424262830323438404244[[#This Row],[Uso diário]]*2</f>
        <v>26.8</v>
      </c>
      <c r="O195" s="19">
        <f>Tabela17468101214223032268161925273133362421012141618242628303840248101214162022262830323436242681012142461012242624426262826268102628623668101214161820222424262830323438404244[[#This Row],[Total Acumulado]]-P195</f>
        <v>-67</v>
      </c>
      <c r="P195" s="48">
        <f>Tabela17468101214223032268161925273133362421012141618242628303840248101214162022262830323436242681012142461012242624426262826268102628623668101214161820222424262830323438404244[[#This Row],[Uso diário]]*5</f>
        <v>67</v>
      </c>
      <c r="Q19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9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5" s="25">
        <v>22</v>
      </c>
    </row>
    <row r="196" spans="1:20" s="26" customFormat="1" x14ac:dyDescent="0.25">
      <c r="A196" s="16">
        <v>224901</v>
      </c>
      <c r="B196" s="30" t="s">
        <v>500</v>
      </c>
      <c r="C196" s="20" t="s">
        <v>641</v>
      </c>
      <c r="D196" s="20" t="s">
        <v>704</v>
      </c>
      <c r="E196" s="20" t="s">
        <v>3638</v>
      </c>
      <c r="F196" s="20" t="s">
        <v>3639</v>
      </c>
      <c r="G196" s="21">
        <v>13.4</v>
      </c>
      <c r="H196" s="16">
        <v>26</v>
      </c>
      <c r="I196" s="16"/>
      <c r="J19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96" s="22"/>
      <c r="L196" s="23">
        <v>140.35</v>
      </c>
      <c r="M196" s="23">
        <f>SUM(Tabela17468101214223032268161925273133362421012141618242628303840248101214162022262830323436242681012142461012242624426262826268102628623668101214161820222424262830323438404244[[#This Row],[Saldo no cartão]:[Recarga Pendente]])</f>
        <v>140.35</v>
      </c>
      <c r="N196" s="19">
        <f>Tabela17468101214223032268161925273133362421012141618242628303840248101214162022262830323436242681012142461012242624426262826268102628623668101214161820222424262830323438404244[[#This Row],[Uso diário]]*2</f>
        <v>26.8</v>
      </c>
      <c r="O196" s="19">
        <f>Tabela17468101214223032268161925273133362421012141618242628303840248101214162022262830323436242681012142461012242624426262826268102628623668101214161820222424262830323438404244[[#This Row],[Total Acumulado]]-P196</f>
        <v>73.349999999999994</v>
      </c>
      <c r="P196" s="48">
        <f>Tabela17468101214223032268161925273133362421012141618242628303840248101214162022262830323436242681012142461012242624426262826268102628623668101214161820222424262830323438404244[[#This Row],[Uso diário]]*5</f>
        <v>67</v>
      </c>
      <c r="Q19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73.349999999999994</v>
      </c>
      <c r="R19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275.05000000000007</v>
      </c>
      <c r="S196" s="18" t="s">
        <v>11</v>
      </c>
      <c r="T196" s="25">
        <v>22</v>
      </c>
    </row>
    <row r="197" spans="1:20" s="26" customFormat="1" x14ac:dyDescent="0.25">
      <c r="A197" s="16">
        <v>225136</v>
      </c>
      <c r="B197" s="30" t="s">
        <v>501</v>
      </c>
      <c r="C197" s="20" t="s">
        <v>641</v>
      </c>
      <c r="D197" s="20" t="s">
        <v>743</v>
      </c>
      <c r="E197" s="20" t="s">
        <v>3640</v>
      </c>
      <c r="F197" s="20" t="s">
        <v>3641</v>
      </c>
      <c r="G197" s="21">
        <v>13.4</v>
      </c>
      <c r="H197" s="16">
        <v>26</v>
      </c>
      <c r="I197" s="16">
        <v>1</v>
      </c>
      <c r="J19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197" s="22"/>
      <c r="L197" s="23">
        <v>110.3</v>
      </c>
      <c r="M197" s="23">
        <f>SUM(Tabela17468101214223032268161925273133362421012141618242628303840248101214162022262830323436242681012142461012242624426262826268102628623668101214161820222424262830323438404244[[#This Row],[Saldo no cartão]:[Recarga Pendente]])</f>
        <v>110.3</v>
      </c>
      <c r="N197" s="19">
        <f>Tabela17468101214223032268161925273133362421012141618242628303840248101214162022262830323436242681012142461012242624426262826268102628623668101214161820222424262830323438404244[[#This Row],[Uso diário]]*2</f>
        <v>26.8</v>
      </c>
      <c r="O197" s="19">
        <f>Tabela17468101214223032268161925273133362421012141618242628303840248101214162022262830323436242681012142461012242624426262826268102628623668101214161820222424262830323438404244[[#This Row],[Total Acumulado]]-P197</f>
        <v>43.3</v>
      </c>
      <c r="P197" s="48">
        <f>Tabela17468101214223032268161925273133362421012141618242628303840248101214162022262830323436242681012142461012242624426262826268102628623668101214161820222424262830323438404244[[#This Row],[Uso diário]]*5</f>
        <v>67</v>
      </c>
      <c r="Q19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43.3</v>
      </c>
      <c r="R19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291.7</v>
      </c>
      <c r="S197" s="18" t="s">
        <v>11</v>
      </c>
      <c r="T197" s="25">
        <v>22</v>
      </c>
    </row>
    <row r="198" spans="1:20" s="26" customFormat="1" x14ac:dyDescent="0.25">
      <c r="A198" s="16">
        <v>226942</v>
      </c>
      <c r="B198" s="30" t="s">
        <v>609</v>
      </c>
      <c r="C198" s="20" t="s">
        <v>641</v>
      </c>
      <c r="D198" s="20" t="s">
        <v>704</v>
      </c>
      <c r="E198" s="20" t="s">
        <v>3642</v>
      </c>
      <c r="F198" s="20" t="s">
        <v>3643</v>
      </c>
      <c r="G198" s="21">
        <v>13.4</v>
      </c>
      <c r="H198" s="16">
        <v>26</v>
      </c>
      <c r="I198" s="16">
        <v>1</v>
      </c>
      <c r="J19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198" s="22"/>
      <c r="L198" s="23"/>
      <c r="M19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8" s="19">
        <f>Tabela17468101214223032268161925273133362421012141618242628303840248101214162022262830323436242681012142461012242624426262826268102628623668101214161820222424262830323438404244[[#This Row],[Uso diário]]*2</f>
        <v>26.8</v>
      </c>
      <c r="O198" s="19">
        <f>Tabela17468101214223032268161925273133362421012141618242628303840248101214162022262830323436242681012142461012242624426262826268102628623668101214161820222424262830323438404244[[#This Row],[Total Acumulado]]-P198</f>
        <v>-67</v>
      </c>
      <c r="P198" s="48">
        <f>Tabela17468101214223032268161925273133362421012141618242628303840248101214162022262830323436242681012142461012242624426262826268102628623668101214161820222424262830323438404244[[#This Row],[Uso diário]]*5</f>
        <v>67</v>
      </c>
      <c r="Q19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19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8" s="25">
        <v>22</v>
      </c>
    </row>
    <row r="199" spans="1:20" s="26" customFormat="1" x14ac:dyDescent="0.25">
      <c r="A199" s="16">
        <v>228459</v>
      </c>
      <c r="B199" s="30" t="s">
        <v>502</v>
      </c>
      <c r="C199" s="20" t="s">
        <v>641</v>
      </c>
      <c r="D199" s="20" t="s">
        <v>705</v>
      </c>
      <c r="E199" s="20" t="s">
        <v>3644</v>
      </c>
      <c r="F199" s="20" t="s">
        <v>3645</v>
      </c>
      <c r="G199" s="21">
        <v>13.4</v>
      </c>
      <c r="H199" s="16">
        <v>26</v>
      </c>
      <c r="I199" s="16"/>
      <c r="J19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199" s="22"/>
      <c r="L199" s="23"/>
      <c r="M19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199" s="19">
        <f>Tabela17468101214223032268161925273133362421012141618242628303840248101214162022262830323436242681012142461012242624426262826268102628623668101214161820222424262830323438404244[[#This Row],[Uso diário]]*2</f>
        <v>26.8</v>
      </c>
      <c r="O199" s="19">
        <f>Tabela17468101214223032268161925273133362421012141618242628303840248101214162022262830323436242681012142461012242624426262826268102628623668101214161820222424262830323438404244[[#This Row],[Total Acumulado]]-P199</f>
        <v>-67</v>
      </c>
      <c r="P199" s="48">
        <f>Tabela17468101214223032268161925273133362421012141618242628303840248101214162022262830323436242681012142461012242624426262826268102628623668101214161820222424262830323438404244[[#This Row],[Uso diário]]*5</f>
        <v>67</v>
      </c>
      <c r="Q19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19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19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199" s="25">
        <v>22</v>
      </c>
    </row>
    <row r="200" spans="1:20" s="26" customFormat="1" x14ac:dyDescent="0.25">
      <c r="A200" s="16">
        <v>229727</v>
      </c>
      <c r="B200" s="30" t="s">
        <v>1232</v>
      </c>
      <c r="C200" s="20" t="s">
        <v>641</v>
      </c>
      <c r="D200" s="20" t="s">
        <v>704</v>
      </c>
      <c r="E200" s="20" t="s">
        <v>3646</v>
      </c>
      <c r="F200" s="20" t="s">
        <v>3647</v>
      </c>
      <c r="G200" s="21">
        <v>13.4</v>
      </c>
      <c r="H200" s="16">
        <v>26</v>
      </c>
      <c r="I200" s="16">
        <v>1</v>
      </c>
      <c r="J20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200" s="22"/>
      <c r="L200" s="23"/>
      <c r="M20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0" s="19">
        <f>Tabela17468101214223032268161925273133362421012141618242628303840248101214162022262830323436242681012142461012242624426262826268102628623668101214161820222424262830323438404244[[#This Row],[Uso diário]]*2</f>
        <v>26.8</v>
      </c>
      <c r="O200" s="19">
        <f>Tabela17468101214223032268161925273133362421012141618242628303840248101214162022262830323436242681012142461012242624426262826268102628623668101214161820222424262830323438404244[[#This Row],[Total Acumulado]]-P200</f>
        <v>-67</v>
      </c>
      <c r="P200" s="48">
        <f>Tabela17468101214223032268161925273133362421012141618242628303840248101214162022262830323436242681012142461012242624426262826268102628623668101214161820222424262830323438404244[[#This Row],[Uso diário]]*5</f>
        <v>67</v>
      </c>
      <c r="Q20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20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0" s="25">
        <v>22</v>
      </c>
    </row>
    <row r="201" spans="1:20" s="26" customFormat="1" x14ac:dyDescent="0.25">
      <c r="A201" s="16">
        <v>229959</v>
      </c>
      <c r="B201" s="30" t="s">
        <v>504</v>
      </c>
      <c r="C201" s="20" t="s">
        <v>641</v>
      </c>
      <c r="D201" s="20" t="s">
        <v>743</v>
      </c>
      <c r="E201" s="20" t="s">
        <v>3648</v>
      </c>
      <c r="F201" s="20" t="s">
        <v>3649</v>
      </c>
      <c r="G201" s="21">
        <v>13.4</v>
      </c>
      <c r="H201" s="16">
        <v>26</v>
      </c>
      <c r="I201" s="16"/>
      <c r="J20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01" s="22"/>
      <c r="L201" s="23"/>
      <c r="M20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1" s="19">
        <f>Tabela17468101214223032268161925273133362421012141618242628303840248101214162022262830323436242681012142461012242624426262826268102628623668101214161820222424262830323438404244[[#This Row],[Uso diário]]*2</f>
        <v>26.8</v>
      </c>
      <c r="O201" s="19">
        <f>Tabela17468101214223032268161925273133362421012141618242628303840248101214162022262830323436242681012142461012242624426262826268102628623668101214161820222424262830323438404244[[#This Row],[Total Acumulado]]-P201</f>
        <v>-67</v>
      </c>
      <c r="P201" s="48">
        <f>Tabela17468101214223032268161925273133362421012141618242628303840248101214162022262830323436242681012142461012242624426262826268102628623668101214161820222424262830323438404244[[#This Row],[Uso diário]]*5</f>
        <v>67</v>
      </c>
      <c r="Q20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0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1" s="25">
        <v>22</v>
      </c>
    </row>
    <row r="202" spans="1:20" s="26" customFormat="1" x14ac:dyDescent="0.25">
      <c r="A202" s="16">
        <v>230070</v>
      </c>
      <c r="B202" s="30" t="s">
        <v>505</v>
      </c>
      <c r="C202" s="20" t="s">
        <v>641</v>
      </c>
      <c r="D202" s="20" t="s">
        <v>704</v>
      </c>
      <c r="E202" s="20" t="s">
        <v>3650</v>
      </c>
      <c r="F202" s="20" t="s">
        <v>3651</v>
      </c>
      <c r="G202" s="21">
        <v>13.4</v>
      </c>
      <c r="H202" s="16">
        <v>26</v>
      </c>
      <c r="I202" s="16"/>
      <c r="J20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02" s="22"/>
      <c r="L202" s="23"/>
      <c r="M20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2" s="19">
        <f>Tabela17468101214223032268161925273133362421012141618242628303840248101214162022262830323436242681012142461012242624426262826268102628623668101214161820222424262830323438404244[[#This Row],[Uso diário]]*2</f>
        <v>26.8</v>
      </c>
      <c r="O202" s="19">
        <f>Tabela17468101214223032268161925273133362421012141618242628303840248101214162022262830323436242681012142461012242624426262826268102628623668101214161820222424262830323438404244[[#This Row],[Total Acumulado]]-P202</f>
        <v>-67</v>
      </c>
      <c r="P202" s="48">
        <f>Tabela17468101214223032268161925273133362421012141618242628303840248101214162022262830323436242681012142461012242624426262826268102628623668101214161820222424262830323438404244[[#This Row],[Uso diário]]*5</f>
        <v>67</v>
      </c>
      <c r="Q20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0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2" s="25">
        <v>22</v>
      </c>
    </row>
    <row r="203" spans="1:20" s="26" customFormat="1" x14ac:dyDescent="0.25">
      <c r="A203" s="16">
        <v>230567</v>
      </c>
      <c r="B203" s="30" t="s">
        <v>1509</v>
      </c>
      <c r="C203" s="20" t="s">
        <v>641</v>
      </c>
      <c r="D203" s="20" t="s">
        <v>704</v>
      </c>
      <c r="E203" s="20" t="s">
        <v>3652</v>
      </c>
      <c r="F203" s="20" t="s">
        <v>3653</v>
      </c>
      <c r="G203" s="21">
        <v>13.4</v>
      </c>
      <c r="H203" s="16">
        <v>26</v>
      </c>
      <c r="I203" s="16"/>
      <c r="J20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03" s="22"/>
      <c r="L203" s="23"/>
      <c r="M203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3" s="19">
        <f>Tabela17468101214223032268161925273133362421012141618242628303840248101214162022262830323436242681012142461012242624426262826268102628623668101214161820222424262830323438404244[[#This Row],[Uso diário]]*2</f>
        <v>26.8</v>
      </c>
      <c r="O203" s="19">
        <f>Tabela17468101214223032268161925273133362421012141618242628303840248101214162022262830323436242681012142461012242624426262826268102628623668101214161820222424262830323438404244[[#This Row],[Total Acumulado]]-P203</f>
        <v>-67</v>
      </c>
      <c r="P203" s="48">
        <f>Tabela17468101214223032268161925273133362421012141618242628303840248101214162022262830323436242681012142461012242624426262826268102628623668101214161820222424262830323438404244[[#This Row],[Uso diário]]*5</f>
        <v>67</v>
      </c>
      <c r="Q20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03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3" s="25">
        <v>22</v>
      </c>
    </row>
    <row r="204" spans="1:20" s="26" customFormat="1" x14ac:dyDescent="0.25">
      <c r="A204" s="16">
        <v>231044</v>
      </c>
      <c r="B204" s="30" t="s">
        <v>1510</v>
      </c>
      <c r="C204" s="20" t="s">
        <v>641</v>
      </c>
      <c r="D204" s="20" t="s">
        <v>704</v>
      </c>
      <c r="E204" s="20" t="s">
        <v>3654</v>
      </c>
      <c r="F204" s="20" t="s">
        <v>3655</v>
      </c>
      <c r="G204" s="21">
        <v>13.4</v>
      </c>
      <c r="H204" s="16">
        <v>26</v>
      </c>
      <c r="I204" s="16"/>
      <c r="J20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04" s="22"/>
      <c r="L204" s="23"/>
      <c r="M20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4" s="19">
        <f>Tabela17468101214223032268161925273133362421012141618242628303840248101214162022262830323436242681012142461012242624426262826268102628623668101214161820222424262830323438404244[[#This Row],[Uso diário]]*2</f>
        <v>26.8</v>
      </c>
      <c r="O204" s="19">
        <f>Tabela17468101214223032268161925273133362421012141618242628303840248101214162022262830323436242681012142461012242624426262826268102628623668101214161820222424262830323438404244[[#This Row],[Total Acumulado]]-P204</f>
        <v>-67</v>
      </c>
      <c r="P204" s="48">
        <f>Tabela17468101214223032268161925273133362421012141618242628303840248101214162022262830323436242681012142461012242624426262826268102628623668101214161820222424262830323438404244[[#This Row],[Uso diário]]*5</f>
        <v>67</v>
      </c>
      <c r="Q20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0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4" s="25">
        <v>22</v>
      </c>
    </row>
    <row r="205" spans="1:20" s="26" customFormat="1" x14ac:dyDescent="0.25">
      <c r="A205" s="16">
        <v>231138</v>
      </c>
      <c r="B205" s="30" t="s">
        <v>774</v>
      </c>
      <c r="C205" s="20" t="s">
        <v>641</v>
      </c>
      <c r="D205" s="20" t="s">
        <v>704</v>
      </c>
      <c r="E205" s="20" t="s">
        <v>3656</v>
      </c>
      <c r="F205" s="20" t="s">
        <v>3657</v>
      </c>
      <c r="G205" s="21">
        <v>18.8</v>
      </c>
      <c r="H205" s="16">
        <v>26</v>
      </c>
      <c r="I205" s="16"/>
      <c r="J20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205" s="22"/>
      <c r="L205" s="23"/>
      <c r="M20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5" s="19">
        <f>Tabela17468101214223032268161925273133362421012141618242628303840248101214162022262830323436242681012142461012242624426262826268102628623668101214161820222424262830323438404244[[#This Row],[Uso diário]]*2</f>
        <v>37.6</v>
      </c>
      <c r="O205" s="19">
        <f>Tabela17468101214223032268161925273133362421012141618242628303840248101214162022262830323436242681012142461012242624426262826268102628623668101214161820222424262830323438404244[[#This Row],[Total Acumulado]]-P205</f>
        <v>-94</v>
      </c>
      <c r="P205" s="48">
        <f>Tabela17468101214223032268161925273133362421012141618242628303840248101214162022262830323436242681012142461012242624426262826268102628623668101214161820222424262830323438404244[[#This Row],[Uso diário]]*5</f>
        <v>94</v>
      </c>
      <c r="Q20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20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5" s="25">
        <v>22</v>
      </c>
    </row>
    <row r="206" spans="1:20" s="26" customFormat="1" x14ac:dyDescent="0.25">
      <c r="A206" s="16">
        <v>231509</v>
      </c>
      <c r="B206" s="30" t="s">
        <v>798</v>
      </c>
      <c r="C206" s="20" t="s">
        <v>641</v>
      </c>
      <c r="D206" s="20" t="s">
        <v>743</v>
      </c>
      <c r="E206" s="20" t="s">
        <v>3658</v>
      </c>
      <c r="F206" s="20" t="s">
        <v>3659</v>
      </c>
      <c r="G206" s="21">
        <v>10</v>
      </c>
      <c r="H206" s="16">
        <v>26</v>
      </c>
      <c r="I206" s="16"/>
      <c r="J20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260</v>
      </c>
      <c r="K206" s="22"/>
      <c r="L206" s="23"/>
      <c r="M20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6" s="19">
        <f>Tabela17468101214223032268161925273133362421012141618242628303840248101214162022262830323436242681012142461012242624426262826268102628623668101214161820222424262830323438404244[[#This Row],[Uso diário]]*2</f>
        <v>20</v>
      </c>
      <c r="O206" s="19">
        <f>Tabela17468101214223032268161925273133362421012141618242628303840248101214162022262830323436242681012142461012242624426262826268102628623668101214161820222424262830323438404244[[#This Row],[Total Acumulado]]-P206</f>
        <v>-50</v>
      </c>
      <c r="P206" s="48">
        <f>Tabela17468101214223032268161925273133362421012141618242628303840248101214162022262830323436242681012142461012242624426262826268102628623668101214161820222424262830323438404244[[#This Row],[Uso diário]]*5</f>
        <v>50</v>
      </c>
      <c r="Q20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260</v>
      </c>
      <c r="S20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6" s="25">
        <v>22</v>
      </c>
    </row>
    <row r="207" spans="1:20" s="26" customFormat="1" x14ac:dyDescent="0.25">
      <c r="A207" s="16">
        <v>231878</v>
      </c>
      <c r="B207" s="30" t="s">
        <v>860</v>
      </c>
      <c r="C207" s="20" t="s">
        <v>641</v>
      </c>
      <c r="D207" s="20" t="s">
        <v>744</v>
      </c>
      <c r="E207" s="20" t="s">
        <v>3660</v>
      </c>
      <c r="F207" s="20" t="s">
        <v>3661</v>
      </c>
      <c r="G207" s="21">
        <v>13.4</v>
      </c>
      <c r="H207" s="16">
        <v>26</v>
      </c>
      <c r="I207" s="16"/>
      <c r="J20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07" s="22"/>
      <c r="L207" s="23"/>
      <c r="M20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7" s="19">
        <f>Tabela17468101214223032268161925273133362421012141618242628303840248101214162022262830323436242681012142461012242624426262826268102628623668101214161820222424262830323438404244[[#This Row],[Uso diário]]*2</f>
        <v>26.8</v>
      </c>
      <c r="O207" s="19">
        <f>Tabela17468101214223032268161925273133362421012141618242628303840248101214162022262830323436242681012142461012242624426262826268102628623668101214161820222424262830323438404244[[#This Row],[Total Acumulado]]-P207</f>
        <v>-67</v>
      </c>
      <c r="P207" s="48">
        <f>Tabela17468101214223032268161925273133362421012141618242628303840248101214162022262830323436242681012142461012242624426262826268102628623668101214161820222424262830323438404244[[#This Row],[Uso diário]]*5</f>
        <v>67</v>
      </c>
      <c r="Q20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0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7" s="25">
        <v>22</v>
      </c>
    </row>
    <row r="208" spans="1:20" s="26" customFormat="1" x14ac:dyDescent="0.25">
      <c r="A208" s="16">
        <v>232115</v>
      </c>
      <c r="B208" s="30" t="s">
        <v>861</v>
      </c>
      <c r="C208" s="20" t="s">
        <v>641</v>
      </c>
      <c r="D208" s="20" t="s">
        <v>704</v>
      </c>
      <c r="E208" s="20" t="s">
        <v>3662</v>
      </c>
      <c r="F208" s="20" t="s">
        <v>3663</v>
      </c>
      <c r="G208" s="21">
        <v>18.8</v>
      </c>
      <c r="H208" s="16">
        <v>26</v>
      </c>
      <c r="I208" s="16">
        <v>4</v>
      </c>
      <c r="J20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413.6</v>
      </c>
      <c r="K208" s="22"/>
      <c r="L208" s="23"/>
      <c r="M20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8" s="19">
        <f>Tabela17468101214223032268161925273133362421012141618242628303840248101214162022262830323436242681012142461012242624426262826268102628623668101214161820222424262830323438404244[[#This Row],[Uso diário]]*2</f>
        <v>37.6</v>
      </c>
      <c r="O208" s="19">
        <f>Tabela17468101214223032268161925273133362421012141618242628303840248101214162022262830323436242681012142461012242624426262826268102628623668101214161820222424262830323438404244[[#This Row],[Total Acumulado]]-P208</f>
        <v>-94</v>
      </c>
      <c r="P208" s="48">
        <f>Tabela17468101214223032268161925273133362421012141618242628303840248101214162022262830323436242681012142461012242624426262826268102628623668101214161820222424262830323438404244[[#This Row],[Uso diário]]*5</f>
        <v>94</v>
      </c>
      <c r="Q20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413.6</v>
      </c>
      <c r="S20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8" s="25">
        <v>22</v>
      </c>
    </row>
    <row r="209" spans="1:20" s="26" customFormat="1" x14ac:dyDescent="0.25">
      <c r="A209" s="16">
        <v>233082</v>
      </c>
      <c r="B209" s="30" t="s">
        <v>1012</v>
      </c>
      <c r="C209" s="20" t="s">
        <v>641</v>
      </c>
      <c r="D209" s="20" t="s">
        <v>704</v>
      </c>
      <c r="E209" s="20" t="s">
        <v>3664</v>
      </c>
      <c r="F209" s="20" t="s">
        <v>3665</v>
      </c>
      <c r="G209" s="21">
        <v>13.4</v>
      </c>
      <c r="H209" s="16">
        <v>26</v>
      </c>
      <c r="I209" s="16"/>
      <c r="J20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09" s="22"/>
      <c r="L209" s="23"/>
      <c r="M20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09" s="19">
        <f>Tabela17468101214223032268161925273133362421012141618242628303840248101214162022262830323436242681012142461012242624426262826268102628623668101214161820222424262830323438404244[[#This Row],[Uso diário]]*2</f>
        <v>26.8</v>
      </c>
      <c r="O209" s="19">
        <f>Tabela17468101214223032268161925273133362421012141618242628303840248101214162022262830323436242681012142461012242624426262826268102628623668101214161820222424262830323438404244[[#This Row],[Total Acumulado]]-P209</f>
        <v>-67</v>
      </c>
      <c r="P209" s="48">
        <f>Tabela17468101214223032268161925273133362421012141618242628303840248101214162022262830323436242681012142461012242624426262826268102628623668101214161820222424262830323438404244[[#This Row],[Uso diário]]*5</f>
        <v>67</v>
      </c>
      <c r="Q20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0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0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09" s="25">
        <v>22</v>
      </c>
    </row>
    <row r="210" spans="1:20" s="26" customFormat="1" x14ac:dyDescent="0.25">
      <c r="A210" s="16">
        <v>233123</v>
      </c>
      <c r="B210" s="30" t="s">
        <v>1013</v>
      </c>
      <c r="C210" s="20" t="s">
        <v>641</v>
      </c>
      <c r="D210" s="20" t="s">
        <v>704</v>
      </c>
      <c r="E210" s="20" t="s">
        <v>3666</v>
      </c>
      <c r="F210" s="20" t="s">
        <v>3667</v>
      </c>
      <c r="G210" s="21">
        <v>13.4</v>
      </c>
      <c r="H210" s="16">
        <v>26</v>
      </c>
      <c r="I210" s="16"/>
      <c r="J21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10" s="22"/>
      <c r="L210" s="23"/>
      <c r="M21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0" s="19">
        <f>Tabela17468101214223032268161925273133362421012141618242628303840248101214162022262830323436242681012142461012242624426262826268102628623668101214161820222424262830323438404244[[#This Row],[Uso diário]]*2</f>
        <v>26.8</v>
      </c>
      <c r="O210" s="19">
        <f>Tabela17468101214223032268161925273133362421012141618242628303840248101214162022262830323436242681012142461012242624426262826268102628623668101214161820222424262830323438404244[[#This Row],[Total Acumulado]]-P210</f>
        <v>-67</v>
      </c>
      <c r="P210" s="48">
        <f>Tabela17468101214223032268161925273133362421012141618242628303840248101214162022262830323436242681012142461012242624426262826268102628623668101214161820222424262830323438404244[[#This Row],[Uso diário]]*5</f>
        <v>67</v>
      </c>
      <c r="Q21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1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0" s="25">
        <v>22</v>
      </c>
    </row>
    <row r="211" spans="1:20" s="26" customFormat="1" x14ac:dyDescent="0.25">
      <c r="A211" s="16">
        <v>234759</v>
      </c>
      <c r="B211" s="30" t="s">
        <v>1381</v>
      </c>
      <c r="C211" s="20" t="s">
        <v>641</v>
      </c>
      <c r="D211" s="20" t="s">
        <v>704</v>
      </c>
      <c r="E211" s="20" t="s">
        <v>3668</v>
      </c>
      <c r="F211" s="20" t="s">
        <v>3669</v>
      </c>
      <c r="G211" s="21">
        <v>13.4</v>
      </c>
      <c r="H211" s="16">
        <v>26</v>
      </c>
      <c r="I211" s="16"/>
      <c r="J21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11" s="22"/>
      <c r="L211" s="23"/>
      <c r="M21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1" s="19">
        <f>Tabela17468101214223032268161925273133362421012141618242628303840248101214162022262830323436242681012142461012242624426262826268102628623668101214161820222424262830323438404244[[#This Row],[Uso diário]]*2</f>
        <v>26.8</v>
      </c>
      <c r="O211" s="19">
        <f>Tabela17468101214223032268161925273133362421012141618242628303840248101214162022262830323436242681012142461012242624426262826268102628623668101214161820222424262830323438404244[[#This Row],[Total Acumulado]]-P211</f>
        <v>-67</v>
      </c>
      <c r="P211" s="48">
        <f>Tabela17468101214223032268161925273133362421012141618242628303840248101214162022262830323436242681012142461012242624426262826268102628623668101214161820222424262830323438404244[[#This Row],[Uso diário]]*5</f>
        <v>67</v>
      </c>
      <c r="Q21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1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1" s="25">
        <v>22</v>
      </c>
    </row>
    <row r="212" spans="1:20" s="26" customFormat="1" x14ac:dyDescent="0.25">
      <c r="A212" s="16">
        <v>234818</v>
      </c>
      <c r="B212" s="30" t="s">
        <v>1382</v>
      </c>
      <c r="C212" s="20" t="s">
        <v>641</v>
      </c>
      <c r="D212" s="20" t="s">
        <v>704</v>
      </c>
      <c r="E212" s="20" t="s">
        <v>3670</v>
      </c>
      <c r="F212" s="20" t="s">
        <v>3671</v>
      </c>
      <c r="G212" s="21">
        <v>18.8</v>
      </c>
      <c r="H212" s="16">
        <v>26</v>
      </c>
      <c r="I212" s="16"/>
      <c r="J21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212" s="22"/>
      <c r="L212" s="23"/>
      <c r="M21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2" s="19">
        <f>Tabela17468101214223032268161925273133362421012141618242628303840248101214162022262830323436242681012142461012242624426262826268102628623668101214161820222424262830323438404244[[#This Row],[Uso diário]]*2</f>
        <v>37.6</v>
      </c>
      <c r="O212" s="19">
        <f>Tabela17468101214223032268161925273133362421012141618242628303840248101214162022262830323436242681012142461012242624426262826268102628623668101214161820222424262830323438404244[[#This Row],[Total Acumulado]]-P212</f>
        <v>-94</v>
      </c>
      <c r="P212" s="48">
        <f>Tabela17468101214223032268161925273133362421012141618242628303840248101214162022262830323436242681012142461012242624426262826268102628623668101214161820222424262830323438404244[[#This Row],[Uso diário]]*5</f>
        <v>94</v>
      </c>
      <c r="Q21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488.8</v>
      </c>
      <c r="S21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2" s="25">
        <v>22</v>
      </c>
    </row>
    <row r="213" spans="1:20" s="26" customFormat="1" x14ac:dyDescent="0.25">
      <c r="A213" s="16">
        <v>219121</v>
      </c>
      <c r="B213" s="30" t="s">
        <v>506</v>
      </c>
      <c r="C213" s="20" t="s">
        <v>645</v>
      </c>
      <c r="D213" s="20" t="s">
        <v>751</v>
      </c>
      <c r="E213" s="20" t="s">
        <v>3672</v>
      </c>
      <c r="F213" s="20" t="s">
        <v>3673</v>
      </c>
      <c r="G213" s="21">
        <v>18.8</v>
      </c>
      <c r="H213" s="16">
        <v>26</v>
      </c>
      <c r="I213" s="16"/>
      <c r="J213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488.8</v>
      </c>
      <c r="K213" s="22"/>
      <c r="L213" s="23">
        <v>201.1</v>
      </c>
      <c r="M213" s="23">
        <f>SUM(Tabela17468101214223032268161925273133362421012141618242628303840248101214162022262830323436242681012142461012242624426262826268102628623668101214161820222424262830323438404244[[#This Row],[Saldo no cartão]:[Recarga Pendente]])</f>
        <v>201.1</v>
      </c>
      <c r="N213" s="19">
        <f>Tabela17468101214223032268161925273133362421012141618242628303840248101214162022262830323436242681012142461012242624426262826268102628623668101214161820222424262830323438404244[[#This Row],[Uso diário]]*2</f>
        <v>37.6</v>
      </c>
      <c r="O213" s="19">
        <f>Tabela17468101214223032268161925273133362421012141618242628303840248101214162022262830323436242681012142461012242624426262826268102628623668101214161820222424262830323438404244[[#This Row],[Total Acumulado]]-P213</f>
        <v>107.1</v>
      </c>
      <c r="P213" s="48">
        <f>Tabela17468101214223032268161925273133362421012141618242628303840248101214162022262830323436242681012142461012242624426262826268102628623668101214161820222424262830323438404244[[#This Row],[Uso diário]]*5</f>
        <v>94</v>
      </c>
      <c r="Q213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107.1</v>
      </c>
      <c r="R213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381.70000000000005</v>
      </c>
      <c r="S213" s="18" t="s">
        <v>11</v>
      </c>
      <c r="T213" s="25">
        <v>22</v>
      </c>
    </row>
    <row r="214" spans="1:20" s="26" customFormat="1" x14ac:dyDescent="0.25">
      <c r="A214" s="16">
        <v>222056</v>
      </c>
      <c r="B214" s="30" t="s">
        <v>1511</v>
      </c>
      <c r="C214" s="20" t="s">
        <v>645</v>
      </c>
      <c r="D214" s="20" t="s">
        <v>711</v>
      </c>
      <c r="E214" s="20" t="s">
        <v>3674</v>
      </c>
      <c r="F214" s="20" t="s">
        <v>3675</v>
      </c>
      <c r="G214" s="21">
        <v>13.4</v>
      </c>
      <c r="H214" s="16">
        <v>26</v>
      </c>
      <c r="I214" s="16">
        <v>4</v>
      </c>
      <c r="J214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294.8</v>
      </c>
      <c r="K214" s="22"/>
      <c r="L214" s="23"/>
      <c r="M214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4" s="19">
        <f>Tabela17468101214223032268161925273133362421012141618242628303840248101214162022262830323436242681012142461012242624426262826268102628623668101214161820222424262830323438404244[[#This Row],[Uso diário]]*2</f>
        <v>26.8</v>
      </c>
      <c r="O214" s="19">
        <f>Tabela17468101214223032268161925273133362421012141618242628303840248101214162022262830323436242681012142461012242624426262826268102628623668101214161820222424262830323438404244[[#This Row],[Total Acumulado]]-P214</f>
        <v>-67</v>
      </c>
      <c r="P214" s="48">
        <f>Tabela17468101214223032268161925273133362421012141618242628303840248101214162022262830323436242681012142461012242624426262826268102628623668101214161820222424262830323438404244[[#This Row],[Uso diário]]*5</f>
        <v>67</v>
      </c>
      <c r="Q214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4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294.8</v>
      </c>
      <c r="S214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4" s="25">
        <v>22</v>
      </c>
    </row>
    <row r="215" spans="1:20" s="26" customFormat="1" x14ac:dyDescent="0.25">
      <c r="A215" s="16">
        <v>222113</v>
      </c>
      <c r="B215" s="30" t="s">
        <v>507</v>
      </c>
      <c r="C215" s="20" t="s">
        <v>645</v>
      </c>
      <c r="D215" s="20" t="s">
        <v>711</v>
      </c>
      <c r="E215" s="20" t="s">
        <v>3676</v>
      </c>
      <c r="F215" s="20" t="s">
        <v>3677</v>
      </c>
      <c r="G215" s="21">
        <v>13.4</v>
      </c>
      <c r="H215" s="16">
        <v>26</v>
      </c>
      <c r="I215" s="16">
        <v>1</v>
      </c>
      <c r="J215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335</v>
      </c>
      <c r="K215" s="22"/>
      <c r="L215" s="23"/>
      <c r="M215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5" s="19">
        <f>Tabela17468101214223032268161925273133362421012141618242628303840248101214162022262830323436242681012142461012242624426262826268102628623668101214161820222424262830323438404244[[#This Row],[Uso diário]]*2</f>
        <v>26.8</v>
      </c>
      <c r="O215" s="19">
        <f>Tabela17468101214223032268161925273133362421012141618242628303840248101214162022262830323436242681012142461012242624426262826268102628623668101214161820222424262830323438404244[[#This Row],[Total Acumulado]]-P215</f>
        <v>-67</v>
      </c>
      <c r="P215" s="48">
        <f>Tabela17468101214223032268161925273133362421012141618242628303840248101214162022262830323436242681012142461012242624426262826268102628623668101214161820222424262830323438404244[[#This Row],[Uso diário]]*5</f>
        <v>67</v>
      </c>
      <c r="Q215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5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335</v>
      </c>
      <c r="S215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5" s="25">
        <v>22</v>
      </c>
    </row>
    <row r="216" spans="1:20" s="26" customFormat="1" x14ac:dyDescent="0.25">
      <c r="A216" s="16">
        <v>222115</v>
      </c>
      <c r="B216" s="30" t="s">
        <v>508</v>
      </c>
      <c r="C216" s="20" t="s">
        <v>645</v>
      </c>
      <c r="D216" s="20" t="s">
        <v>711</v>
      </c>
      <c r="E216" s="20" t="s">
        <v>3678</v>
      </c>
      <c r="F216" s="20" t="s">
        <v>3679</v>
      </c>
      <c r="G216" s="21">
        <v>13.7</v>
      </c>
      <c r="H216" s="16">
        <v>26</v>
      </c>
      <c r="I216" s="16"/>
      <c r="J216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356.2</v>
      </c>
      <c r="K216" s="22"/>
      <c r="L216" s="23"/>
      <c r="M216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6" s="19">
        <f>Tabela17468101214223032268161925273133362421012141618242628303840248101214162022262830323436242681012142461012242624426262826268102628623668101214161820222424262830323438404244[[#This Row],[Uso diário]]*2</f>
        <v>27.4</v>
      </c>
      <c r="O216" s="19">
        <f>Tabela17468101214223032268161925273133362421012141618242628303840248101214162022262830323436242681012142461012242624426262826268102628623668101214161820222424262830323438404244[[#This Row],[Total Acumulado]]-P216</f>
        <v>-68.5</v>
      </c>
      <c r="P216" s="48">
        <f>Tabela17468101214223032268161925273133362421012141618242628303840248101214162022262830323436242681012142461012242624426262826268102628623668101214161820222424262830323438404244[[#This Row],[Uso diário]]*5</f>
        <v>68.5</v>
      </c>
      <c r="Q216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6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356.2</v>
      </c>
      <c r="S216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6" s="25">
        <v>22</v>
      </c>
    </row>
    <row r="217" spans="1:20" s="26" customFormat="1" x14ac:dyDescent="0.25">
      <c r="A217" s="16">
        <v>225285</v>
      </c>
      <c r="B217" s="30" t="s">
        <v>509</v>
      </c>
      <c r="C217" s="20" t="s">
        <v>645</v>
      </c>
      <c r="D217" s="20" t="s">
        <v>711</v>
      </c>
      <c r="E217" s="20" t="s">
        <v>3680</v>
      </c>
      <c r="F217" s="20" t="s">
        <v>3681</v>
      </c>
      <c r="G217" s="21">
        <v>13.4</v>
      </c>
      <c r="H217" s="16">
        <v>26</v>
      </c>
      <c r="I217" s="16"/>
      <c r="J217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17" s="22"/>
      <c r="L217" s="23"/>
      <c r="M217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7" s="19">
        <f>Tabela17468101214223032268161925273133362421012141618242628303840248101214162022262830323436242681012142461012242624426262826268102628623668101214161820222424262830323438404244[[#This Row],[Uso diário]]*2</f>
        <v>26.8</v>
      </c>
      <c r="O217" s="19">
        <f>Tabela17468101214223032268161925273133362421012141618242628303840248101214162022262830323436242681012142461012242624426262826268102628623668101214161820222424262830323438404244[[#This Row],[Total Acumulado]]-P217</f>
        <v>-67</v>
      </c>
      <c r="P217" s="48">
        <f>Tabela17468101214223032268161925273133362421012141618242628303840248101214162022262830323436242681012142461012242624426262826268102628623668101214161820222424262830323438404244[[#This Row],[Uso diário]]*5</f>
        <v>67</v>
      </c>
      <c r="Q217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7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17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7" s="25">
        <v>22</v>
      </c>
    </row>
    <row r="218" spans="1:20" s="26" customFormat="1" x14ac:dyDescent="0.25">
      <c r="A218" s="16">
        <v>232261</v>
      </c>
      <c r="B218" s="30" t="s">
        <v>889</v>
      </c>
      <c r="C218" s="20" t="s">
        <v>645</v>
      </c>
      <c r="D218" s="20" t="s">
        <v>711</v>
      </c>
      <c r="E218" s="20" t="s">
        <v>3682</v>
      </c>
      <c r="F218" s="20" t="s">
        <v>3683</v>
      </c>
      <c r="G218" s="21">
        <v>13.4</v>
      </c>
      <c r="H218" s="16">
        <v>26</v>
      </c>
      <c r="I218" s="16"/>
      <c r="J218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18" s="22"/>
      <c r="L218" s="23"/>
      <c r="M218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8" s="19">
        <f>Tabela17468101214223032268161925273133362421012141618242628303840248101214162022262830323436242681012142461012242624426262826268102628623668101214161820222424262830323438404244[[#This Row],[Uso diário]]*2</f>
        <v>26.8</v>
      </c>
      <c r="O218" s="19">
        <f>Tabela17468101214223032268161925273133362421012141618242628303840248101214162022262830323436242681012142461012242624426262826268102628623668101214161820222424262830323438404244[[#This Row],[Total Acumulado]]-P218</f>
        <v>-67</v>
      </c>
      <c r="P218" s="48">
        <f>Tabela17468101214223032268161925273133362421012141618242628303840248101214162022262830323436242681012142461012242624426262826268102628623668101214161820222424262830323438404244[[#This Row],[Uso diário]]*5</f>
        <v>67</v>
      </c>
      <c r="Q218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8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18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8" s="25">
        <v>22</v>
      </c>
    </row>
    <row r="219" spans="1:20" s="26" customFormat="1" x14ac:dyDescent="0.25">
      <c r="A219" s="16">
        <v>232483</v>
      </c>
      <c r="B219" s="30" t="s">
        <v>920</v>
      </c>
      <c r="C219" s="20" t="s">
        <v>645</v>
      </c>
      <c r="D219" s="20" t="s">
        <v>711</v>
      </c>
      <c r="E219" s="20" t="s">
        <v>3684</v>
      </c>
      <c r="F219" s="20" t="s">
        <v>3685</v>
      </c>
      <c r="G219" s="21">
        <v>13.4</v>
      </c>
      <c r="H219" s="16">
        <v>26</v>
      </c>
      <c r="I219" s="16"/>
      <c r="J219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19" s="22"/>
      <c r="L219" s="23"/>
      <c r="M219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19" s="19">
        <f>Tabela17468101214223032268161925273133362421012141618242628303840248101214162022262830323436242681012142461012242624426262826268102628623668101214161820222424262830323438404244[[#This Row],[Uso diário]]*2</f>
        <v>26.8</v>
      </c>
      <c r="O219" s="19">
        <f>Tabela17468101214223032268161925273133362421012141618242628303840248101214162022262830323436242681012142461012242624426262826268102628623668101214161820222424262830323438404244[[#This Row],[Total Acumulado]]-P219</f>
        <v>-67</v>
      </c>
      <c r="P219" s="48">
        <f>Tabela17468101214223032268161925273133362421012141618242628303840248101214162022262830323436242681012142461012242624426262826268102628623668101214161820222424262830323438404244[[#This Row],[Uso diário]]*5</f>
        <v>67</v>
      </c>
      <c r="Q219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19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19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19" s="25">
        <v>22</v>
      </c>
    </row>
    <row r="220" spans="1:20" s="26" customFormat="1" x14ac:dyDescent="0.25">
      <c r="A220" s="16">
        <v>233875</v>
      </c>
      <c r="B220" s="30" t="s">
        <v>1107</v>
      </c>
      <c r="C220" s="20" t="s">
        <v>645</v>
      </c>
      <c r="D220" s="20" t="s">
        <v>711</v>
      </c>
      <c r="E220" s="20" t="s">
        <v>3686</v>
      </c>
      <c r="F220" s="20" t="s">
        <v>3687</v>
      </c>
      <c r="G220" s="21">
        <v>13.4</v>
      </c>
      <c r="H220" s="16">
        <v>26</v>
      </c>
      <c r="I220" s="16"/>
      <c r="J220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348.40000000000003</v>
      </c>
      <c r="K220" s="22"/>
      <c r="L220" s="23"/>
      <c r="M220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20" s="19">
        <f>Tabela17468101214223032268161925273133362421012141618242628303840248101214162022262830323436242681012142461012242624426262826268102628623668101214161820222424262830323438404244[[#This Row],[Uso diário]]*2</f>
        <v>26.8</v>
      </c>
      <c r="O220" s="19">
        <f>Tabela17468101214223032268161925273133362421012141618242628303840248101214162022262830323436242681012142461012242624426262826268102628623668101214161820222424262830323438404244[[#This Row],[Total Acumulado]]-P220</f>
        <v>-67</v>
      </c>
      <c r="P220" s="48">
        <f>Tabela17468101214223032268161925273133362421012141618242628303840248101214162022262830323436242681012142461012242624426262826268102628623668101214161820222424262830323438404244[[#This Row],[Uso diário]]*5</f>
        <v>67</v>
      </c>
      <c r="Q220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20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348.40000000000003</v>
      </c>
      <c r="S220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20" s="25">
        <v>22</v>
      </c>
    </row>
    <row r="221" spans="1:20" s="26" customFormat="1" ht="22.5" x14ac:dyDescent="0.25">
      <c r="A221" s="16">
        <v>235076</v>
      </c>
      <c r="B221" s="30" t="s">
        <v>1512</v>
      </c>
      <c r="C221" s="20" t="s">
        <v>645</v>
      </c>
      <c r="D221" s="20" t="s">
        <v>711</v>
      </c>
      <c r="E221" s="20">
        <v>0</v>
      </c>
      <c r="F221" s="20" t="s">
        <v>4181</v>
      </c>
      <c r="G221" s="21">
        <v>13.4</v>
      </c>
      <c r="H221" s="16">
        <v>0</v>
      </c>
      <c r="I221" s="16"/>
      <c r="J221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0</v>
      </c>
      <c r="K221" s="22"/>
      <c r="L221" s="23"/>
      <c r="M221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21" s="19">
        <f>Tabela17468101214223032268161925273133362421012141618242628303840248101214162022262830323436242681012142461012242624426262826268102628623668101214161820222424262830323438404244[[#This Row],[Uso diário]]*2</f>
        <v>26.8</v>
      </c>
      <c r="O221" s="19">
        <f>Tabela17468101214223032268161925273133362421012141618242628303840248101214162022262830323436242681012142461012242624426262826268102628623668101214161820222424262830323438404244[[#This Row],[Total Acumulado]]-P221</f>
        <v>-67</v>
      </c>
      <c r="P221" s="48">
        <f>Tabela17468101214223032268161925273133362421012141618242628303840248101214162022262830323436242681012142461012242624426262826268102628623668101214161820222424262830323438404244[[#This Row],[Uso diário]]*5</f>
        <v>67</v>
      </c>
      <c r="Q221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21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0</v>
      </c>
      <c r="S221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NÃO EFETUAR RECARGA</v>
      </c>
      <c r="T221" s="25">
        <v>22</v>
      </c>
    </row>
    <row r="222" spans="1:20" s="26" customFormat="1" x14ac:dyDescent="0.25">
      <c r="A222" s="16">
        <v>219609</v>
      </c>
      <c r="B222" s="30" t="s">
        <v>1249</v>
      </c>
      <c r="C222" s="20" t="s">
        <v>656</v>
      </c>
      <c r="D222" s="20" t="s">
        <v>740</v>
      </c>
      <c r="E222" s="56" t="s">
        <v>4032</v>
      </c>
      <c r="F222" s="56" t="s">
        <v>4033</v>
      </c>
      <c r="G222" s="21">
        <v>14.2</v>
      </c>
      <c r="H222" s="16">
        <v>29</v>
      </c>
      <c r="I222" s="16"/>
      <c r="J222" s="17">
        <f>(Tabela17468101214223032268161925273133362421012141618242628303840248101214162022262830323436242681012142461012242624426262826268102628623668101214161820222424262830323438404244[[#This Row],[D]]-Tabela17468101214223032268161925273133362421012141618242628303840248101214162022262830323436242681012142461012242624426262826268102628623668101214161820222424262830323438404244[[#This Row],[F]])*Tabela17468101214223032268161925273133362421012141618242628303840248101214162022262830323436242681012142461012242624426262826268102628623668101214161820222424262830323438404244[[#This Row],[Uso diário]]</f>
        <v>411.79999999999995</v>
      </c>
      <c r="K222" s="22"/>
      <c r="L222" s="23"/>
      <c r="M222" s="23">
        <f>SUM(Tabela17468101214223032268161925273133362421012141618242628303840248101214162022262830323436242681012142461012242624426262826268102628623668101214161820222424262830323438404244[[#This Row],[Saldo no cartão]:[Recarga Pendente]])</f>
        <v>0</v>
      </c>
      <c r="N222" s="19">
        <f>Tabela17468101214223032268161925273133362421012141618242628303840248101214162022262830323436242681012142461012242624426262826268102628623668101214161820222424262830323438404244[[#This Row],[Uso diário]]*2</f>
        <v>28.4</v>
      </c>
      <c r="O222" s="19">
        <f>Tabela17468101214223032268161925273133362421012141618242628303840248101214162022262830323436242681012142461012242624426262826268102628623668101214161820222424262830323438404244[[#This Row],[Total Acumulado]]-P222</f>
        <v>-71</v>
      </c>
      <c r="P222" s="48">
        <f>Tabela17468101214223032268161925273133362421012141618242628303840248101214162022262830323436242681012142461012242624426262826268102628623668101214161820222424262830323438404244[[#This Row],[Uso diário]]*5</f>
        <v>71</v>
      </c>
      <c r="Q222" s="17">
        <f>IF(Tabela17468101214223032268161925273133362421012141618242628303840248101214162022262830323436242681012142461012242624426262826268102628623668101214161820222424262830323438404244[[#This Row],[acumulo]]&lt;Tabela17468101214223032268161925273133362421012141618242628303840248101214162022262830323436242681012142461012242624426262826268102628623668101214161820222424262830323438404244[[#This Row],[acumulo minimo]],0,Tabela17468101214223032268161925273133362421012141618242628303840248101214162022262830323436242681012142461012242624426262826268102628623668101214161820222424262830323438404244[[#This Row],[acumulo]])</f>
        <v>0</v>
      </c>
      <c r="R222" s="24">
        <f>IF(Tabela17468101214223032268161925273133362421012141618242628303840248101214162022262830323436242681012142461012242624426262826268102628623668101214161820222424262830323438404244[[#This Row],[Valor economizado]]&gt;Tabela17468101214223032268161925273133362421012141618242628303840248101214162022262830323436242681012142461012242624426262826268102628623668101214161820222424262830323438404244[[#This Row],[Pedido Inicial]],0,Tabela17468101214223032268161925273133362421012141618242628303840248101214162022262830323436242681012142461012242624426262826268102628623668101214161820222424262830323438404244[[#This Row],[Pedido Inicial]]-Tabela17468101214223032268161925273133362421012141618242628303840248101214162022262830323436242681012142461012242624426262826268102628623668101214161820222424262830323438404244[[#This Row],[Valor economizado]])</f>
        <v>411.79999999999995</v>
      </c>
      <c r="S222" s="18" t="str">
        <f>IF(Tabela17468101214223032268161925273133362421012141618242628303840248101214162022262830323436242681012142461012242624426262826268102628623668101214161820222424262830323438404244[[#This Row],[Pedido Final]]=0,"NÃO EFETUAR RECARGA","RECARGA NORMAL")</f>
        <v>RECARGA NORMAL</v>
      </c>
      <c r="T222" s="25">
        <v>22</v>
      </c>
    </row>
    <row r="223" spans="1:20" s="8" customFormat="1" x14ac:dyDescent="0.25">
      <c r="A223" s="13" t="s">
        <v>13</v>
      </c>
      <c r="B223" s="13"/>
      <c r="C223" s="13"/>
      <c r="D223" s="13"/>
      <c r="E223" s="20"/>
      <c r="F223" s="20"/>
      <c r="G223" s="33"/>
      <c r="H223" s="13"/>
      <c r="I223" s="13"/>
      <c r="J223" s="14">
        <f>SUBTOTAL(109,Tabela17468101214223032268161925273133362421012141618242628303840248101214162022262830323436242681012142461012242624426262826268102628623668101214161820222424262830323438404244[Pedido Inicial])</f>
        <v>67532.200000000157</v>
      </c>
      <c r="K223" s="15"/>
      <c r="L223" s="15"/>
      <c r="M223" s="15"/>
      <c r="N223" s="15"/>
      <c r="O223" s="15"/>
      <c r="P223" s="15"/>
      <c r="Q223" s="15"/>
      <c r="R223" s="14">
        <f>SUBTOTAL(109,Tabela17468101214223032268161925273133362421012141618242628303840248101214162022262830323436242681012142461012242624426262826268102628623668101214161820222424262830323438404244[Pedido Final])</f>
        <v>66471.200000000157</v>
      </c>
      <c r="S223" s="31">
        <f>SUBTOTAL(103,Tabela17468101214223032268161925273133362421012141618242628303840248101214162022262830323436242681012142461012242624426262826268102628623668101214161820222424262830323438404244[Status])</f>
        <v>219</v>
      </c>
      <c r="T223" s="13"/>
    </row>
    <row r="224" spans="1:20" s="8" customFormat="1" x14ac:dyDescent="0.25">
      <c r="A224" s="13"/>
      <c r="B224" s="13"/>
      <c r="C224" s="13"/>
      <c r="D224" s="13"/>
      <c r="E224" s="20"/>
      <c r="F224" s="20"/>
      <c r="G224" s="33"/>
      <c r="H224" s="13"/>
      <c r="I224" s="13"/>
      <c r="J224" s="14"/>
      <c r="K224" s="15"/>
      <c r="L224" s="15"/>
      <c r="M224" s="15"/>
      <c r="N224" s="15"/>
      <c r="O224" s="15"/>
      <c r="P224" s="15"/>
      <c r="Q224" s="15"/>
      <c r="R224" s="14"/>
      <c r="S224" s="31"/>
      <c r="T224" s="13"/>
    </row>
    <row r="225" spans="1:20" s="8" customFormat="1" x14ac:dyDescent="0.25">
      <c r="A225" s="13"/>
      <c r="B225" s="13"/>
      <c r="C225" s="13"/>
      <c r="D225" s="13"/>
      <c r="E225" s="20"/>
      <c r="F225" s="20"/>
      <c r="G225" s="33"/>
      <c r="H225" s="13"/>
      <c r="I225" s="13"/>
      <c r="J225" s="14"/>
      <c r="K225" s="15"/>
      <c r="L225" s="15"/>
      <c r="M225" s="15"/>
      <c r="N225" s="15"/>
      <c r="O225" s="15"/>
      <c r="P225" s="15"/>
      <c r="Q225" s="15"/>
      <c r="R225" s="14"/>
      <c r="S225" s="31"/>
      <c r="T225" s="13"/>
    </row>
    <row r="226" spans="1:20" s="8" customFormat="1" x14ac:dyDescent="0.25">
      <c r="A226" s="1"/>
      <c r="B226" s="54" t="s">
        <v>14</v>
      </c>
      <c r="C226" s="55"/>
      <c r="D226" s="13"/>
      <c r="F226" s="37"/>
      <c r="G226" s="37"/>
      <c r="H226" s="37"/>
      <c r="I226" s="37"/>
      <c r="J226" s="28"/>
      <c r="K226" s="3"/>
      <c r="L226" s="1"/>
      <c r="M226" s="1"/>
      <c r="N226" s="1"/>
      <c r="O226" s="1"/>
      <c r="P226" s="1"/>
      <c r="Q226" s="1"/>
      <c r="R226" s="4" t="s">
        <v>26</v>
      </c>
      <c r="S226" s="39" t="s">
        <v>15</v>
      </c>
    </row>
    <row r="227" spans="1:20" s="8" customFormat="1" x14ac:dyDescent="0.25">
      <c r="A227" s="1"/>
      <c r="B227" s="50" t="s">
        <v>24</v>
      </c>
      <c r="C227" s="45">
        <f>Tabela17468101214223032268161925273133362421012141618242628303840248101214162022262830323436242681012142461012242624426262826268102628623668101214161820222424262830323438404244[[#Totals],[Pedido Inicial]]</f>
        <v>67532.200000000157</v>
      </c>
      <c r="D227" s="13"/>
      <c r="F227" s="41"/>
      <c r="G227" s="41"/>
      <c r="H227" s="34"/>
      <c r="I227" s="34"/>
      <c r="J227" s="34"/>
      <c r="K227" s="5"/>
      <c r="L227" s="1"/>
      <c r="M227" s="1"/>
      <c r="N227" s="1"/>
      <c r="O227" s="1"/>
      <c r="P227" s="1"/>
      <c r="Q227" s="1"/>
      <c r="R227" s="58" t="s">
        <v>28</v>
      </c>
      <c r="S227" s="59">
        <f>COUNTIF(Tabela17468101214223032268161925273133362421012141618242628303840248101214162022262830323436242681012142461012242624426262826268102628623668101214161820222424262830323438404244[Status],Tabela2579111315233133379172026283234373531113151719252729313941359111315172123272931333537353791113153571113353734537373937379113739733779111315171921232535272931333539414345[[#This Row],[STATUS]])</f>
        <v>207</v>
      </c>
    </row>
    <row r="228" spans="1:20" s="8" customFormat="1" x14ac:dyDescent="0.25">
      <c r="A228" s="1"/>
      <c r="B228" s="50" t="s">
        <v>25</v>
      </c>
      <c r="C228" s="45">
        <f>Tabela17468101214223032268161925273133362421012141618242628303840248101214162022262830323436242681012142461012242624426262826268102628623668101214161820222424262830323438404244[[#Totals],[Pedido Final]]</f>
        <v>66471.200000000157</v>
      </c>
      <c r="D228" s="13"/>
      <c r="F228" s="41"/>
      <c r="G228" s="41"/>
      <c r="H228" s="34"/>
      <c r="I228" s="34"/>
      <c r="J228" s="34"/>
      <c r="K228" s="5"/>
      <c r="L228" s="1"/>
      <c r="M228" s="1"/>
      <c r="N228" s="1"/>
      <c r="O228" s="1"/>
      <c r="P228" s="1"/>
      <c r="R228" s="58" t="s">
        <v>11</v>
      </c>
      <c r="S228" s="59">
        <f>COUNTIF(Tabela17468101214223032268161925273133362421012141618242628303840248101214162022262830323436242681012142461012242624426262826268102628623668101214161820222424262830323438404244[Status],Tabela2579111315233133379172026283234373531113151719252729313941359111315172123272931333537353791113153571113353734537373937379113739733779111315171921232535272931333539414345[[#This Row],[STATUS]])</f>
        <v>9</v>
      </c>
    </row>
    <row r="229" spans="1:20" s="8" customFormat="1" x14ac:dyDescent="0.25">
      <c r="A229" s="1"/>
      <c r="B229" s="51" t="str">
        <f>_xlfn.CONCAT("ECONOMIA"," ",ROUND(C229/C227,2)*100,"%")</f>
        <v>ECONOMIA 2%</v>
      </c>
      <c r="C229" s="46">
        <f>SUM(C227-C228)</f>
        <v>1061</v>
      </c>
      <c r="D229" s="13"/>
      <c r="F229" s="41"/>
      <c r="G229" s="41"/>
      <c r="H229" s="36"/>
      <c r="I229" s="36"/>
      <c r="J229" s="38"/>
      <c r="K229" s="36"/>
      <c r="L229" s="1"/>
      <c r="M229" s="1"/>
      <c r="N229" s="1"/>
      <c r="O229" s="1"/>
      <c r="P229" s="1"/>
      <c r="Q229" s="35"/>
      <c r="R229" s="58" t="s">
        <v>12</v>
      </c>
      <c r="S229" s="59">
        <f>COUNTIF(Tabela17468101214223032268161925273133362421012141618242628303840248101214162022262830323436242681012142461012242624426262826268102628623668101214161820222424262830323438404244[Status],Tabela2579111315233133379172026283234373531113151719252729313941359111315172123272931333537353791113153571113353734537373937379113739733779111315171921232535272931333539414345[[#This Row],[STATUS]])</f>
        <v>3</v>
      </c>
    </row>
    <row r="230" spans="1:20" s="8" customFormat="1" x14ac:dyDescent="0.25">
      <c r="A230" s="1"/>
      <c r="B230" s="51" t="str">
        <f>_xlfn.CONCAT("HPOD"," ",ROUND(C230/C229,2)*100,"%")</f>
        <v>HPOD 12%</v>
      </c>
      <c r="C230" s="46">
        <f>C229*12%</f>
        <v>127.32</v>
      </c>
      <c r="D230" s="13"/>
      <c r="F230" s="41"/>
      <c r="G230" s="41"/>
      <c r="H230" s="36"/>
      <c r="I230" s="36"/>
      <c r="J230" s="38"/>
      <c r="K230" s="36"/>
      <c r="L230" s="1"/>
      <c r="M230" s="1"/>
      <c r="N230" s="1"/>
      <c r="O230" s="1"/>
      <c r="P230" s="1"/>
      <c r="Q230" s="1"/>
      <c r="R230" s="6" t="s">
        <v>27</v>
      </c>
      <c r="S230" s="40">
        <f>SUBTOTAL(109,Tabela2579111315233133379172026283234373531113151719252729313941359111315172123272931333537353791113153571113353734537373937379113739733779111315171921232535272931333539414345[Coluna1])</f>
        <v>219</v>
      </c>
    </row>
    <row r="231" spans="1:20" s="8" customFormat="1" x14ac:dyDescent="0.25">
      <c r="A231" s="1"/>
      <c r="B231" s="3"/>
      <c r="C231" s="47"/>
      <c r="D231" s="1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6"/>
    </row>
    <row r="232" spans="1:20" s="8" customFormat="1" x14ac:dyDescent="0.25">
      <c r="A232" s="1"/>
      <c r="B232" s="3"/>
      <c r="C232" s="3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5"/>
      <c r="P232" s="1"/>
      <c r="Q232" s="1"/>
      <c r="R232" s="1"/>
      <c r="S232" s="1"/>
      <c r="T232" s="1"/>
    </row>
    <row r="233" spans="1:20" s="8" customFormat="1" x14ac:dyDescent="0.25">
      <c r="A233" s="26"/>
      <c r="B233" s="12"/>
      <c r="C233" s="12"/>
      <c r="D233" s="12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1"/>
    </row>
    <row r="234" spans="1:20" s="8" customFormat="1" x14ac:dyDescent="0.25">
      <c r="A234" s="26"/>
      <c r="B234" s="12"/>
      <c r="C234" s="12"/>
      <c r="D234" s="12"/>
      <c r="E234" s="27"/>
      <c r="F234" s="27"/>
      <c r="G234" s="27"/>
      <c r="H234" s="27"/>
      <c r="I234" s="27"/>
      <c r="J234" s="27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 spans="1:20" s="8" customFormat="1" x14ac:dyDescent="0.25">
      <c r="A235" s="26"/>
      <c r="B235" s="12"/>
      <c r="C235" s="12"/>
      <c r="D235" s="12"/>
      <c r="E235" s="28"/>
      <c r="F235" s="28"/>
      <c r="G235" s="28"/>
      <c r="H235" s="28"/>
      <c r="I235" s="28"/>
      <c r="J235" s="28"/>
      <c r="K235" s="27"/>
      <c r="L235" s="26"/>
      <c r="M235" s="26"/>
      <c r="N235" s="26"/>
      <c r="O235" s="26"/>
      <c r="P235" s="26"/>
      <c r="Q235" s="26"/>
      <c r="R235" s="26"/>
      <c r="S235" s="26"/>
      <c r="T235" s="26"/>
    </row>
    <row r="236" spans="1:20" s="8" customFormat="1" x14ac:dyDescent="0.25">
      <c r="A236" s="26"/>
      <c r="B236" s="12"/>
      <c r="C236" s="12"/>
      <c r="D236" s="12"/>
      <c r="E236" s="28"/>
      <c r="F236" s="28"/>
      <c r="G236" s="28"/>
      <c r="H236" s="28"/>
      <c r="I236" s="28"/>
      <c r="J236" s="28"/>
      <c r="K236" s="27"/>
      <c r="L236" s="26"/>
      <c r="M236" s="26"/>
      <c r="N236" s="26"/>
      <c r="O236" s="26"/>
      <c r="P236" s="26"/>
      <c r="Q236" s="26"/>
      <c r="R236" s="26"/>
      <c r="S236" s="26"/>
      <c r="T236" s="26"/>
    </row>
    <row r="237" spans="1:20" s="8" customFormat="1" x14ac:dyDescent="0.25">
      <c r="A237" s="26"/>
      <c r="B237" s="12"/>
      <c r="C237" s="12"/>
      <c r="D237" s="12"/>
      <c r="E237" s="28"/>
      <c r="F237" s="28"/>
      <c r="G237" s="28"/>
      <c r="H237" s="28"/>
      <c r="I237" s="28"/>
      <c r="J237" s="28"/>
      <c r="K237" s="27"/>
      <c r="L237" s="26"/>
      <c r="M237" s="26"/>
      <c r="N237" s="26"/>
      <c r="O237" s="26"/>
      <c r="P237" s="29"/>
      <c r="Q237" s="26"/>
      <c r="R237" s="26"/>
      <c r="S237" s="26"/>
      <c r="T237" s="26"/>
    </row>
    <row r="238" spans="1:20" s="8" customFormat="1" x14ac:dyDescent="0.25">
      <c r="A238" s="26"/>
      <c r="B238" s="12"/>
      <c r="C238" s="12"/>
      <c r="D238" s="12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6"/>
      <c r="Q238" s="26"/>
      <c r="R238" s="26"/>
      <c r="S238" s="26"/>
      <c r="T238" s="26"/>
    </row>
    <row r="239" spans="1:20" s="8" customFormat="1" x14ac:dyDescent="0.25">
      <c r="A239" s="26"/>
      <c r="B239" s="12"/>
      <c r="C239" s="12"/>
      <c r="D239" s="12"/>
      <c r="E239" s="28"/>
      <c r="F239" s="28"/>
      <c r="G239" s="28"/>
      <c r="H239" s="28"/>
      <c r="I239" s="28"/>
      <c r="J239" s="28"/>
      <c r="K239" s="29"/>
      <c r="L239" s="26"/>
      <c r="M239" s="26"/>
      <c r="N239" s="26"/>
      <c r="O239" s="26"/>
      <c r="P239" s="26"/>
      <c r="Q239" s="26"/>
      <c r="R239" s="26"/>
      <c r="S239" s="26"/>
      <c r="T239" s="26"/>
    </row>
    <row r="240" spans="1:20" s="8" customFormat="1" x14ac:dyDescent="0.25">
      <c r="A240" s="26"/>
      <c r="B240" s="12"/>
      <c r="C240" s="12"/>
      <c r="D240" s="12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 spans="1:20" s="8" customFormat="1" x14ac:dyDescent="0.25">
      <c r="A241" s="26"/>
      <c r="B241" s="12"/>
      <c r="C241" s="12"/>
      <c r="D241" s="12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9"/>
    </row>
    <row r="242" spans="1:20" s="8" customFormat="1" x14ac:dyDescent="0.25">
      <c r="A242" s="26"/>
      <c r="B242" s="12"/>
      <c r="C242" s="12"/>
      <c r="D242" s="12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 spans="1:20" s="8" customFormat="1" x14ac:dyDescent="0.25">
      <c r="A243" s="26"/>
      <c r="B243" s="12"/>
      <c r="C243" s="12"/>
      <c r="D243" s="12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 spans="1:20" s="8" customFormat="1" x14ac:dyDescent="0.25">
      <c r="A244" s="26"/>
      <c r="B244" s="12"/>
      <c r="C244" s="12"/>
      <c r="D244" s="12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 spans="1:20" s="8" customFormat="1" x14ac:dyDescent="0.25">
      <c r="A245" s="26"/>
      <c r="B245" s="12"/>
      <c r="C245" s="12"/>
      <c r="D245" s="12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 spans="1:20" s="8" customFormat="1" x14ac:dyDescent="0.25">
      <c r="A246" s="26"/>
      <c r="B246" s="12"/>
      <c r="C246" s="12"/>
      <c r="D246" s="12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 spans="1:20" s="8" customFormat="1" x14ac:dyDescent="0.25">
      <c r="A247" s="1"/>
      <c r="B247" s="3"/>
      <c r="C247" s="3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6"/>
    </row>
    <row r="248" spans="1:20" s="8" customFormat="1" x14ac:dyDescent="0.25">
      <c r="A248" s="1"/>
      <c r="B248" s="3"/>
      <c r="C248" s="3"/>
      <c r="D248" s="3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s="8" customFormat="1" x14ac:dyDescent="0.25">
      <c r="A249" s="1"/>
      <c r="B249" s="3"/>
      <c r="C249" s="3"/>
      <c r="D249" s="3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</row>
  </sheetData>
  <mergeCells count="1">
    <mergeCell ref="A2:T2"/>
  </mergeCells>
  <conditionalFormatting sqref="A1:A221 A223:A1048576">
    <cfRule type="duplicateValues" dxfId="11" priority="4"/>
    <cfRule type="duplicateValues" dxfId="10" priority="5"/>
  </conditionalFormatting>
  <conditionalFormatting sqref="B1:B221 B223:B1048576">
    <cfRule type="duplicateValues" dxfId="9" priority="6"/>
  </conditionalFormatting>
  <conditionalFormatting sqref="B227:C2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{602CBF7F-9E34-4DAD-B0A1-27A7C255915A}</x14:id>
        </ext>
      </extLst>
    </cfRule>
  </conditionalFormatting>
  <conditionalFormatting sqref="H227:J228 F227:G2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{DAB47659-E2E5-4268-BD65-20E8AAB76BE1}</x14:id>
        </ext>
      </extLst>
    </cfRule>
  </conditionalFormatting>
  <conditionalFormatting sqref="R227:S2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{2F6DD7D8-9E10-4B6D-B5FA-9647B9DDD243}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CBF7F-9E34-4DAD-B0A1-27A7C25591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B227:C230</xm:sqref>
        </x14:conditionalFormatting>
        <x14:conditionalFormatting xmlns:xm="http://schemas.microsoft.com/office/excel/2006/main">
          <x14:cfRule type="dataBar" id="{DAB47659-E2E5-4268-BD65-20E8AAB76BE1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H227:J228 F227:G230</xm:sqref>
        </x14:conditionalFormatting>
        <x14:conditionalFormatting xmlns:xm="http://schemas.microsoft.com/office/excel/2006/main">
          <x14:cfRule type="dataBar" id="{2F6DD7D8-9E10-4B6D-B5FA-9647B9DDD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R227:S229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DFEA-7C5F-4B3C-BC44-E8B4FD52E43E}">
  <sheetPr>
    <pageSetUpPr fitToPage="1"/>
  </sheetPr>
  <dimension ref="A1:BG33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18.28515625" style="3" bestFit="1" customWidth="1"/>
    <col min="3" max="3" width="9.7109375" style="3" bestFit="1" customWidth="1"/>
    <col min="4" max="4" width="21.140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209615</v>
      </c>
      <c r="B4" s="30" t="s">
        <v>511</v>
      </c>
      <c r="C4" s="20" t="s">
        <v>635</v>
      </c>
      <c r="D4" s="20" t="s">
        <v>698</v>
      </c>
      <c r="E4" s="20" t="s">
        <v>3688</v>
      </c>
      <c r="F4" s="20" t="s">
        <v>3689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(Tabela1746810121422303226816192527313336242101214161824262830384024810121416202226283032343624268101214246101224262442626282626810262862366810121416182022242426283032343840424446[[#This Row],[D]]-Tabela1746810121422303226816192527313336242101214161824262830384024810121416202226283032343624268101214246101224262442626282626810262862366810121416182022242426283032343840424446[[#This Row],[F]])*Tabela1746810121422303226816192527313336242101214161824262830384024810121416202226283032343624268101214246101224262442626282626810262862366810121416182022242426283032343840424446[[#This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SUM(Tabela1746810121422303226816192527313336242101214161824262830384024810121416202226283032343624268101214246101224262442626282626810262862366810121416182022242426283032343840424446[[#This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Tabela1746810121422303226816192527313336242101214161824262830384024810121416202226283032343624268101214246101224262442626282626810262862366810121416182022242426283032343840424446[[#This Row],[Uso diário]]*2</f>
        <v>37.6</v>
      </c>
      <c r="O4" s="19">
        <f>Tabela1746810121422303226816192527313336242101214161824262830384024810121416202226283032343624268101214246101224262442626282626810262862366810121416182022242426283032343840424446[[#This Row],[Total Acumulado]]-P4</f>
        <v>-94</v>
      </c>
      <c r="P4" s="48">
        <f>Tabela1746810121422303226816192527313336242101214161824262830384024810121416202226283032343624268101214246101224262442626282626810262862366810121416182022242426283032343840424446[[#This Row],[Uso diário]]*5</f>
        <v>94</v>
      </c>
      <c r="Q4" s="17">
        <f>IF(Tabela1746810121422303226816192527313336242101214161824262830384024810121416202226283032343624268101214246101224262442626282626810262862366810121416182022242426283032343840424446[[#This Row],[acumulo]]&lt;Tabela1746810121422303226816192527313336242101214161824262830384024810121416202226283032343624268101214246101224262442626282626810262862366810121416182022242426283032343840424446[[#This Row],[acumulo minimo]],0,Tabela1746810121422303226816192527313336242101214161824262830384024810121416202226283032343624268101214246101224262442626282626810262862366810121416182022242426283032343840424446[[#This Row],[acumulo]])</f>
        <v>0</v>
      </c>
      <c r="R4" s="24">
        <f>IF(Tabela1746810121422303226816192527313336242101214161824262830384024810121416202226283032343624268101214246101224262442626282626810262862366810121416182022242426283032343840424446[[#This Row],[Valor economizado]]&gt;Tabela1746810121422303226816192527313336242101214161824262830384024810121416202226283032343624268101214246101224262442626282626810262862366810121416182022242426283032343840424446[[#This Row],[Pedido Inicial]],0,Tabela1746810121422303226816192527313336242101214161824262830384024810121416202226283032343624268101214246101224262442626282626810262862366810121416182022242426283032343840424446[[#This Row],[Pedido Inicial]]-Tabela1746810121422303226816192527313336242101214161824262830384024810121416202226283032343624268101214246101224262442626282626810262862366810121416182022242426283032343840424446[[#This Row],[Valor economizado]])</f>
        <v>488.8</v>
      </c>
      <c r="S4" s="18" t="str">
        <f>IF(Tabela1746810121422303226816192527313336242101214161824262830384024810121416202226283032343624268101214246101224262442626282626810262862366810121416182022242426283032343840424446[[#This Row],[Pedido Final]]=0,"NÃO EFETUAR RECARGA","RECARGA NORMAL")</f>
        <v>RECARGA NORMAL</v>
      </c>
      <c r="T4" s="25">
        <v>23</v>
      </c>
    </row>
    <row r="5" spans="1:59" s="26" customFormat="1" x14ac:dyDescent="0.25">
      <c r="A5" s="16">
        <v>222193</v>
      </c>
      <c r="B5" s="30" t="s">
        <v>471</v>
      </c>
      <c r="C5" s="20" t="s">
        <v>653</v>
      </c>
      <c r="D5" s="20" t="s">
        <v>891</v>
      </c>
      <c r="E5" s="20" t="s">
        <v>3690</v>
      </c>
      <c r="F5" s="20" t="s">
        <v>3691</v>
      </c>
      <c r="G5" s="21">
        <v>18.8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(Tabela1746810121422303226816192527313336242101214161824262830384024810121416202226283032343624268101214246101224262442626282626810262862366810121416182022242426283032343840424446[[#This Row],[D]]-Tabela1746810121422303226816192527313336242101214161824262830384024810121416202226283032343624268101214246101224262442626282626810262862366810121416182022242426283032343840424446[[#This Row],[F]])*Tabela1746810121422303226816192527313336242101214161824262830384024810121416202226283032343624268101214246101224262442626282626810262862366810121416182022242426283032343840424446[[#This Row],[Uso diário]]</f>
        <v>488.8</v>
      </c>
      <c r="K5" s="22"/>
      <c r="L5" s="23"/>
      <c r="M5" s="23">
        <f>SUM(Tabela1746810121422303226816192527313336242101214161824262830384024810121416202226283032343624268101214246101224262442626282626810262862366810121416182022242426283032343840424446[[#This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Tabela1746810121422303226816192527313336242101214161824262830384024810121416202226283032343624268101214246101224262442626282626810262862366810121416182022242426283032343840424446[[#This Row],[Uso diário]]*2</f>
        <v>37.6</v>
      </c>
      <c r="O5" s="19">
        <f>Tabela1746810121422303226816192527313336242101214161824262830384024810121416202226283032343624268101214246101224262442626282626810262862366810121416182022242426283032343840424446[[#This Row],[Total Acumulado]]-P5</f>
        <v>-94</v>
      </c>
      <c r="P5" s="48">
        <f>Tabela1746810121422303226816192527313336242101214161824262830384024810121416202226283032343624268101214246101224262442626282626810262862366810121416182022242426283032343840424446[[#This Row],[Uso diário]]*5</f>
        <v>94</v>
      </c>
      <c r="Q5" s="17">
        <f>IF(Tabela1746810121422303226816192527313336242101214161824262830384024810121416202226283032343624268101214246101224262442626282626810262862366810121416182022242426283032343840424446[[#This Row],[acumulo]]&lt;Tabela1746810121422303226816192527313336242101214161824262830384024810121416202226283032343624268101214246101224262442626282626810262862366810121416182022242426283032343840424446[[#This Row],[acumulo minimo]],0,Tabela1746810121422303226816192527313336242101214161824262830384024810121416202226283032343624268101214246101224262442626282626810262862366810121416182022242426283032343840424446[[#This Row],[acumulo]])</f>
        <v>0</v>
      </c>
      <c r="R5" s="24">
        <f>IF(Tabela1746810121422303226816192527313336242101214161824262830384024810121416202226283032343624268101214246101224262442626282626810262862366810121416182022242426283032343840424446[[#This Row],[Valor economizado]]&gt;Tabela1746810121422303226816192527313336242101214161824262830384024810121416202226283032343624268101214246101224262442626282626810262862366810121416182022242426283032343840424446[[#This Row],[Pedido Inicial]],0,Tabela1746810121422303226816192527313336242101214161824262830384024810121416202226283032343624268101214246101224262442626282626810262862366810121416182022242426283032343840424446[[#This Row],[Pedido Inicial]]-Tabela1746810121422303226816192527313336242101214161824262830384024810121416202226283032343624268101214246101224262442626282626810262862366810121416182022242426283032343840424446[[#This Row],[Valor economizado]])</f>
        <v>488.8</v>
      </c>
      <c r="S5" s="18" t="str">
        <f>IF(Tabela1746810121422303226816192527313336242101214161824262830384024810121416202226283032343624268101214246101224262442626282626810262862366810121416182022242426283032343840424446[[#This Row],[Pedido Final]]=0,"NÃO EFETUAR RECARGA","RECARGA NORMAL")</f>
        <v>RECARGA NORMAL</v>
      </c>
      <c r="T5" s="25">
        <v>23</v>
      </c>
    </row>
    <row r="6" spans="1:59" s="26" customFormat="1" x14ac:dyDescent="0.25">
      <c r="A6" s="16">
        <v>229667</v>
      </c>
      <c r="B6" s="30" t="s">
        <v>512</v>
      </c>
      <c r="C6" s="20" t="s">
        <v>641</v>
      </c>
      <c r="D6" s="20" t="s">
        <v>743</v>
      </c>
      <c r="E6" s="20" t="s">
        <v>3692</v>
      </c>
      <c r="F6" s="20" t="s">
        <v>3693</v>
      </c>
      <c r="G6" s="21">
        <v>18.8</v>
      </c>
      <c r="H6" s="16">
        <v>26</v>
      </c>
      <c r="I6" s="16"/>
      <c r="J6" s="17">
        <f>(Tabela1746810121422303226816192527313336242101214161824262830384024810121416202226283032343624268101214246101224262442626282626810262862366810121416182022242426283032343840424446[[#This Row],[D]]-Tabela1746810121422303226816192527313336242101214161824262830384024810121416202226283032343624268101214246101224262442626282626810262862366810121416182022242426283032343840424446[[#This Row],[F]])*Tabela1746810121422303226816192527313336242101214161824262830384024810121416202226283032343624268101214246101224262442626282626810262862366810121416182022242426283032343840424446[[#This Row],[Uso diário]]</f>
        <v>488.8</v>
      </c>
      <c r="K6" s="22"/>
      <c r="L6" s="23"/>
      <c r="M6" s="23">
        <f>SUM(Tabela1746810121422303226816192527313336242101214161824262830384024810121416202226283032343624268101214246101224262442626282626810262862366810121416182022242426283032343840424446[[#This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Tabela1746810121422303226816192527313336242101214161824262830384024810121416202226283032343624268101214246101224262442626282626810262862366810121416182022242426283032343840424446[[#This Row],[Uso diário]]*2</f>
        <v>37.6</v>
      </c>
      <c r="O6" s="19">
        <f>Tabela1746810121422303226816192527313336242101214161824262830384024810121416202226283032343624268101214246101224262442626282626810262862366810121416182022242426283032343840424446[[#This Row],[Total Acumulado]]-P6</f>
        <v>-94</v>
      </c>
      <c r="P6" s="48">
        <f>Tabela1746810121422303226816192527313336242101214161824262830384024810121416202226283032343624268101214246101224262442626282626810262862366810121416182022242426283032343840424446[[#This Row],[Uso diário]]*5</f>
        <v>94</v>
      </c>
      <c r="Q6" s="17">
        <f>IF(Tabela1746810121422303226816192527313336242101214161824262830384024810121416202226283032343624268101214246101224262442626282626810262862366810121416182022242426283032343840424446[[#This Row],[acumulo]]&lt;Tabela1746810121422303226816192527313336242101214161824262830384024810121416202226283032343624268101214246101224262442626282626810262862366810121416182022242426283032343840424446[[#This Row],[acumulo minimo]],0,Tabela1746810121422303226816192527313336242101214161824262830384024810121416202226283032343624268101214246101224262442626282626810262862366810121416182022242426283032343840424446[[#This Row],[acumulo]])</f>
        <v>0</v>
      </c>
      <c r="R6" s="24">
        <f>IF(Tabela1746810121422303226816192527313336242101214161824262830384024810121416202226283032343624268101214246101224262442626282626810262862366810121416182022242426283032343840424446[[#This Row],[Valor economizado]]&gt;Tabela1746810121422303226816192527313336242101214161824262830384024810121416202226283032343624268101214246101224262442626282626810262862366810121416182022242426283032343840424446[[#This Row],[Pedido Inicial]],0,Tabela1746810121422303226816192527313336242101214161824262830384024810121416202226283032343624268101214246101224262442626282626810262862366810121416182022242426283032343840424446[[#This Row],[Pedido Inicial]]-Tabela1746810121422303226816192527313336242101214161824262830384024810121416202226283032343624268101214246101224262442626282626810262862366810121416182022242426283032343840424446[[#This Row],[Valor economizado]])</f>
        <v>488.8</v>
      </c>
      <c r="S6" s="18" t="str">
        <f>IF(Tabela1746810121422303226816192527313336242101214161824262830384024810121416202226283032343624268101214246101224262442626282626810262862366810121416182022242426283032343840424446[[#This Row],[Pedido Final]]=0,"NÃO EFETUAR RECARGA","RECARGA NORMAL")</f>
        <v>RECARGA NORMAL</v>
      </c>
      <c r="T6" s="25">
        <v>23</v>
      </c>
    </row>
    <row r="7" spans="1:59" s="8" customFormat="1" x14ac:dyDescent="0.25">
      <c r="A7" s="13" t="s">
        <v>13</v>
      </c>
      <c r="B7" s="13"/>
      <c r="C7" s="13"/>
      <c r="D7" s="13"/>
      <c r="E7" s="20"/>
      <c r="F7" s="20"/>
      <c r="G7" s="33"/>
      <c r="H7" s="13"/>
      <c r="I7" s="13"/>
      <c r="J7" s="14">
        <f>SUBTOTAL(109,Tabela1746810121422303226816192527313336242101214161824262830384024810121416202226283032343624268101214246101224262442626282626810262862366810121416182022242426283032343840424446[Pedido Inicial])</f>
        <v>1466.4</v>
      </c>
      <c r="K7" s="15"/>
      <c r="L7" s="15"/>
      <c r="M7" s="15"/>
      <c r="N7" s="15"/>
      <c r="O7" s="15"/>
      <c r="P7" s="15"/>
      <c r="Q7" s="15"/>
      <c r="R7" s="14">
        <f>SUBTOTAL(109,Tabela1746810121422303226816192527313336242101214161824262830384024810121416202226283032343624268101214246101224262442626282626810262862366810121416182022242426283032343840424446[Pedido Final])</f>
        <v>1466.4</v>
      </c>
      <c r="S7" s="31">
        <f>SUBTOTAL(103,Tabela1746810121422303226816192527313336242101214161824262830384024810121416202226283032343624268101214246101224262442626282626810262862366810121416182022242426283032343840424446[Status])</f>
        <v>3</v>
      </c>
      <c r="T7" s="13"/>
    </row>
    <row r="8" spans="1:59" s="8" customFormat="1" x14ac:dyDescent="0.25">
      <c r="A8" s="13"/>
      <c r="B8" s="13"/>
      <c r="C8" s="13"/>
      <c r="D8" s="13"/>
      <c r="E8" s="20"/>
      <c r="F8" s="20"/>
      <c r="G8" s="33"/>
      <c r="H8" s="13"/>
      <c r="I8" s="13"/>
      <c r="J8" s="14"/>
      <c r="K8" s="15"/>
      <c r="L8" s="15"/>
      <c r="M8" s="15"/>
      <c r="N8" s="15"/>
      <c r="O8" s="15"/>
      <c r="P8" s="15"/>
      <c r="Q8" s="15"/>
      <c r="R8" s="14"/>
      <c r="S8" s="31"/>
      <c r="T8" s="13"/>
    </row>
    <row r="9" spans="1:59" s="8" customFormat="1" x14ac:dyDescent="0.25">
      <c r="A9" s="13"/>
      <c r="B9" s="13"/>
      <c r="C9" s="13"/>
      <c r="D9" s="13"/>
      <c r="E9" s="20"/>
      <c r="F9" s="20"/>
      <c r="G9" s="33"/>
      <c r="H9" s="13"/>
      <c r="I9" s="13"/>
      <c r="J9" s="14"/>
      <c r="K9" s="15"/>
      <c r="L9" s="15"/>
      <c r="M9" s="15"/>
      <c r="N9" s="15"/>
      <c r="O9" s="15"/>
      <c r="P9" s="15"/>
      <c r="Q9" s="15"/>
      <c r="R9" s="14"/>
      <c r="S9" s="31"/>
      <c r="T9" s="13"/>
    </row>
    <row r="10" spans="1:59" s="8" customFormat="1" x14ac:dyDescent="0.25">
      <c r="A10" s="1"/>
      <c r="B10" s="54" t="s">
        <v>14</v>
      </c>
      <c r="C10" s="55"/>
      <c r="D10" s="13"/>
      <c r="F10" s="37"/>
      <c r="G10" s="37"/>
      <c r="H10" s="37"/>
      <c r="I10" s="37"/>
      <c r="J10" s="28"/>
      <c r="K10" s="3"/>
      <c r="L10" s="1"/>
      <c r="M10" s="1"/>
      <c r="N10" s="1"/>
      <c r="O10" s="1"/>
      <c r="P10" s="1"/>
      <c r="Q10" s="1"/>
      <c r="R10" s="4" t="s">
        <v>26</v>
      </c>
      <c r="S10" s="39" t="s">
        <v>15</v>
      </c>
    </row>
    <row r="11" spans="1:59" s="8" customFormat="1" x14ac:dyDescent="0.25">
      <c r="A11" s="1"/>
      <c r="B11" s="50" t="s">
        <v>24</v>
      </c>
      <c r="C11" s="45">
        <f>Tabela1746810121422303226816192527313336242101214161824262830384024810121416202226283032343624268101214246101224262442626282626810262862366810121416182022242426283032343840424446[[#Totals],[Pedido Inicial]]</f>
        <v>1466.4</v>
      </c>
      <c r="D11" s="13"/>
      <c r="F11" s="41"/>
      <c r="G11" s="41"/>
      <c r="H11" s="34"/>
      <c r="I11" s="34"/>
      <c r="J11" s="34"/>
      <c r="K11" s="5"/>
      <c r="L11" s="1"/>
      <c r="M11" s="1"/>
      <c r="N11" s="1"/>
      <c r="O11" s="1"/>
      <c r="P11" s="1"/>
      <c r="Q11" s="1"/>
      <c r="R11" s="58" t="s">
        <v>28</v>
      </c>
      <c r="S11" s="59">
        <f>COUNTIF(Tabela1746810121422303226816192527313336242101214161824262830384024810121416202226283032343624268101214246101224262442626282626810262862366810121416182022242426283032343840424446[Status],Tabela257911131523313337917202628323437353111315171925272931394135911131517212327293133353735379111315357111335373453737393737911373973377911131517192123253527293133353941434547[[#This Row],[STATUS]])</f>
        <v>3</v>
      </c>
    </row>
    <row r="12" spans="1:59" s="8" customFormat="1" x14ac:dyDescent="0.25">
      <c r="A12" s="1"/>
      <c r="B12" s="50" t="s">
        <v>25</v>
      </c>
      <c r="C12" s="45">
        <f>Tabela1746810121422303226816192527313336242101214161824262830384024810121416202226283032343624268101214246101224262442626282626810262862366810121416182022242426283032343840424446[[#Totals],[Pedido Final]]</f>
        <v>1466.4</v>
      </c>
      <c r="D12" s="13"/>
      <c r="F12" s="41"/>
      <c r="G12" s="41"/>
      <c r="H12" s="34"/>
      <c r="I12" s="34"/>
      <c r="J12" s="34"/>
      <c r="K12" s="5"/>
      <c r="L12" s="1"/>
      <c r="M12" s="1"/>
      <c r="N12" s="1"/>
      <c r="O12" s="1"/>
      <c r="P12" s="1"/>
      <c r="R12" s="58" t="s">
        <v>11</v>
      </c>
      <c r="S12" s="59">
        <f>COUNTIF(Tabela1746810121422303226816192527313336242101214161824262830384024810121416202226283032343624268101214246101224262442626282626810262862366810121416182022242426283032343840424446[Status],Tabela257911131523313337917202628323437353111315171925272931394135911131517212327293133353735379111315357111335373453737393737911373973377911131517192123253527293133353941434547[[#This Row],[STATUS]])</f>
        <v>0</v>
      </c>
    </row>
    <row r="13" spans="1:59" s="8" customFormat="1" x14ac:dyDescent="0.25">
      <c r="A13" s="1"/>
      <c r="B13" s="51" t="str">
        <f>_xlfn.CONCAT("ECONOMIA"," ",ROUND(C13/C11,2)*100,"%")</f>
        <v>ECONOMIA 0%</v>
      </c>
      <c r="C13" s="46">
        <f>SUM(C11-C12)</f>
        <v>0</v>
      </c>
      <c r="D13" s="13"/>
      <c r="F13" s="41"/>
      <c r="G13" s="41"/>
      <c r="H13" s="36"/>
      <c r="I13" s="36"/>
      <c r="J13" s="38"/>
      <c r="K13" s="36"/>
      <c r="L13" s="1"/>
      <c r="M13" s="1"/>
      <c r="N13" s="1"/>
      <c r="O13" s="1"/>
      <c r="P13" s="1"/>
      <c r="Q13" s="35"/>
      <c r="R13" s="58" t="s">
        <v>12</v>
      </c>
      <c r="S13" s="59">
        <f>COUNTIF(Tabela1746810121422303226816192527313336242101214161824262830384024810121416202226283032343624268101214246101224262442626282626810262862366810121416182022242426283032343840424446[Status],Tabela257911131523313337917202628323437353111315171925272931394135911131517212327293133353735379111315357111335373453737393737911373973377911131517192123253527293133353941434547[[#This Row],[STATUS]])</f>
        <v>0</v>
      </c>
    </row>
    <row r="14" spans="1:59" s="8" customFormat="1" x14ac:dyDescent="0.25">
      <c r="A14" s="1"/>
      <c r="B14" s="51" t="e">
        <f>_xlfn.CONCAT("HPOD"," ",ROUND(C14/C13,2)*100,"%")</f>
        <v>#DIV/0!</v>
      </c>
      <c r="C14" s="46">
        <f>C13*12%</f>
        <v>0</v>
      </c>
      <c r="D14" s="13"/>
      <c r="F14" s="41"/>
      <c r="G14" s="41"/>
      <c r="H14" s="36"/>
      <c r="I14" s="36"/>
      <c r="J14" s="38"/>
      <c r="K14" s="36"/>
      <c r="L14" s="1"/>
      <c r="M14" s="1"/>
      <c r="N14" s="1"/>
      <c r="O14" s="1"/>
      <c r="P14" s="1"/>
      <c r="Q14" s="1"/>
      <c r="R14" s="6" t="s">
        <v>27</v>
      </c>
      <c r="S14" s="40">
        <f>SUBTOTAL(109,Tabela257911131523313337917202628323437353111315171925272931394135911131517212327293133353735379111315357111335373453737393737911373973377911131517192123253527293133353941434547[Coluna1])</f>
        <v>3</v>
      </c>
    </row>
    <row r="15" spans="1:59" s="8" customFormat="1" x14ac:dyDescent="0.25">
      <c r="A15" s="1"/>
      <c r="B15" s="3"/>
      <c r="C15" s="47"/>
      <c r="D15" s="1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6"/>
    </row>
    <row r="16" spans="1:59" s="8" customFormat="1" x14ac:dyDescent="0.25">
      <c r="A16" s="1"/>
      <c r="B16" s="3"/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35"/>
      <c r="P16" s="1"/>
      <c r="Q16" s="1"/>
      <c r="R16" s="1"/>
      <c r="S16" s="1"/>
      <c r="T16" s="1"/>
    </row>
    <row r="17" spans="1:20" s="8" customFormat="1" x14ac:dyDescent="0.25">
      <c r="A17" s="26"/>
      <c r="B17" s="12"/>
      <c r="C17" s="12"/>
      <c r="D17" s="12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1"/>
    </row>
    <row r="18" spans="1:20" s="8" customFormat="1" x14ac:dyDescent="0.25">
      <c r="A18" s="26"/>
      <c r="B18" s="12"/>
      <c r="C18" s="12"/>
      <c r="D18" s="12"/>
      <c r="E18" s="27"/>
      <c r="F18" s="27"/>
      <c r="G18" s="27"/>
      <c r="H18" s="27"/>
      <c r="I18" s="27"/>
      <c r="J18" s="27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r="19" spans="1:20" s="8" customFormat="1" x14ac:dyDescent="0.25">
      <c r="A19" s="26"/>
      <c r="B19" s="12"/>
      <c r="C19" s="12"/>
      <c r="D19" s="12"/>
      <c r="E19" s="28"/>
      <c r="F19" s="28"/>
      <c r="G19" s="28"/>
      <c r="H19" s="28"/>
      <c r="I19" s="28"/>
      <c r="J19" s="28"/>
      <c r="K19" s="27"/>
      <c r="L19" s="26"/>
      <c r="M19" s="26"/>
      <c r="N19" s="26"/>
      <c r="O19" s="26"/>
      <c r="P19" s="26"/>
      <c r="Q19" s="26"/>
      <c r="R19" s="26"/>
      <c r="S19" s="26"/>
      <c r="T19" s="26"/>
    </row>
    <row r="20" spans="1:20" s="8" customFormat="1" x14ac:dyDescent="0.25">
      <c r="A20" s="26"/>
      <c r="B20" s="12"/>
      <c r="C20" s="12"/>
      <c r="D20" s="12"/>
      <c r="E20" s="28"/>
      <c r="F20" s="28"/>
      <c r="G20" s="28"/>
      <c r="H20" s="28"/>
      <c r="I20" s="28"/>
      <c r="J20" s="28"/>
      <c r="K20" s="27"/>
      <c r="L20" s="26"/>
      <c r="M20" s="26"/>
      <c r="N20" s="26"/>
      <c r="O20" s="26"/>
      <c r="P20" s="26"/>
      <c r="Q20" s="26"/>
      <c r="R20" s="26"/>
      <c r="S20" s="26"/>
      <c r="T20" s="26"/>
    </row>
    <row r="21" spans="1:20" s="8" customFormat="1" x14ac:dyDescent="0.25">
      <c r="A21" s="26"/>
      <c r="B21" s="12"/>
      <c r="C21" s="12"/>
      <c r="D21" s="12"/>
      <c r="E21" s="28"/>
      <c r="F21" s="28"/>
      <c r="G21" s="28"/>
      <c r="H21" s="28"/>
      <c r="I21" s="28"/>
      <c r="J21" s="28"/>
      <c r="K21" s="27"/>
      <c r="L21" s="26"/>
      <c r="M21" s="26"/>
      <c r="N21" s="26"/>
      <c r="O21" s="26"/>
      <c r="P21" s="29"/>
      <c r="Q21" s="26"/>
      <c r="R21" s="26"/>
      <c r="S21" s="26"/>
      <c r="T21" s="26"/>
    </row>
    <row r="22" spans="1:20" s="8" customFormat="1" x14ac:dyDescent="0.25">
      <c r="A22" s="26"/>
      <c r="B22" s="12"/>
      <c r="C22" s="12"/>
      <c r="D22" s="12"/>
      <c r="E22" s="26"/>
      <c r="F22" s="26"/>
      <c r="G22" s="26"/>
      <c r="H22" s="26"/>
      <c r="I22" s="26"/>
      <c r="J22" s="26"/>
      <c r="K22" s="27"/>
      <c r="L22" s="26"/>
      <c r="M22" s="26"/>
      <c r="N22" s="26"/>
      <c r="O22" s="26"/>
      <c r="P22" s="26"/>
      <c r="Q22" s="26"/>
      <c r="R22" s="26"/>
      <c r="S22" s="26"/>
      <c r="T22" s="26"/>
    </row>
    <row r="23" spans="1:20" s="8" customFormat="1" x14ac:dyDescent="0.25">
      <c r="A23" s="26"/>
      <c r="B23" s="12"/>
      <c r="C23" s="12"/>
      <c r="D23" s="12"/>
      <c r="E23" s="28"/>
      <c r="F23" s="28"/>
      <c r="G23" s="28"/>
      <c r="H23" s="28"/>
      <c r="I23" s="28"/>
      <c r="J23" s="28"/>
      <c r="K23" s="29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8" customFormat="1" x14ac:dyDescent="0.25">
      <c r="A24" s="26"/>
      <c r="B24" s="12"/>
      <c r="C24" s="12"/>
      <c r="D24" s="12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</row>
    <row r="25" spans="1:20" s="8" customFormat="1" x14ac:dyDescent="0.25">
      <c r="A25" s="26"/>
      <c r="B25" s="12"/>
      <c r="C25" s="12"/>
      <c r="D25" s="12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9"/>
    </row>
    <row r="26" spans="1:20" s="8" customFormat="1" x14ac:dyDescent="0.25">
      <c r="A26" s="26"/>
      <c r="B26" s="12"/>
      <c r="C26" s="12"/>
      <c r="D26" s="12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s="8" customFormat="1" x14ac:dyDescent="0.25">
      <c r="A27" s="26"/>
      <c r="B27" s="12"/>
      <c r="C27" s="12"/>
      <c r="D27" s="12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r="28" spans="1:20" s="8" customFormat="1" x14ac:dyDescent="0.25">
      <c r="A28" s="26"/>
      <c r="B28" s="12"/>
      <c r="C28" s="12"/>
      <c r="D28" s="12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 spans="1:20" s="8" customFormat="1" x14ac:dyDescent="0.25">
      <c r="A29" s="26"/>
      <c r="B29" s="12"/>
      <c r="C29" s="12"/>
      <c r="D29" s="12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spans="1:20" s="8" customFormat="1" x14ac:dyDescent="0.25">
      <c r="A30" s="26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0" s="8" customFormat="1" x14ac:dyDescent="0.25">
      <c r="A31" s="1"/>
      <c r="B31" s="3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6"/>
    </row>
    <row r="32" spans="1:20" s="8" customFormat="1" x14ac:dyDescent="0.25">
      <c r="A32" s="1"/>
      <c r="B32" s="3"/>
      <c r="C32" s="3"/>
      <c r="D32" s="3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8" customFormat="1" x14ac:dyDescent="0.25">
      <c r="A33" s="1"/>
      <c r="B33" s="3"/>
      <c r="C33" s="3"/>
      <c r="D33" s="3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</row>
  </sheetData>
  <mergeCells count="1">
    <mergeCell ref="A2:T2"/>
  </mergeCells>
  <conditionalFormatting sqref="A1:A1048576">
    <cfRule type="duplicateValues" dxfId="8" priority="4"/>
    <cfRule type="duplicateValues" dxfId="7" priority="5"/>
  </conditionalFormatting>
  <conditionalFormatting sqref="B1:B1048576">
    <cfRule type="duplicateValues" dxfId="6" priority="6"/>
  </conditionalFormatting>
  <conditionalFormatting sqref="B11:C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{867A22D7-F765-4FA4-93BF-4C5398456CA8}</x14:id>
        </ext>
      </extLst>
    </cfRule>
  </conditionalFormatting>
  <conditionalFormatting sqref="H11:J12 F11:G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{3938703F-C30D-4ADD-9A84-A20134CD25B3}</x14:id>
        </ext>
      </extLst>
    </cfRule>
  </conditionalFormatting>
  <conditionalFormatting sqref="R11:S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{EBB06D94-3EE1-4699-8DF4-8F23BF83C852}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7A22D7-F765-4FA4-93BF-4C5398456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B11:C14</xm:sqref>
        </x14:conditionalFormatting>
        <x14:conditionalFormatting xmlns:xm="http://schemas.microsoft.com/office/excel/2006/main">
          <x14:cfRule type="dataBar" id="{3938703F-C30D-4ADD-9A84-A20134CD25B3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H11:J12 F11:G14</xm:sqref>
        </x14:conditionalFormatting>
        <x14:conditionalFormatting xmlns:xm="http://schemas.microsoft.com/office/excel/2006/main">
          <x14:cfRule type="dataBar" id="{EBB06D94-3EE1-4699-8DF4-8F23BF83C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R11:S13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FF57-F941-4FAA-9926-4447FBCA2D41}">
  <sheetPr>
    <pageSetUpPr fitToPage="1"/>
  </sheetPr>
  <dimension ref="A1:BG55"/>
  <sheetViews>
    <sheetView zoomScaleNormal="100" workbookViewId="0">
      <selection activeCell="A2" sqref="A2:T2"/>
    </sheetView>
  </sheetViews>
  <sheetFormatPr defaultColWidth="9.140625" defaultRowHeight="15" x14ac:dyDescent="0.25"/>
  <cols>
    <col min="1" max="1" width="7.28515625" style="1" bestFit="1" customWidth="1"/>
    <col min="2" max="2" width="28.28515625" style="3" bestFit="1" customWidth="1"/>
    <col min="3" max="3" width="20.28515625" style="3" customWidth="1"/>
    <col min="4" max="4" width="30" style="3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9" width="8.7109375" style="8" customWidth="1"/>
    <col min="60" max="234" width="8.7109375" style="7" customWidth="1"/>
    <col min="235" max="16384" width="9.140625" style="7"/>
  </cols>
  <sheetData>
    <row r="1" spans="1:59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s="1" customFormat="1" ht="38.450000000000003" customHeight="1" x14ac:dyDescent="0.25">
      <c r="A2" s="69" t="s">
        <v>4215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s="26" customFormat="1" x14ac:dyDescent="0.25">
      <c r="A4" s="16">
        <v>212131</v>
      </c>
      <c r="B4" s="30" t="s">
        <v>1233</v>
      </c>
      <c r="C4" s="20" t="s">
        <v>1257</v>
      </c>
      <c r="D4" s="20" t="s">
        <v>1264</v>
      </c>
      <c r="E4" s="20" t="s">
        <v>3694</v>
      </c>
      <c r="F4" s="20" t="s">
        <v>3695</v>
      </c>
      <c r="G4" s="21">
        <v>18.8</v>
      </c>
      <c r="H4" s="16">
        <v>22</v>
      </c>
      <c r="I4" s="16">
        <v>3</v>
      </c>
      <c r="J4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357.2</v>
      </c>
      <c r="K4" s="22"/>
      <c r="L4" s="23"/>
      <c r="M4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Tabela174681012142230322681619252731333624210121416182426283038402481012141620222628303234362426810121424610122426244262628262681026286236681012141618202224242628303234384042444648[[#This Row],[Uso diário]]*2</f>
        <v>37.6</v>
      </c>
      <c r="O4" s="19">
        <f>Tabela174681012142230322681619252731333624210121416182426283038402481012141620222628303234362426810121424610122426244262628262681026286236681012141618202224242628303234384042444648[[#This Row],[Total Acumulado]]-P4</f>
        <v>-94</v>
      </c>
      <c r="P4" s="48">
        <f>Tabela174681012142230322681619252731333624210121416182426283038402481012141620222628303234362426810121424610122426244262628262681026286236681012141618202224242628303234384042444648[[#This Row],[Uso diário]]*5</f>
        <v>94</v>
      </c>
      <c r="Q4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4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357.2</v>
      </c>
      <c r="S4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4" s="25">
        <v>25</v>
      </c>
    </row>
    <row r="5" spans="1:59" s="26" customFormat="1" x14ac:dyDescent="0.25">
      <c r="A5" s="16">
        <v>201014</v>
      </c>
      <c r="B5" s="30" t="s">
        <v>1234</v>
      </c>
      <c r="C5" s="20" t="s">
        <v>659</v>
      </c>
      <c r="D5" s="20" t="s">
        <v>753</v>
      </c>
      <c r="E5" s="20" t="s">
        <v>3696</v>
      </c>
      <c r="F5" s="20" t="s">
        <v>3697</v>
      </c>
      <c r="G5" s="21">
        <v>26.8</v>
      </c>
      <c r="H5" s="16">
        <v>22</v>
      </c>
      <c r="I5" s="16"/>
      <c r="J5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589.6</v>
      </c>
      <c r="K5" s="22"/>
      <c r="L5" s="23"/>
      <c r="M5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Tabela174681012142230322681619252731333624210121416182426283038402481012141620222628303234362426810121424610122426244262628262681026286236681012141618202224242628303234384042444648[[#This Row],[Uso diário]]*2</f>
        <v>53.6</v>
      </c>
      <c r="O5" s="19">
        <f>Tabela174681012142230322681619252731333624210121416182426283038402481012141620222628303234362426810121424610122426244262628262681026286236681012141618202224242628303234384042444648[[#This Row],[Total Acumulado]]-P5</f>
        <v>-134</v>
      </c>
      <c r="P5" s="48">
        <f>Tabela174681012142230322681619252731333624210121416182426283038402481012141620222628303234362426810121424610122426244262628262681026286236681012141618202224242628303234384042444648[[#This Row],[Uso diário]]*5</f>
        <v>134</v>
      </c>
      <c r="Q5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5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589.6</v>
      </c>
      <c r="S5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5" s="25">
        <v>25</v>
      </c>
    </row>
    <row r="6" spans="1:59" s="26" customFormat="1" x14ac:dyDescent="0.25">
      <c r="A6" s="16">
        <v>210288</v>
      </c>
      <c r="B6" s="30" t="s">
        <v>513</v>
      </c>
      <c r="C6" s="20" t="s">
        <v>659</v>
      </c>
      <c r="D6" s="20" t="s">
        <v>753</v>
      </c>
      <c r="E6" s="20" t="s">
        <v>3698</v>
      </c>
      <c r="F6" s="20" t="s">
        <v>3699</v>
      </c>
      <c r="G6" s="21">
        <v>15.8</v>
      </c>
      <c r="H6" s="16">
        <v>11</v>
      </c>
      <c r="I6" s="16"/>
      <c r="J6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173.8</v>
      </c>
      <c r="K6" s="22"/>
      <c r="L6" s="23"/>
      <c r="M6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Tabela174681012142230322681619252731333624210121416182426283038402481012141620222628303234362426810121424610122426244262628262681026286236681012141618202224242628303234384042444648[[#This Row],[Uso diário]]*2</f>
        <v>31.6</v>
      </c>
      <c r="O6" s="19">
        <f>Tabela174681012142230322681619252731333624210121416182426283038402481012141620222628303234362426810121424610122426244262628262681026286236681012141618202224242628303234384042444648[[#This Row],[Total Acumulado]]-P6</f>
        <v>-79</v>
      </c>
      <c r="P6" s="48">
        <f>Tabela174681012142230322681619252731333624210121416182426283038402481012141620222628303234362426810121424610122426244262628262681026286236681012141618202224242628303234384042444648[[#This Row],[Uso diário]]*5</f>
        <v>79</v>
      </c>
      <c r="Q6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6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173.8</v>
      </c>
      <c r="S6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6" s="25">
        <v>25</v>
      </c>
    </row>
    <row r="7" spans="1:59" s="26" customFormat="1" x14ac:dyDescent="0.25">
      <c r="A7" s="16">
        <v>208761</v>
      </c>
      <c r="B7" s="30" t="s">
        <v>1513</v>
      </c>
      <c r="C7" s="20" t="s">
        <v>660</v>
      </c>
      <c r="D7" s="20" t="s">
        <v>754</v>
      </c>
      <c r="E7" s="20" t="s">
        <v>3702</v>
      </c>
      <c r="F7" s="20" t="s">
        <v>3703</v>
      </c>
      <c r="G7" s="21">
        <v>18.8</v>
      </c>
      <c r="H7" s="16">
        <v>11</v>
      </c>
      <c r="I7" s="16"/>
      <c r="J7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206.8</v>
      </c>
      <c r="K7" s="22"/>
      <c r="L7" s="23"/>
      <c r="M7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Tabela174681012142230322681619252731333624210121416182426283038402481012141620222628303234362426810121424610122426244262628262681026286236681012141618202224242628303234384042444648[[#This Row],[Uso diário]]*2</f>
        <v>37.6</v>
      </c>
      <c r="O7" s="19">
        <f>Tabela174681012142230322681619252731333624210121416182426283038402481012141620222628303234362426810121424610122426244262628262681026286236681012141618202224242628303234384042444648[[#This Row],[Total Acumulado]]-P7</f>
        <v>-94</v>
      </c>
      <c r="P7" s="48">
        <f>Tabela174681012142230322681619252731333624210121416182426283038402481012141620222628303234362426810121424610122426244262628262681026286236681012141618202224242628303234384042444648[[#This Row],[Uso diário]]*5</f>
        <v>94</v>
      </c>
      <c r="Q7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7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206.8</v>
      </c>
      <c r="S7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7" s="25">
        <v>25</v>
      </c>
    </row>
    <row r="8" spans="1:59" s="26" customFormat="1" ht="22.5" x14ac:dyDescent="0.25">
      <c r="A8" s="16">
        <v>219806</v>
      </c>
      <c r="B8" s="30" t="s">
        <v>1236</v>
      </c>
      <c r="C8" s="20" t="s">
        <v>1258</v>
      </c>
      <c r="D8" s="20" t="s">
        <v>755</v>
      </c>
      <c r="E8" s="20" t="s">
        <v>3704</v>
      </c>
      <c r="F8" s="20" t="s">
        <v>3705</v>
      </c>
      <c r="G8" s="21">
        <v>28.6</v>
      </c>
      <c r="H8" s="16">
        <v>11</v>
      </c>
      <c r="I8" s="16">
        <v>1</v>
      </c>
      <c r="J8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286</v>
      </c>
      <c r="K8" s="22"/>
      <c r="L8" s="23">
        <v>460.7</v>
      </c>
      <c r="M8" s="23">
        <f>SUM(Tabela174681012142230322681619252731333624210121416182426283038402481012141620222628303234362426810121424610122426244262628262681026286236681012141618202224242628303234384042444648[[#This Row],[Saldo no cartão]:[Recarga Pendente]])</f>
        <v>460.7</v>
      </c>
      <c r="N8" s="19">
        <f>Tabela174681012142230322681619252731333624210121416182426283038402481012141620222628303234362426810121424610122426244262628262681026286236681012141618202224242628303234384042444648[[#This Row],[Uso diário]]*2</f>
        <v>57.2</v>
      </c>
      <c r="O8" s="19">
        <f>Tabela174681012142230322681619252731333624210121416182426283038402481012141620222628303234362426810121424610122426244262628262681026286236681012141618202224242628303234384042444648[[#This Row],[Total Acumulado]]-P8</f>
        <v>317.7</v>
      </c>
      <c r="P8" s="48">
        <f>Tabela174681012142230322681619252731333624210121416182426283038402481012141620222628303234362426810121424610122426244262628262681026286236681012141618202224242628303234384042444648[[#This Row],[Uso diário]]*5</f>
        <v>143</v>
      </c>
      <c r="Q8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317.7</v>
      </c>
      <c r="R8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0</v>
      </c>
      <c r="S8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NÃO EFETUAR RECARGA</v>
      </c>
      <c r="T8" s="25">
        <v>25</v>
      </c>
    </row>
    <row r="9" spans="1:59" s="26" customFormat="1" ht="22.5" x14ac:dyDescent="0.25">
      <c r="A9" s="16">
        <v>228946</v>
      </c>
      <c r="B9" s="30" t="s">
        <v>519</v>
      </c>
      <c r="C9" s="20" t="s">
        <v>1258</v>
      </c>
      <c r="D9" s="20" t="s">
        <v>755</v>
      </c>
      <c r="E9" s="20">
        <v>0</v>
      </c>
      <c r="F9" s="20" t="s">
        <v>4181</v>
      </c>
      <c r="G9" s="21">
        <v>18.8</v>
      </c>
      <c r="H9" s="16">
        <v>0</v>
      </c>
      <c r="I9" s="16">
        <v>0</v>
      </c>
      <c r="J9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0</v>
      </c>
      <c r="K9" s="22"/>
      <c r="L9" s="23"/>
      <c r="M9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Tabela174681012142230322681619252731333624210121416182426283038402481012141620222628303234362426810121424610122426244262628262681026286236681012141618202224242628303234384042444648[[#This Row],[Uso diário]]*2</f>
        <v>37.6</v>
      </c>
      <c r="O9" s="19">
        <f>Tabela174681012142230322681619252731333624210121416182426283038402481012141620222628303234362426810121424610122426244262628262681026286236681012141618202224242628303234384042444648[[#This Row],[Total Acumulado]]-P9</f>
        <v>-94</v>
      </c>
      <c r="P9" s="48">
        <f>Tabela174681012142230322681619252731333624210121416182426283038402481012141620222628303234362426810121424610122426244262628262681026286236681012141618202224242628303234384042444648[[#This Row],[Uso diário]]*5</f>
        <v>94</v>
      </c>
      <c r="Q9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9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0</v>
      </c>
      <c r="S9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NÃO EFETUAR RECARGA</v>
      </c>
      <c r="T9" s="25">
        <v>25</v>
      </c>
    </row>
    <row r="10" spans="1:59" s="26" customFormat="1" x14ac:dyDescent="0.25">
      <c r="A10" s="16">
        <v>230076</v>
      </c>
      <c r="B10" s="30" t="s">
        <v>136</v>
      </c>
      <c r="C10" s="20" t="s">
        <v>621</v>
      </c>
      <c r="D10" s="20" t="s">
        <v>1128</v>
      </c>
      <c r="E10" s="20" t="s">
        <v>3706</v>
      </c>
      <c r="F10" s="20" t="s">
        <v>3707</v>
      </c>
      <c r="G10" s="21">
        <v>18.8</v>
      </c>
      <c r="H10" s="16">
        <v>22</v>
      </c>
      <c r="I10" s="16"/>
      <c r="J10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10" s="22"/>
      <c r="L10" s="23"/>
      <c r="M10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Tabela174681012142230322681619252731333624210121416182426283038402481012141620222628303234362426810121424610122426244262628262681026286236681012141618202224242628303234384042444648[[#This Row],[Uso diário]]*2</f>
        <v>37.6</v>
      </c>
      <c r="O10" s="19">
        <f>Tabela174681012142230322681619252731333624210121416182426283038402481012141620222628303234362426810121424610122426244262628262681026286236681012141618202224242628303234384042444648[[#This Row],[Total Acumulado]]-P10</f>
        <v>-94</v>
      </c>
      <c r="P10" s="48">
        <f>Tabela174681012142230322681619252731333624210121416182426283038402481012141620222628303234362426810121424610122426244262628262681026286236681012141618202224242628303234384042444648[[#This Row],[Uso diário]]*5</f>
        <v>94</v>
      </c>
      <c r="Q10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0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10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0" s="25">
        <v>25</v>
      </c>
    </row>
    <row r="11" spans="1:59" s="26" customFormat="1" x14ac:dyDescent="0.25">
      <c r="A11" s="16">
        <v>218894</v>
      </c>
      <c r="B11" s="30" t="s">
        <v>515</v>
      </c>
      <c r="C11" s="20" t="s">
        <v>661</v>
      </c>
      <c r="D11" s="20" t="s">
        <v>756</v>
      </c>
      <c r="E11" s="20" t="s">
        <v>3708</v>
      </c>
      <c r="F11" s="20" t="s">
        <v>3709</v>
      </c>
      <c r="G11" s="21">
        <v>10</v>
      </c>
      <c r="H11" s="16">
        <v>22</v>
      </c>
      <c r="I11" s="16"/>
      <c r="J11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220</v>
      </c>
      <c r="K11" s="22"/>
      <c r="L11" s="23"/>
      <c r="M11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Tabela174681012142230322681619252731333624210121416182426283038402481012141620222628303234362426810121424610122426244262628262681026286236681012141618202224242628303234384042444648[[#This Row],[Uso diário]]*2</f>
        <v>20</v>
      </c>
      <c r="O11" s="19">
        <f>Tabela174681012142230322681619252731333624210121416182426283038402481012141620222628303234362426810121424610122426244262628262681026286236681012141618202224242628303234384042444648[[#This Row],[Total Acumulado]]-P11</f>
        <v>-50</v>
      </c>
      <c r="P11" s="48">
        <f>Tabela174681012142230322681619252731333624210121416182426283038402481012141620222628303234362426810121424610122426244262628262681026286236681012141618202224242628303234384042444648[[#This Row],[Uso diário]]*5</f>
        <v>50</v>
      </c>
      <c r="Q11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1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220</v>
      </c>
      <c r="S11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1" s="25">
        <v>25</v>
      </c>
    </row>
    <row r="12" spans="1:59" s="26" customFormat="1" x14ac:dyDescent="0.25">
      <c r="A12" s="16">
        <v>20420</v>
      </c>
      <c r="B12" s="30" t="s">
        <v>516</v>
      </c>
      <c r="C12" s="20" t="s">
        <v>662</v>
      </c>
      <c r="D12" s="20" t="s">
        <v>757</v>
      </c>
      <c r="E12" s="20" t="s">
        <v>3710</v>
      </c>
      <c r="F12" s="20" t="s">
        <v>3711</v>
      </c>
      <c r="G12" s="21">
        <v>18.8</v>
      </c>
      <c r="H12" s="16">
        <v>22</v>
      </c>
      <c r="I12" s="16"/>
      <c r="J12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12" s="22"/>
      <c r="L12" s="23">
        <v>42.3</v>
      </c>
      <c r="M12" s="23">
        <f>SUM(Tabela174681012142230322681619252731333624210121416182426283038402481012141620222628303234362426810121424610122426244262628262681026286236681012141618202224242628303234384042444648[[#This Row],[Saldo no cartão]:[Recarga Pendente]])</f>
        <v>42.3</v>
      </c>
      <c r="N12" s="19">
        <f>Tabela174681012142230322681619252731333624210121416182426283038402481012141620222628303234362426810121424610122426244262628262681026286236681012141618202224242628303234384042444648[[#This Row],[Uso diário]]*2</f>
        <v>37.6</v>
      </c>
      <c r="O12" s="19">
        <f>Tabela174681012142230322681619252731333624210121416182426283038402481012141620222628303234362426810121424610122426244262628262681026286236681012141618202224242628303234384042444648[[#This Row],[Total Acumulado]]-P12</f>
        <v>-51.7</v>
      </c>
      <c r="P12" s="48">
        <f>Tabela174681012142230322681619252731333624210121416182426283038402481012141620222628303234362426810121424610122426244262628262681026286236681012141618202224242628303234384042444648[[#This Row],[Uso diário]]*5</f>
        <v>94</v>
      </c>
      <c r="Q12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2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12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2" s="25">
        <v>25</v>
      </c>
    </row>
    <row r="13" spans="1:59" s="26" customFormat="1" x14ac:dyDescent="0.25">
      <c r="A13" s="16">
        <v>224425</v>
      </c>
      <c r="B13" s="30" t="s">
        <v>1237</v>
      </c>
      <c r="C13" s="20" t="s">
        <v>1259</v>
      </c>
      <c r="D13" s="20" t="s">
        <v>1265</v>
      </c>
      <c r="E13" s="20" t="s">
        <v>3712</v>
      </c>
      <c r="F13" s="20" t="s">
        <v>3713</v>
      </c>
      <c r="G13" s="21">
        <v>34.200000000000003</v>
      </c>
      <c r="H13" s="16">
        <v>22</v>
      </c>
      <c r="I13" s="16"/>
      <c r="J13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752.40000000000009</v>
      </c>
      <c r="K13" s="22"/>
      <c r="L13" s="23"/>
      <c r="M13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Tabela174681012142230322681619252731333624210121416182426283038402481012141620222628303234362426810121424610122426244262628262681026286236681012141618202224242628303234384042444648[[#This Row],[Uso diário]]*2</f>
        <v>68.400000000000006</v>
      </c>
      <c r="O13" s="19">
        <f>Tabela174681012142230322681619252731333624210121416182426283038402481012141620222628303234362426810121424610122426244262628262681026286236681012141618202224242628303234384042444648[[#This Row],[Total Acumulado]]-P13</f>
        <v>-171</v>
      </c>
      <c r="P13" s="48">
        <f>Tabela174681012142230322681619252731333624210121416182426283038402481012141620222628303234362426810121424610122426244262628262681026286236681012141618202224242628303234384042444648[[#This Row],[Uso diário]]*5</f>
        <v>171</v>
      </c>
      <c r="Q13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3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752.40000000000009</v>
      </c>
      <c r="S13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3" s="25">
        <v>25</v>
      </c>
    </row>
    <row r="14" spans="1:59" s="26" customFormat="1" x14ac:dyDescent="0.25">
      <c r="A14" s="16">
        <v>227054</v>
      </c>
      <c r="B14" s="30" t="s">
        <v>1238</v>
      </c>
      <c r="C14" s="20" t="s">
        <v>1259</v>
      </c>
      <c r="D14" s="20" t="s">
        <v>1266</v>
      </c>
      <c r="E14" s="20" t="s">
        <v>3714</v>
      </c>
      <c r="F14" s="20" t="s">
        <v>3715</v>
      </c>
      <c r="G14" s="21">
        <v>15.2</v>
      </c>
      <c r="H14" s="16">
        <v>22</v>
      </c>
      <c r="I14" s="16"/>
      <c r="J14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334.4</v>
      </c>
      <c r="K14" s="22"/>
      <c r="L14" s="23"/>
      <c r="M14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Tabela174681012142230322681619252731333624210121416182426283038402481012141620222628303234362426810121424610122426244262628262681026286236681012141618202224242628303234384042444648[[#This Row],[Uso diário]]*2</f>
        <v>30.4</v>
      </c>
      <c r="O14" s="19">
        <f>Tabela174681012142230322681619252731333624210121416182426283038402481012141620222628303234362426810121424610122426244262628262681026286236681012141618202224242628303234384042444648[[#This Row],[Total Acumulado]]-P14</f>
        <v>-76</v>
      </c>
      <c r="P14" s="48">
        <f>Tabela174681012142230322681619252731333624210121416182426283038402481012141620222628303234362426810121424610122426244262628262681026286236681012141618202224242628303234384042444648[[#This Row],[Uso diário]]*5</f>
        <v>76</v>
      </c>
      <c r="Q14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4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334.4</v>
      </c>
      <c r="S14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4" s="25">
        <v>25</v>
      </c>
    </row>
    <row r="15" spans="1:59" s="26" customFormat="1" x14ac:dyDescent="0.25">
      <c r="A15" s="16">
        <v>5069</v>
      </c>
      <c r="B15" s="30" t="s">
        <v>862</v>
      </c>
      <c r="C15" s="20" t="s">
        <v>628</v>
      </c>
      <c r="D15" s="20" t="s">
        <v>758</v>
      </c>
      <c r="E15" s="20" t="s">
        <v>3716</v>
      </c>
      <c r="F15" s="20" t="s">
        <v>3717</v>
      </c>
      <c r="G15" s="21">
        <v>18.8</v>
      </c>
      <c r="H15" s="16">
        <v>22</v>
      </c>
      <c r="I15" s="16"/>
      <c r="J15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15" s="22"/>
      <c r="L15" s="23"/>
      <c r="M15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5" s="19">
        <f>Tabela174681012142230322681619252731333624210121416182426283038402481012141620222628303234362426810121424610122426244262628262681026286236681012141618202224242628303234384042444648[[#This Row],[Uso diário]]*2</f>
        <v>37.6</v>
      </c>
      <c r="O15" s="19">
        <f>Tabela174681012142230322681619252731333624210121416182426283038402481012141620222628303234362426810121424610122426244262628262681026286236681012141618202224242628303234384042444648[[#This Row],[Total Acumulado]]-P15</f>
        <v>-94</v>
      </c>
      <c r="P15" s="48">
        <f>Tabela174681012142230322681619252731333624210121416182426283038402481012141620222628303234362426810121424610122426244262628262681026286236681012141618202224242628303234384042444648[[#This Row],[Uso diário]]*5</f>
        <v>94</v>
      </c>
      <c r="Q15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5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15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5" s="25">
        <v>25</v>
      </c>
    </row>
    <row r="16" spans="1:59" s="26" customFormat="1" x14ac:dyDescent="0.25">
      <c r="A16" s="16">
        <v>219140</v>
      </c>
      <c r="B16" s="30" t="s">
        <v>517</v>
      </c>
      <c r="C16" s="20" t="s">
        <v>663</v>
      </c>
      <c r="D16" s="20" t="s">
        <v>759</v>
      </c>
      <c r="E16" s="20" t="s">
        <v>3718</v>
      </c>
      <c r="F16" s="20" t="s">
        <v>3719</v>
      </c>
      <c r="G16" s="21">
        <v>18.8</v>
      </c>
      <c r="H16" s="16">
        <v>22</v>
      </c>
      <c r="I16" s="16"/>
      <c r="J16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16" s="22"/>
      <c r="L16" s="23"/>
      <c r="M16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6" s="19">
        <f>Tabela174681012142230322681619252731333624210121416182426283038402481012141620222628303234362426810121424610122426244262628262681026286236681012141618202224242628303234384042444648[[#This Row],[Uso diário]]*2</f>
        <v>37.6</v>
      </c>
      <c r="O16" s="19">
        <f>Tabela174681012142230322681619252731333624210121416182426283038402481012141620222628303234362426810121424610122426244262628262681026286236681012141618202224242628303234384042444648[[#This Row],[Total Acumulado]]-P16</f>
        <v>-94</v>
      </c>
      <c r="P16" s="48">
        <f>Tabela174681012142230322681619252731333624210121416182426283038402481012141620222628303234362426810121424610122426244262628262681026286236681012141618202224242628303234384042444648[[#This Row],[Uso diário]]*5</f>
        <v>94</v>
      </c>
      <c r="Q16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6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16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6" s="25">
        <v>25</v>
      </c>
    </row>
    <row r="17" spans="1:20" s="26" customFormat="1" x14ac:dyDescent="0.25">
      <c r="A17" s="16">
        <v>218851</v>
      </c>
      <c r="B17" s="30" t="s">
        <v>518</v>
      </c>
      <c r="C17" s="20" t="s">
        <v>664</v>
      </c>
      <c r="D17" s="20" t="s">
        <v>760</v>
      </c>
      <c r="E17" s="20" t="s">
        <v>3720</v>
      </c>
      <c r="F17" s="20" t="s">
        <v>3721</v>
      </c>
      <c r="G17" s="21">
        <v>25.3</v>
      </c>
      <c r="H17" s="16">
        <v>22</v>
      </c>
      <c r="I17" s="16"/>
      <c r="J17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556.6</v>
      </c>
      <c r="K17" s="22"/>
      <c r="L17" s="23"/>
      <c r="M17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7" s="19">
        <f>Tabela174681012142230322681619252731333624210121416182426283038402481012141620222628303234362426810121424610122426244262628262681026286236681012141618202224242628303234384042444648[[#This Row],[Uso diário]]*2</f>
        <v>50.6</v>
      </c>
      <c r="O17" s="19">
        <f>Tabela174681012142230322681619252731333624210121416182426283038402481012141620222628303234362426810121424610122426244262628262681026286236681012141618202224242628303234384042444648[[#This Row],[Total Acumulado]]-P17</f>
        <v>-126.5</v>
      </c>
      <c r="P17" s="48">
        <f>Tabela174681012142230322681619252731333624210121416182426283038402481012141620222628303234362426810121424610122426244262628262681026286236681012141618202224242628303234384042444648[[#This Row],[Uso diário]]*5</f>
        <v>126.5</v>
      </c>
      <c r="Q17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7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556.6</v>
      </c>
      <c r="S17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7" s="25">
        <v>25</v>
      </c>
    </row>
    <row r="18" spans="1:20" s="26" customFormat="1" x14ac:dyDescent="0.25">
      <c r="A18" s="16">
        <v>219070</v>
      </c>
      <c r="B18" s="30" t="s">
        <v>1239</v>
      </c>
      <c r="C18" s="20" t="s">
        <v>664</v>
      </c>
      <c r="D18" s="20" t="s">
        <v>1267</v>
      </c>
      <c r="E18" s="20" t="s">
        <v>3722</v>
      </c>
      <c r="F18" s="20" t="s">
        <v>3723</v>
      </c>
      <c r="G18" s="21">
        <v>18.8</v>
      </c>
      <c r="H18" s="16">
        <v>22</v>
      </c>
      <c r="I18" s="16"/>
      <c r="J18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18" s="22"/>
      <c r="L18" s="23"/>
      <c r="M18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8" s="19">
        <f>Tabela174681012142230322681619252731333624210121416182426283038402481012141620222628303234362426810121424610122426244262628262681026286236681012141618202224242628303234384042444648[[#This Row],[Uso diário]]*2</f>
        <v>37.6</v>
      </c>
      <c r="O18" s="19">
        <f>Tabela174681012142230322681619252731333624210121416182426283038402481012141620222628303234362426810121424610122426244262628262681026286236681012141618202224242628303234384042444648[[#This Row],[Total Acumulado]]-P18</f>
        <v>-94</v>
      </c>
      <c r="P18" s="48">
        <f>Tabela174681012142230322681619252731333624210121416182426283038402481012141620222628303234362426810121424610122426244262628262681026286236681012141618202224242628303234384042444648[[#This Row],[Uso diário]]*5</f>
        <v>94</v>
      </c>
      <c r="Q18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8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18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8" s="25">
        <v>25</v>
      </c>
    </row>
    <row r="19" spans="1:20" s="26" customFormat="1" x14ac:dyDescent="0.25">
      <c r="A19" s="16">
        <v>211933</v>
      </c>
      <c r="B19" s="30" t="s">
        <v>799</v>
      </c>
      <c r="C19" s="20" t="s">
        <v>665</v>
      </c>
      <c r="D19" s="20" t="s">
        <v>761</v>
      </c>
      <c r="E19" s="20" t="s">
        <v>3724</v>
      </c>
      <c r="F19" s="20" t="s">
        <v>3725</v>
      </c>
      <c r="G19" s="21">
        <v>18.8</v>
      </c>
      <c r="H19" s="16">
        <v>22</v>
      </c>
      <c r="I19" s="16"/>
      <c r="J19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19" s="22"/>
      <c r="L19" s="23"/>
      <c r="M19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19" s="19">
        <f>Tabela174681012142230322681619252731333624210121416182426283038402481012141620222628303234362426810121424610122426244262628262681026286236681012141618202224242628303234384042444648[[#This Row],[Uso diário]]*2</f>
        <v>37.6</v>
      </c>
      <c r="O19" s="19">
        <f>Tabela174681012142230322681619252731333624210121416182426283038402481012141620222628303234362426810121424610122426244262628262681026286236681012141618202224242628303234384042444648[[#This Row],[Total Acumulado]]-P19</f>
        <v>-94</v>
      </c>
      <c r="P19" s="48">
        <f>Tabela174681012142230322681619252731333624210121416182426283038402481012141620222628303234362426810121424610122426244262628262681026286236681012141618202224242628303234384042444648[[#This Row],[Uso diário]]*5</f>
        <v>94</v>
      </c>
      <c r="Q19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19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19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19" s="25">
        <v>25</v>
      </c>
    </row>
    <row r="20" spans="1:20" s="26" customFormat="1" x14ac:dyDescent="0.25">
      <c r="A20" s="16">
        <v>222836</v>
      </c>
      <c r="B20" s="30" t="s">
        <v>1514</v>
      </c>
      <c r="C20" s="20" t="s">
        <v>634</v>
      </c>
      <c r="D20" s="20" t="s">
        <v>688</v>
      </c>
      <c r="E20" s="20" t="s">
        <v>3726</v>
      </c>
      <c r="F20" s="20" t="s">
        <v>3727</v>
      </c>
      <c r="G20" s="21">
        <v>13.4</v>
      </c>
      <c r="H20" s="16">
        <v>22</v>
      </c>
      <c r="I20" s="16">
        <v>1</v>
      </c>
      <c r="J20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281.40000000000003</v>
      </c>
      <c r="K20" s="22"/>
      <c r="L20" s="23"/>
      <c r="M20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0" s="19">
        <f>Tabela174681012142230322681619252731333624210121416182426283038402481012141620222628303234362426810121424610122426244262628262681026286236681012141618202224242628303234384042444648[[#This Row],[Uso diário]]*2</f>
        <v>26.8</v>
      </c>
      <c r="O20" s="19">
        <f>Tabela174681012142230322681619252731333624210121416182426283038402481012141620222628303234362426810121424610122426244262628262681026286236681012141618202224242628303234384042444648[[#This Row],[Total Acumulado]]-P20</f>
        <v>-67</v>
      </c>
      <c r="P20" s="48">
        <f>Tabela174681012142230322681619252731333624210121416182426283038402481012141620222628303234362426810121424610122426244262628262681026286236681012141618202224242628303234384042444648[[#This Row],[Uso diário]]*5</f>
        <v>67</v>
      </c>
      <c r="Q20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0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281.40000000000003</v>
      </c>
      <c r="S20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0" s="25">
        <v>25</v>
      </c>
    </row>
    <row r="21" spans="1:20" s="26" customFormat="1" x14ac:dyDescent="0.25">
      <c r="A21" s="16">
        <v>231315</v>
      </c>
      <c r="B21" s="30" t="s">
        <v>782</v>
      </c>
      <c r="C21" s="20" t="s">
        <v>1388</v>
      </c>
      <c r="D21" s="20" t="s">
        <v>1390</v>
      </c>
      <c r="E21" s="20" t="s">
        <v>3728</v>
      </c>
      <c r="F21" s="20" t="s">
        <v>3729</v>
      </c>
      <c r="G21" s="21">
        <v>18.8</v>
      </c>
      <c r="H21" s="16">
        <v>22</v>
      </c>
      <c r="I21" s="16"/>
      <c r="J21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21" s="22"/>
      <c r="L21" s="23"/>
      <c r="M21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1" s="19">
        <f>Tabela174681012142230322681619252731333624210121416182426283038402481012141620222628303234362426810121424610122426244262628262681026286236681012141618202224242628303234384042444648[[#This Row],[Uso diário]]*2</f>
        <v>37.6</v>
      </c>
      <c r="O21" s="19">
        <f>Tabela174681012142230322681619252731333624210121416182426283038402481012141620222628303234362426810121424610122426244262628262681026286236681012141618202224242628303234384042444648[[#This Row],[Total Acumulado]]-P21</f>
        <v>-94</v>
      </c>
      <c r="P21" s="48">
        <f>Tabela174681012142230322681619252731333624210121416182426283038402481012141620222628303234362426810121424610122426244262628262681026286236681012141618202224242628303234384042444648[[#This Row],[Uso diário]]*5</f>
        <v>94</v>
      </c>
      <c r="Q21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1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21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1" s="25">
        <v>25</v>
      </c>
    </row>
    <row r="22" spans="1:20" s="26" customFormat="1" x14ac:dyDescent="0.25">
      <c r="A22" s="16">
        <v>218069</v>
      </c>
      <c r="B22" s="30" t="s">
        <v>921</v>
      </c>
      <c r="C22" s="20" t="s">
        <v>635</v>
      </c>
      <c r="D22" s="20" t="s">
        <v>780</v>
      </c>
      <c r="E22" s="20" t="s">
        <v>3730</v>
      </c>
      <c r="F22" s="20" t="s">
        <v>3731</v>
      </c>
      <c r="G22" s="21">
        <v>20.8</v>
      </c>
      <c r="H22" s="16">
        <v>22</v>
      </c>
      <c r="I22" s="16">
        <v>1</v>
      </c>
      <c r="J22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436.8</v>
      </c>
      <c r="K22" s="22"/>
      <c r="L22" s="23"/>
      <c r="M22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2" s="19">
        <f>Tabela174681012142230322681619252731333624210121416182426283038402481012141620222628303234362426810121424610122426244262628262681026286236681012141618202224242628303234384042444648[[#This Row],[Uso diário]]*2</f>
        <v>41.6</v>
      </c>
      <c r="O22" s="19">
        <f>Tabela174681012142230322681619252731333624210121416182426283038402481012141620222628303234362426810121424610122426244262628262681026286236681012141618202224242628303234384042444648[[#This Row],[Total Acumulado]]-P22</f>
        <v>-104</v>
      </c>
      <c r="P22" s="48">
        <f>Tabela174681012142230322681619252731333624210121416182426283038402481012141620222628303234362426810121424610122426244262628262681026286236681012141618202224242628303234384042444648[[#This Row],[Uso diário]]*5</f>
        <v>104</v>
      </c>
      <c r="Q22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2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436.8</v>
      </c>
      <c r="S22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2" s="25">
        <v>25</v>
      </c>
    </row>
    <row r="23" spans="1:20" s="26" customFormat="1" x14ac:dyDescent="0.25">
      <c r="A23" s="16">
        <v>232167</v>
      </c>
      <c r="B23" s="30" t="s">
        <v>890</v>
      </c>
      <c r="C23" s="20" t="s">
        <v>882</v>
      </c>
      <c r="D23" s="20" t="s">
        <v>892</v>
      </c>
      <c r="E23" s="20" t="s">
        <v>3732</v>
      </c>
      <c r="F23" s="20" t="s">
        <v>3733</v>
      </c>
      <c r="G23" s="21">
        <v>36.5</v>
      </c>
      <c r="H23" s="16">
        <v>22</v>
      </c>
      <c r="I23" s="16"/>
      <c r="J23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803</v>
      </c>
      <c r="K23" s="22"/>
      <c r="L23" s="23"/>
      <c r="M23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3" s="19">
        <f>Tabela174681012142230322681619252731333624210121416182426283038402481012141620222628303234362426810121424610122426244262628262681026286236681012141618202224242628303234384042444648[[#This Row],[Uso diário]]*2</f>
        <v>73</v>
      </c>
      <c r="O23" s="19">
        <f>Tabela174681012142230322681619252731333624210121416182426283038402481012141620222628303234362426810121424610122426244262628262681026286236681012141618202224242628303234384042444648[[#This Row],[Total Acumulado]]-P23</f>
        <v>-182.5</v>
      </c>
      <c r="P23" s="48">
        <f>Tabela174681012142230322681619252731333624210121416182426283038402481012141620222628303234362426810121424610122426244262628262681026286236681012141618202224242628303234384042444648[[#This Row],[Uso diário]]*5</f>
        <v>182.5</v>
      </c>
      <c r="Q23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3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803</v>
      </c>
      <c r="S23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3" s="25">
        <v>25</v>
      </c>
    </row>
    <row r="24" spans="1:20" s="26" customFormat="1" x14ac:dyDescent="0.25">
      <c r="A24" s="16">
        <v>219762</v>
      </c>
      <c r="B24" s="30" t="s">
        <v>514</v>
      </c>
      <c r="C24" s="20" t="s">
        <v>656</v>
      </c>
      <c r="D24" s="20" t="s">
        <v>947</v>
      </c>
      <c r="E24" s="20" t="s">
        <v>3734</v>
      </c>
      <c r="F24" s="20" t="s">
        <v>3735</v>
      </c>
      <c r="G24" s="21">
        <v>41.7</v>
      </c>
      <c r="H24" s="16">
        <v>22</v>
      </c>
      <c r="I24" s="16"/>
      <c r="J24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917.40000000000009</v>
      </c>
      <c r="K24" s="22"/>
      <c r="L24" s="23"/>
      <c r="M24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4" s="19">
        <f>Tabela174681012142230322681619252731333624210121416182426283038402481012141620222628303234362426810121424610122426244262628262681026286236681012141618202224242628303234384042444648[[#This Row],[Uso diário]]*2</f>
        <v>83.4</v>
      </c>
      <c r="O24" s="19">
        <f>Tabela174681012142230322681619252731333624210121416182426283038402481012141620222628303234362426810121424610122426244262628262681026286236681012141618202224242628303234384042444648[[#This Row],[Total Acumulado]]-P24</f>
        <v>-208.5</v>
      </c>
      <c r="P24" s="48">
        <f>Tabela174681012142230322681619252731333624210121416182426283038402481012141620222628303234362426810121424610122426244262628262681026286236681012141618202224242628303234384042444648[[#This Row],[Uso diário]]*5</f>
        <v>208.5</v>
      </c>
      <c r="Q24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4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917.40000000000009</v>
      </c>
      <c r="S24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4" s="25">
        <v>25</v>
      </c>
    </row>
    <row r="25" spans="1:20" s="26" customFormat="1" x14ac:dyDescent="0.25">
      <c r="A25" s="16">
        <v>222124</v>
      </c>
      <c r="B25" s="30" t="s">
        <v>1515</v>
      </c>
      <c r="C25" s="20" t="s">
        <v>656</v>
      </c>
      <c r="D25" s="20" t="s">
        <v>1545</v>
      </c>
      <c r="E25" s="20" t="s">
        <v>3736</v>
      </c>
      <c r="F25" s="20" t="s">
        <v>3737</v>
      </c>
      <c r="G25" s="21">
        <v>18.8</v>
      </c>
      <c r="H25" s="16">
        <v>22</v>
      </c>
      <c r="I25" s="16"/>
      <c r="J25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25" s="22"/>
      <c r="L25" s="23"/>
      <c r="M25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5" s="19">
        <f>Tabela174681012142230322681619252731333624210121416182426283038402481012141620222628303234362426810121424610122426244262628262681026286236681012141618202224242628303234384042444648[[#This Row],[Uso diário]]*2</f>
        <v>37.6</v>
      </c>
      <c r="O25" s="19">
        <f>Tabela174681012142230322681619252731333624210121416182426283038402481012141620222628303234362426810121424610122426244262628262681026286236681012141618202224242628303234384042444648[[#This Row],[Total Acumulado]]-P25</f>
        <v>-94</v>
      </c>
      <c r="P25" s="48">
        <f>Tabela174681012142230322681619252731333624210121416182426283038402481012141620222628303234362426810121424610122426244262628262681026286236681012141618202224242628303234384042444648[[#This Row],[Uso diário]]*5</f>
        <v>94</v>
      </c>
      <c r="Q25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5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25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5" s="25">
        <v>25</v>
      </c>
    </row>
    <row r="26" spans="1:20" s="26" customFormat="1" x14ac:dyDescent="0.25">
      <c r="A26" s="16">
        <v>231366</v>
      </c>
      <c r="B26" s="30" t="s">
        <v>81</v>
      </c>
      <c r="C26" s="20" t="s">
        <v>656</v>
      </c>
      <c r="D26" s="20" t="s">
        <v>762</v>
      </c>
      <c r="E26" s="20" t="s">
        <v>3738</v>
      </c>
      <c r="F26" s="20" t="s">
        <v>3739</v>
      </c>
      <c r="G26" s="21">
        <v>18.8</v>
      </c>
      <c r="H26" s="16">
        <v>22</v>
      </c>
      <c r="I26" s="16">
        <v>2</v>
      </c>
      <c r="J26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376</v>
      </c>
      <c r="K26" s="22"/>
      <c r="L26" s="23"/>
      <c r="M26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6" s="19">
        <f>Tabela174681012142230322681619252731333624210121416182426283038402481012141620222628303234362426810121424610122426244262628262681026286236681012141618202224242628303234384042444648[[#This Row],[Uso diário]]*2</f>
        <v>37.6</v>
      </c>
      <c r="O26" s="19">
        <f>Tabela174681012142230322681619252731333624210121416182426283038402481012141620222628303234362426810121424610122426244262628262681026286236681012141618202224242628303234384042444648[[#This Row],[Total Acumulado]]-P26</f>
        <v>-94</v>
      </c>
      <c r="P26" s="48">
        <f>Tabela174681012142230322681619252731333624210121416182426283038402481012141620222628303234362426810121424610122426244262628262681026286236681012141618202224242628303234384042444648[[#This Row],[Uso diário]]*5</f>
        <v>94</v>
      </c>
      <c r="Q26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6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376</v>
      </c>
      <c r="S26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6" s="25">
        <v>25</v>
      </c>
    </row>
    <row r="27" spans="1:20" s="26" customFormat="1" x14ac:dyDescent="0.25">
      <c r="A27" s="16">
        <v>232641</v>
      </c>
      <c r="B27" s="30" t="s">
        <v>948</v>
      </c>
      <c r="C27" s="20" t="s">
        <v>656</v>
      </c>
      <c r="D27" s="20" t="s">
        <v>762</v>
      </c>
      <c r="E27" s="20" t="s">
        <v>3740</v>
      </c>
      <c r="F27" s="20" t="s">
        <v>3741</v>
      </c>
      <c r="G27" s="21">
        <v>18.8</v>
      </c>
      <c r="H27" s="16">
        <v>22</v>
      </c>
      <c r="I27" s="16"/>
      <c r="J27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413.6</v>
      </c>
      <c r="K27" s="22"/>
      <c r="L27" s="23"/>
      <c r="M27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7" s="19">
        <f>Tabela174681012142230322681619252731333624210121416182426283038402481012141620222628303234362426810121424610122426244262628262681026286236681012141618202224242628303234384042444648[[#This Row],[Uso diário]]*2</f>
        <v>37.6</v>
      </c>
      <c r="O27" s="19">
        <f>Tabela174681012142230322681619252731333624210121416182426283038402481012141620222628303234362426810121424610122426244262628262681026286236681012141618202224242628303234384042444648[[#This Row],[Total Acumulado]]-P27</f>
        <v>-94</v>
      </c>
      <c r="P27" s="48">
        <f>Tabela174681012142230322681619252731333624210121416182426283038402481012141620222628303234362426810121424610122426244262628262681026286236681012141618202224242628303234384042444648[[#This Row],[Uso diário]]*5</f>
        <v>94</v>
      </c>
      <c r="Q27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7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413.6</v>
      </c>
      <c r="S27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7" s="25">
        <v>25</v>
      </c>
    </row>
    <row r="28" spans="1:20" s="26" customFormat="1" x14ac:dyDescent="0.25">
      <c r="A28" s="16">
        <v>225826</v>
      </c>
      <c r="B28" s="30" t="s">
        <v>520</v>
      </c>
      <c r="C28" s="20" t="s">
        <v>640</v>
      </c>
      <c r="D28" s="20" t="s">
        <v>702</v>
      </c>
      <c r="E28" s="20" t="s">
        <v>3742</v>
      </c>
      <c r="F28" s="20" t="s">
        <v>3743</v>
      </c>
      <c r="G28" s="21">
        <v>18.8</v>
      </c>
      <c r="H28" s="16">
        <v>22</v>
      </c>
      <c r="I28" s="16">
        <v>1</v>
      </c>
      <c r="J28" s="17">
        <f>(Tabela174681012142230322681619252731333624210121416182426283038402481012141620222628303234362426810121424610122426244262628262681026286236681012141618202224242628303234384042444648[[#This Row],[D]]-Tabela174681012142230322681619252731333624210121416182426283038402481012141620222628303234362426810121424610122426244262628262681026286236681012141618202224242628303234384042444648[[#This Row],[F]])*Tabela174681012142230322681619252731333624210121416182426283038402481012141620222628303234362426810121424610122426244262628262681026286236681012141618202224242628303234384042444648[[#This Row],[Uso diário]]</f>
        <v>394.8</v>
      </c>
      <c r="K28" s="22"/>
      <c r="L28" s="23"/>
      <c r="M28" s="23">
        <f>SUM(Tabela174681012142230322681619252731333624210121416182426283038402481012141620222628303234362426810121424610122426244262628262681026286236681012141618202224242628303234384042444648[[#This Row],[Saldo no cartão]:[Recarga Pendente]])</f>
        <v>0</v>
      </c>
      <c r="N28" s="19">
        <f>Tabela174681012142230322681619252731333624210121416182426283038402481012141620222628303234362426810121424610122426244262628262681026286236681012141618202224242628303234384042444648[[#This Row],[Uso diário]]*2</f>
        <v>37.6</v>
      </c>
      <c r="O28" s="19">
        <f>Tabela174681012142230322681619252731333624210121416182426283038402481012141620222628303234362426810121424610122426244262628262681026286236681012141618202224242628303234384042444648[[#This Row],[Total Acumulado]]-P28</f>
        <v>-94</v>
      </c>
      <c r="P28" s="48">
        <f>Tabela174681012142230322681619252731333624210121416182426283038402481012141620222628303234362426810121424610122426244262628262681026286236681012141618202224242628303234384042444648[[#This Row],[Uso diário]]*5</f>
        <v>94</v>
      </c>
      <c r="Q28" s="17">
        <f>IF(Tabela174681012142230322681619252731333624210121416182426283038402481012141620222628303234362426810121424610122426244262628262681026286236681012141618202224242628303234384042444648[[#This Row],[acumulo]]&lt;Tabela174681012142230322681619252731333624210121416182426283038402481012141620222628303234362426810121424610122426244262628262681026286236681012141618202224242628303234384042444648[[#This Row],[acumulo minimo]],0,Tabela174681012142230322681619252731333624210121416182426283038402481012141620222628303234362426810121424610122426244262628262681026286236681012141618202224242628303234384042444648[[#This Row],[acumulo]])</f>
        <v>0</v>
      </c>
      <c r="R28" s="24">
        <f>IF(Tabela174681012142230322681619252731333624210121416182426283038402481012141620222628303234362426810121424610122426244262628262681026286236681012141618202224242628303234384042444648[[#This Row],[Valor economizado]]&gt;Tabela174681012142230322681619252731333624210121416182426283038402481012141620222628303234362426810121424610122426244262628262681026286236681012141618202224242628303234384042444648[[#This Row],[Pedido Inicial]],0,Tabela174681012142230322681619252731333624210121416182426283038402481012141620222628303234362426810121424610122426244262628262681026286236681012141618202224242628303234384042444648[[#This Row],[Pedido Inicial]]-Tabela174681012142230322681619252731333624210121416182426283038402481012141620222628303234362426810121424610122426244262628262681026286236681012141618202224242628303234384042444648[[#This Row],[Valor economizado]])</f>
        <v>394.8</v>
      </c>
      <c r="S28" s="18" t="str">
        <f>IF(Tabela174681012142230322681619252731333624210121416182426283038402481012141620222628303234362426810121424610122426244262628262681026286236681012141618202224242628303234384042444648[[#This Row],[Pedido Final]]=0,"NÃO EFETUAR RECARGA","RECARGA NORMAL")</f>
        <v>RECARGA NORMAL</v>
      </c>
      <c r="T28" s="25">
        <v>25</v>
      </c>
    </row>
    <row r="29" spans="1:20" s="8" customFormat="1" x14ac:dyDescent="0.25">
      <c r="A29" s="13" t="s">
        <v>13</v>
      </c>
      <c r="B29" s="13"/>
      <c r="C29" s="13"/>
      <c r="D29" s="13"/>
      <c r="E29" s="20"/>
      <c r="F29" s="20"/>
      <c r="G29" s="33"/>
      <c r="H29" s="13"/>
      <c r="I29" s="13"/>
      <c r="J29" s="14">
        <f>SUBTOTAL(109,Tabela174681012142230322681619252731333624210121416182426283038402481012141620222628303234362426810121424610122426244262628262681026286236681012141618202224242628303234384042444648[Pedido Inicial])</f>
        <v>10408.600000000002</v>
      </c>
      <c r="K29" s="15"/>
      <c r="L29" s="15"/>
      <c r="M29" s="15"/>
      <c r="N29" s="15"/>
      <c r="O29" s="15"/>
      <c r="P29" s="15"/>
      <c r="Q29" s="15"/>
      <c r="R29" s="14">
        <f>SUBTOTAL(109,Tabela174681012142230322681619252731333624210121416182426283038402481012141620222628303234362426810121424610122426244262628262681026286236681012141618202224242628303234384042444648[Pedido Final])</f>
        <v>10122.600000000002</v>
      </c>
      <c r="S29" s="31">
        <f>SUBTOTAL(103,Tabela174681012142230322681619252731333624210121416182426283038402481012141620222628303234362426810121424610122426244262628262681026286236681012141618202224242628303234384042444648[Status])</f>
        <v>25</v>
      </c>
      <c r="T29" s="13"/>
    </row>
    <row r="30" spans="1:20" s="8" customFormat="1" x14ac:dyDescent="0.25">
      <c r="A30" s="13"/>
      <c r="B30" s="13"/>
      <c r="C30" s="13"/>
      <c r="D30" s="13"/>
      <c r="E30" s="20"/>
      <c r="F30" s="20"/>
      <c r="G30" s="33"/>
      <c r="H30" s="13"/>
      <c r="I30" s="13"/>
      <c r="J30" s="14"/>
      <c r="K30" s="15"/>
      <c r="L30" s="15"/>
      <c r="M30" s="15"/>
      <c r="N30" s="15"/>
      <c r="O30" s="15"/>
      <c r="P30" s="15"/>
      <c r="Q30" s="15"/>
      <c r="R30" s="14"/>
      <c r="S30" s="31"/>
      <c r="T30" s="13"/>
    </row>
    <row r="31" spans="1:20" s="8" customFormat="1" x14ac:dyDescent="0.25">
      <c r="A31" s="13"/>
      <c r="B31" s="13"/>
      <c r="C31" s="13"/>
      <c r="D31" s="13"/>
      <c r="E31" s="20"/>
      <c r="F31" s="20"/>
      <c r="G31" s="33"/>
      <c r="H31" s="13"/>
      <c r="I31" s="13"/>
      <c r="J31" s="14"/>
      <c r="K31" s="15"/>
      <c r="L31" s="15"/>
      <c r="M31" s="15"/>
      <c r="N31" s="15"/>
      <c r="O31" s="15"/>
      <c r="P31" s="15"/>
      <c r="Q31" s="15"/>
      <c r="R31" s="14"/>
      <c r="S31" s="31"/>
      <c r="T31" s="13"/>
    </row>
    <row r="32" spans="1:20" s="8" customFormat="1" x14ac:dyDescent="0.25">
      <c r="A32" s="1"/>
      <c r="B32" s="54" t="s">
        <v>14</v>
      </c>
      <c r="C32" s="55"/>
      <c r="D32" s="13"/>
      <c r="F32" s="37"/>
      <c r="G32" s="37"/>
      <c r="H32" s="37"/>
      <c r="I32" s="37"/>
      <c r="J32" s="28"/>
      <c r="K32" s="3"/>
      <c r="L32" s="1"/>
      <c r="M32" s="1"/>
      <c r="N32" s="1"/>
      <c r="O32" s="1"/>
      <c r="P32" s="1"/>
      <c r="Q32" s="1"/>
      <c r="R32" s="4" t="s">
        <v>26</v>
      </c>
      <c r="S32" s="39" t="s">
        <v>15</v>
      </c>
    </row>
    <row r="33" spans="1:20" s="8" customFormat="1" x14ac:dyDescent="0.25">
      <c r="A33" s="1"/>
      <c r="B33" s="50" t="s">
        <v>24</v>
      </c>
      <c r="C33" s="45">
        <f>Tabela174681012142230322681619252731333624210121416182426283038402481012141620222628303234362426810121424610122426244262628262681026286236681012141618202224242628303234384042444648[[#Totals],[Pedido Inicial]]</f>
        <v>10408.600000000002</v>
      </c>
      <c r="D33" s="13"/>
      <c r="F33" s="41"/>
      <c r="G33" s="41"/>
      <c r="H33" s="34"/>
      <c r="I33" s="34"/>
      <c r="J33" s="34"/>
      <c r="K33" s="5"/>
      <c r="L33" s="1"/>
      <c r="M33" s="1"/>
      <c r="N33" s="1"/>
      <c r="O33" s="1"/>
      <c r="P33" s="1"/>
      <c r="Q33" s="1"/>
      <c r="R33" s="58" t="s">
        <v>28</v>
      </c>
      <c r="S33" s="59">
        <f>COUNTIF(Tabela174681012142230322681619252731333624210121416182426283038402481012141620222628303234362426810121424610122426244262628262681026286236681012141618202224242628303234384042444648[Status],Tabela25791113152331333791720262832343735311131517192527293139413591113151721232729313335373537911131535711133537345373739373791137397337791113151719212325352729313335394143454749[[#This Row],[STATUS]])</f>
        <v>23</v>
      </c>
    </row>
    <row r="34" spans="1:20" s="8" customFormat="1" x14ac:dyDescent="0.25">
      <c r="A34" s="1"/>
      <c r="B34" s="50" t="s">
        <v>25</v>
      </c>
      <c r="C34" s="45">
        <f>Tabela174681012142230322681619252731333624210121416182426283038402481012141620222628303234362426810121424610122426244262628262681026286236681012141618202224242628303234384042444648[[#Totals],[Pedido Final]]</f>
        <v>10122.600000000002</v>
      </c>
      <c r="D34" s="13"/>
      <c r="F34" s="41"/>
      <c r="G34" s="41"/>
      <c r="H34" s="34"/>
      <c r="I34" s="34"/>
      <c r="J34" s="34"/>
      <c r="K34" s="5"/>
      <c r="L34" s="1"/>
      <c r="M34" s="1"/>
      <c r="N34" s="1"/>
      <c r="O34" s="1"/>
      <c r="P34" s="1"/>
      <c r="R34" s="58" t="s">
        <v>11</v>
      </c>
      <c r="S34" s="59">
        <f>COUNTIF(Tabela174681012142230322681619252731333624210121416182426283038402481012141620222628303234362426810121424610122426244262628262681026286236681012141618202224242628303234384042444648[Status],Tabela25791113152331333791720262832343735311131517192527293139413591113151721232729313335373537911131535711133537345373739373791137397337791113151719212325352729313335394143454749[[#This Row],[STATUS]])</f>
        <v>0</v>
      </c>
    </row>
    <row r="35" spans="1:20" s="8" customFormat="1" x14ac:dyDescent="0.25">
      <c r="A35" s="1"/>
      <c r="B35" s="51" t="str">
        <f>_xlfn.CONCAT("ECONOMIA"," ",ROUND(C35/C33,2)*100,"%")</f>
        <v>ECONOMIA 3%</v>
      </c>
      <c r="C35" s="46">
        <f>SUM(C33-C34)</f>
        <v>286</v>
      </c>
      <c r="D35" s="13"/>
      <c r="F35" s="41"/>
      <c r="G35" s="41"/>
      <c r="H35" s="36"/>
      <c r="I35" s="36"/>
      <c r="J35" s="38"/>
      <c r="K35" s="36"/>
      <c r="L35" s="1"/>
      <c r="M35" s="1"/>
      <c r="N35" s="1"/>
      <c r="O35" s="1"/>
      <c r="P35" s="1"/>
      <c r="Q35" s="35"/>
      <c r="R35" s="58" t="s">
        <v>12</v>
      </c>
      <c r="S35" s="59">
        <f>COUNTIF(Tabela174681012142230322681619252731333624210121416182426283038402481012141620222628303234362426810121424610122426244262628262681026286236681012141618202224242628303234384042444648[Status],Tabela25791113152331333791720262832343735311131517192527293139413591113151721232729313335373537911131535711133537345373739373791137397337791113151719212325352729313335394143454749[[#This Row],[STATUS]])</f>
        <v>2</v>
      </c>
    </row>
    <row r="36" spans="1:20" s="8" customFormat="1" x14ac:dyDescent="0.25">
      <c r="A36" s="1"/>
      <c r="B36" s="51" t="str">
        <f>_xlfn.CONCAT("HPOD"," ",ROUND(C36/C35,2)*100,"%")</f>
        <v>HPOD 12%</v>
      </c>
      <c r="C36" s="46">
        <f>C35*12%</f>
        <v>34.32</v>
      </c>
      <c r="D36" s="13"/>
      <c r="F36" s="41"/>
      <c r="G36" s="41"/>
      <c r="H36" s="36"/>
      <c r="I36" s="36"/>
      <c r="J36" s="38"/>
      <c r="K36" s="36"/>
      <c r="L36" s="1"/>
      <c r="M36" s="1"/>
      <c r="N36" s="1"/>
      <c r="O36" s="1"/>
      <c r="P36" s="1"/>
      <c r="Q36" s="1"/>
      <c r="R36" s="6" t="s">
        <v>27</v>
      </c>
      <c r="S36" s="40">
        <f>SUBTOTAL(109,Tabela25791113152331333791720262832343735311131517192527293139413591113151721232729313335373537911131535711133537345373739373791137397337791113151719212325352729313335394143454749[Coluna1])</f>
        <v>25</v>
      </c>
    </row>
    <row r="37" spans="1:20" s="8" customFormat="1" x14ac:dyDescent="0.25">
      <c r="A37" s="1"/>
      <c r="B37" s="3"/>
      <c r="C37" s="47"/>
      <c r="D37" s="1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6"/>
    </row>
    <row r="38" spans="1:20" s="8" customFormat="1" x14ac:dyDescent="0.25">
      <c r="A38" s="1"/>
      <c r="B38" s="3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35"/>
      <c r="P38" s="1"/>
      <c r="Q38" s="1"/>
      <c r="R38" s="1"/>
      <c r="S38" s="1"/>
      <c r="T38" s="1"/>
    </row>
    <row r="39" spans="1:20" s="8" customFormat="1" x14ac:dyDescent="0.25">
      <c r="A39" s="26"/>
      <c r="B39" s="12"/>
      <c r="C39" s="12"/>
      <c r="D39" s="12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1"/>
    </row>
    <row r="40" spans="1:20" s="8" customFormat="1" x14ac:dyDescent="0.25">
      <c r="A40" s="26"/>
      <c r="B40" s="12"/>
      <c r="C40" s="12"/>
      <c r="D40" s="12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spans="1:20" s="8" customFormat="1" x14ac:dyDescent="0.25">
      <c r="A41" s="26"/>
      <c r="B41" s="12"/>
      <c r="C41" s="12"/>
      <c r="D41" s="12"/>
      <c r="E41" s="28"/>
      <c r="F41" s="28"/>
      <c r="G41" s="28"/>
      <c r="H41" s="28"/>
      <c r="I41" s="28"/>
      <c r="J41" s="28"/>
      <c r="K41" s="27"/>
      <c r="L41" s="26"/>
      <c r="M41" s="26"/>
      <c r="N41" s="26"/>
      <c r="O41" s="26"/>
      <c r="P41" s="26"/>
      <c r="Q41" s="26"/>
      <c r="R41" s="26"/>
      <c r="S41" s="26"/>
      <c r="T41" s="26"/>
    </row>
    <row r="42" spans="1:20" s="8" customFormat="1" x14ac:dyDescent="0.25">
      <c r="A42" s="26"/>
      <c r="B42" s="12"/>
      <c r="C42" s="12"/>
      <c r="D42" s="12"/>
      <c r="E42" s="28"/>
      <c r="F42" s="28"/>
      <c r="G42" s="28"/>
      <c r="H42" s="28"/>
      <c r="I42" s="28"/>
      <c r="J42" s="28"/>
      <c r="K42" s="27"/>
      <c r="L42" s="26"/>
      <c r="M42" s="26"/>
      <c r="N42" s="26"/>
      <c r="O42" s="26"/>
      <c r="P42" s="26"/>
      <c r="Q42" s="26"/>
      <c r="R42" s="26"/>
      <c r="S42" s="26"/>
      <c r="T42" s="26"/>
    </row>
    <row r="43" spans="1:20" s="8" customFormat="1" x14ac:dyDescent="0.25">
      <c r="A43" s="26"/>
      <c r="B43" s="12"/>
      <c r="C43" s="12"/>
      <c r="D43" s="12"/>
      <c r="E43" s="28"/>
      <c r="F43" s="28"/>
      <c r="G43" s="28"/>
      <c r="H43" s="28"/>
      <c r="I43" s="28"/>
      <c r="J43" s="28"/>
      <c r="K43" s="27"/>
      <c r="L43" s="26"/>
      <c r="M43" s="26"/>
      <c r="N43" s="26"/>
      <c r="O43" s="26"/>
      <c r="P43" s="29"/>
      <c r="Q43" s="26"/>
      <c r="R43" s="26"/>
      <c r="S43" s="26"/>
      <c r="T43" s="26"/>
    </row>
    <row r="44" spans="1:20" s="8" customFormat="1" x14ac:dyDescent="0.25">
      <c r="A44" s="26"/>
      <c r="B44" s="12"/>
      <c r="C44" s="12"/>
      <c r="D44" s="12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6"/>
      <c r="Q44" s="26"/>
      <c r="R44" s="26"/>
      <c r="S44" s="26"/>
      <c r="T44" s="26"/>
    </row>
    <row r="45" spans="1:20" s="8" customFormat="1" x14ac:dyDescent="0.25">
      <c r="A45" s="26"/>
      <c r="B45" s="12"/>
      <c r="C45" s="12"/>
      <c r="D45" s="12"/>
      <c r="E45" s="28"/>
      <c r="F45" s="28"/>
      <c r="G45" s="28"/>
      <c r="H45" s="28"/>
      <c r="I45" s="28"/>
      <c r="J45" s="28"/>
      <c r="K45" s="29"/>
      <c r="L45" s="26"/>
      <c r="M45" s="26"/>
      <c r="N45" s="26"/>
      <c r="O45" s="26"/>
      <c r="P45" s="26"/>
      <c r="Q45" s="26"/>
      <c r="R45" s="26"/>
      <c r="S45" s="26"/>
      <c r="T45" s="26"/>
    </row>
    <row r="46" spans="1:20" s="8" customFormat="1" x14ac:dyDescent="0.25">
      <c r="A46" s="26"/>
      <c r="B46" s="12"/>
      <c r="C46" s="12"/>
      <c r="D46" s="12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0" s="8" customFormat="1" x14ac:dyDescent="0.25">
      <c r="A47" s="26"/>
      <c r="B47" s="12"/>
      <c r="C47" s="12"/>
      <c r="D47" s="12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9"/>
    </row>
    <row r="48" spans="1:20" s="8" customFormat="1" x14ac:dyDescent="0.25">
      <c r="A48" s="26"/>
      <c r="B48" s="12"/>
      <c r="C48" s="12"/>
      <c r="D48" s="12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spans="1:20" s="8" customFormat="1" x14ac:dyDescent="0.25">
      <c r="A49" s="26"/>
      <c r="B49" s="12"/>
      <c r="C49" s="12"/>
      <c r="D49" s="12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spans="1:20" s="8" customFormat="1" x14ac:dyDescent="0.25">
      <c r="A50" s="26"/>
      <c r="B50" s="12"/>
      <c r="C50" s="12"/>
      <c r="D50" s="12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spans="1:20" s="8" customFormat="1" x14ac:dyDescent="0.25">
      <c r="A51" s="26"/>
      <c r="B51" s="12"/>
      <c r="C51" s="12"/>
      <c r="D51" s="12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spans="1:20" s="8" customFormat="1" x14ac:dyDescent="0.25">
      <c r="A52" s="26"/>
      <c r="B52" s="12"/>
      <c r="C52" s="12"/>
      <c r="D52" s="12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s="8" customFormat="1" x14ac:dyDescent="0.25">
      <c r="A53" s="1"/>
      <c r="B53" s="3"/>
      <c r="C53" s="3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26"/>
    </row>
    <row r="54" spans="1:20" s="8" customFormat="1" x14ac:dyDescent="0.25">
      <c r="A54" s="1"/>
      <c r="B54" s="3"/>
      <c r="C54" s="3"/>
      <c r="D54" s="3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s="8" customFormat="1" x14ac:dyDescent="0.25">
      <c r="A55" s="1"/>
      <c r="B55" s="3"/>
      <c r="C55" s="3"/>
      <c r="D55" s="3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</row>
  </sheetData>
  <mergeCells count="1">
    <mergeCell ref="A2:T2"/>
  </mergeCells>
  <conditionalFormatting sqref="A1:A1048576">
    <cfRule type="duplicateValues" dxfId="5" priority="4"/>
    <cfRule type="duplicateValues" dxfId="4" priority="5"/>
  </conditionalFormatting>
  <conditionalFormatting sqref="B1:B1048576">
    <cfRule type="duplicateValues" dxfId="3" priority="6"/>
  </conditionalFormatting>
  <conditionalFormatting sqref="B33:C3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{B29F527D-DCB8-4414-A556-DEAA5B847E96}</x14:id>
        </ext>
      </extLst>
    </cfRule>
  </conditionalFormatting>
  <conditionalFormatting sqref="H33:J34 F33:G3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{E8C6A6E7-95F7-4196-A167-CCB2FF117E15}</x14:id>
        </ext>
      </extLst>
    </cfRule>
  </conditionalFormatting>
  <conditionalFormatting sqref="R33:S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{D265EF64-855A-4791-A3AE-BE432AD0BCCD}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9F527D-DCB8-4414-A556-DEAA5B847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B33:C36</xm:sqref>
        </x14:conditionalFormatting>
        <x14:conditionalFormatting xmlns:xm="http://schemas.microsoft.com/office/excel/2006/main">
          <x14:cfRule type="dataBar" id="{E8C6A6E7-95F7-4196-A167-CCB2FF117E15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H33:J34 F33:G36</xm:sqref>
        </x14:conditionalFormatting>
        <x14:conditionalFormatting xmlns:xm="http://schemas.microsoft.com/office/excel/2006/main">
          <x14:cfRule type="dataBar" id="{D265EF64-855A-4791-A3AE-BE432AD0B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R33:S35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46D6-D8D7-4993-AAA2-2A09A402D72C}">
  <sheetPr>
    <pageSetUpPr fitToPage="1"/>
  </sheetPr>
  <dimension ref="A1:BF247"/>
  <sheetViews>
    <sheetView zoomScaleNormal="100" workbookViewId="0">
      <selection activeCell="K8" sqref="K8"/>
    </sheetView>
  </sheetViews>
  <sheetFormatPr defaultColWidth="9.140625" defaultRowHeight="15" x14ac:dyDescent="0.25"/>
  <cols>
    <col min="1" max="1" width="7.28515625" style="1" bestFit="1" customWidth="1"/>
    <col min="2" max="2" width="33.140625" style="3" bestFit="1" customWidth="1"/>
    <col min="3" max="3" width="16.140625" style="3" bestFit="1" customWidth="1"/>
    <col min="4" max="4" width="26.28515625" style="3" bestFit="1" customWidth="1"/>
    <col min="5" max="5" width="10.42578125" style="1" customWidth="1"/>
    <col min="6" max="6" width="13.42578125" style="1" customWidth="1"/>
    <col min="7" max="7" width="9.140625" style="1" customWidth="1"/>
    <col min="8" max="8" width="3.5703125" style="1" customWidth="1"/>
    <col min="9" max="9" width="2.28515625" style="1" customWidth="1"/>
    <col min="10" max="10" width="11.140625" style="1" customWidth="1"/>
    <col min="11" max="11" width="9.42578125" style="1" customWidth="1"/>
    <col min="12" max="12" width="8" style="1" bestFit="1" customWidth="1"/>
    <col min="13" max="13" width="12.28515625" style="1" customWidth="1"/>
    <col min="14" max="15" width="11.140625" style="1" hidden="1" customWidth="1"/>
    <col min="16" max="16" width="15.7109375" style="1" hidden="1" customWidth="1"/>
    <col min="17" max="17" width="14.140625" style="1" customWidth="1"/>
    <col min="18" max="18" width="13.7109375" style="1" customWidth="1"/>
    <col min="19" max="19" width="15.28515625" style="1" customWidth="1"/>
    <col min="20" max="20" width="4.140625" style="1" customWidth="1"/>
    <col min="21" max="58" width="8.7109375" style="8" customWidth="1"/>
    <col min="59" max="233" width="8.7109375" style="7" customWidth="1"/>
    <col min="234" max="16384" width="9.140625" style="7"/>
  </cols>
  <sheetData>
    <row r="1" spans="1:58" s="1" customFormat="1" ht="188.1" customHeight="1" x14ac:dyDescent="0.25">
      <c r="B1" s="3"/>
      <c r="C1" s="3"/>
      <c r="D1" s="3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58" s="1" customFormat="1" ht="38.450000000000003" customHeight="1" x14ac:dyDescent="0.25">
      <c r="A2" s="69" t="s">
        <v>4216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8" s="1" customFormat="1" ht="36" x14ac:dyDescent="0.25">
      <c r="A3" s="2" t="s">
        <v>0</v>
      </c>
      <c r="B3" s="2" t="s">
        <v>1</v>
      </c>
      <c r="C3" s="2" t="s">
        <v>22</v>
      </c>
      <c r="D3" s="2" t="s">
        <v>21</v>
      </c>
      <c r="E3" s="2" t="s">
        <v>23</v>
      </c>
      <c r="F3" s="42" t="s">
        <v>2</v>
      </c>
      <c r="G3" s="2" t="s">
        <v>3</v>
      </c>
      <c r="H3" s="2" t="s">
        <v>4</v>
      </c>
      <c r="I3" s="2" t="s">
        <v>1020</v>
      </c>
      <c r="J3" s="2" t="s">
        <v>5</v>
      </c>
      <c r="K3" s="2" t="s">
        <v>6</v>
      </c>
      <c r="L3" s="2" t="s">
        <v>16</v>
      </c>
      <c r="M3" s="2" t="s">
        <v>18</v>
      </c>
      <c r="N3" s="11" t="s">
        <v>19</v>
      </c>
      <c r="O3" s="11" t="s">
        <v>20</v>
      </c>
      <c r="P3" s="2" t="s">
        <v>7</v>
      </c>
      <c r="Q3" s="2" t="s">
        <v>8</v>
      </c>
      <c r="R3" s="2" t="s">
        <v>9</v>
      </c>
      <c r="S3" s="10" t="s">
        <v>10</v>
      </c>
      <c r="T3" s="9" t="s">
        <v>17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spans="1:58" s="26" customFormat="1" x14ac:dyDescent="0.25">
      <c r="A4" s="16">
        <v>218861</v>
      </c>
      <c r="B4" s="30" t="s">
        <v>521</v>
      </c>
      <c r="C4" s="20" t="s">
        <v>647</v>
      </c>
      <c r="D4" s="20" t="s">
        <v>723</v>
      </c>
      <c r="E4" s="20" t="s">
        <v>3744</v>
      </c>
      <c r="F4" s="20" t="s">
        <v>3745</v>
      </c>
      <c r="G4" s="21">
        <v>18.8</v>
      </c>
      <c r="H4" s="16">
        <v>26</v>
      </c>
      <c r="I4" s="16"/>
      <c r="J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4" s="22"/>
      <c r="L4" s="23"/>
      <c r="M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4" s="19">
        <f>Tabela17468101214223032268161925273133362421012141618242628303840248101214162022262830323436242681012142461012242624426262826268102628623668101214161820222424262830323438404244464850[[#This Row],[Total Acumulado]]-P4</f>
        <v>-94</v>
      </c>
      <c r="P4" s="48">
        <f>Tabela17468101214223032268161925273133362421012141618242628303840248101214162022262830323436242681012142461012242624426262826268102628623668101214161820222424262830323438404244464850[[#This Row],[Uso diário]]*5</f>
        <v>94</v>
      </c>
      <c r="Q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" s="25">
        <v>26</v>
      </c>
    </row>
    <row r="5" spans="1:58" s="26" customFormat="1" x14ac:dyDescent="0.25">
      <c r="A5" s="16">
        <v>222089</v>
      </c>
      <c r="B5" s="30" t="s">
        <v>522</v>
      </c>
      <c r="C5" s="20" t="s">
        <v>647</v>
      </c>
      <c r="D5" s="20" t="s">
        <v>720</v>
      </c>
      <c r="E5" s="20" t="s">
        <v>3746</v>
      </c>
      <c r="F5" s="20" t="s">
        <v>3747</v>
      </c>
      <c r="G5" s="21">
        <v>13.7</v>
      </c>
      <c r="H5" s="16">
        <v>26</v>
      </c>
      <c r="I5" s="16"/>
      <c r="J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356.2</v>
      </c>
      <c r="K5" s="22"/>
      <c r="L5" s="23"/>
      <c r="M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" s="19">
        <f>Tabela17468101214223032268161925273133362421012141618242628303840248101214162022262830323436242681012142461012242624426262826268102628623668101214161820222424262830323438404244464850[[#This Row],[Uso diário]]*2</f>
        <v>27.4</v>
      </c>
      <c r="O5" s="19">
        <f>Tabela17468101214223032268161925273133362421012141618242628303840248101214162022262830323436242681012142461012242624426262826268102628623668101214161820222424262830323438404244464850[[#This Row],[Total Acumulado]]-P5</f>
        <v>-68.5</v>
      </c>
      <c r="P5" s="48">
        <f>Tabela17468101214223032268161925273133362421012141618242628303840248101214162022262830323436242681012142461012242624426262826268102628623668101214161820222424262830323438404244464850[[#This Row],[Uso diário]]*5</f>
        <v>68.5</v>
      </c>
      <c r="Q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356.2</v>
      </c>
      <c r="S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" s="25">
        <v>26</v>
      </c>
    </row>
    <row r="6" spans="1:58" s="26" customFormat="1" x14ac:dyDescent="0.25">
      <c r="A6" s="16">
        <v>222739</v>
      </c>
      <c r="B6" s="30" t="s">
        <v>523</v>
      </c>
      <c r="C6" s="20" t="s">
        <v>647</v>
      </c>
      <c r="D6" s="20" t="s">
        <v>720</v>
      </c>
      <c r="E6" s="20" t="s">
        <v>3748</v>
      </c>
      <c r="F6" s="20" t="s">
        <v>3749</v>
      </c>
      <c r="G6" s="21">
        <v>13.4</v>
      </c>
      <c r="H6" s="16">
        <v>26</v>
      </c>
      <c r="I6" s="16">
        <v>1</v>
      </c>
      <c r="J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6" s="22"/>
      <c r="L6" s="23"/>
      <c r="M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" s="19">
        <f>Tabela17468101214223032268161925273133362421012141618242628303840248101214162022262830323436242681012142461012242624426262826268102628623668101214161820222424262830323438404244464850[[#This Row],[Total Acumulado]]-P6</f>
        <v>-67</v>
      </c>
      <c r="P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" s="25">
        <v>26</v>
      </c>
    </row>
    <row r="7" spans="1:58" s="26" customFormat="1" x14ac:dyDescent="0.25">
      <c r="A7" s="16">
        <v>228082</v>
      </c>
      <c r="B7" s="30" t="s">
        <v>1240</v>
      </c>
      <c r="C7" s="20" t="s">
        <v>647</v>
      </c>
      <c r="D7" s="20" t="s">
        <v>720</v>
      </c>
      <c r="E7" s="20" t="s">
        <v>3750</v>
      </c>
      <c r="F7" s="20" t="s">
        <v>3751</v>
      </c>
      <c r="G7" s="21">
        <v>18.8</v>
      </c>
      <c r="H7" s="16">
        <v>26</v>
      </c>
      <c r="I7" s="16"/>
      <c r="J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7" s="22"/>
      <c r="L7" s="23"/>
      <c r="M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7" s="19">
        <f>Tabela17468101214223032268161925273133362421012141618242628303840248101214162022262830323436242681012142461012242624426262826268102628623668101214161820222424262830323438404244464850[[#This Row],[Total Acumulado]]-P7</f>
        <v>-94</v>
      </c>
      <c r="P7" s="48">
        <f>Tabela17468101214223032268161925273133362421012141618242628303840248101214162022262830323436242681012142461012242624426262826268102628623668101214161820222424262830323438404244464850[[#This Row],[Uso diário]]*5</f>
        <v>94</v>
      </c>
      <c r="Q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" s="25">
        <v>26</v>
      </c>
    </row>
    <row r="8" spans="1:58" s="26" customFormat="1" x14ac:dyDescent="0.25">
      <c r="A8" s="16">
        <v>230686</v>
      </c>
      <c r="B8" s="30" t="s">
        <v>524</v>
      </c>
      <c r="C8" s="20" t="s">
        <v>647</v>
      </c>
      <c r="D8" s="20" t="s">
        <v>721</v>
      </c>
      <c r="E8" s="20" t="s">
        <v>3752</v>
      </c>
      <c r="F8" s="20" t="s">
        <v>3753</v>
      </c>
      <c r="G8" s="21">
        <v>13.4</v>
      </c>
      <c r="H8" s="16">
        <v>26</v>
      </c>
      <c r="I8" s="16"/>
      <c r="J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8" s="22"/>
      <c r="L8" s="23"/>
      <c r="M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" s="19">
        <f>Tabela17468101214223032268161925273133362421012141618242628303840248101214162022262830323436242681012142461012242624426262826268102628623668101214161820222424262830323438404244464850[[#This Row],[Total Acumulado]]-P8</f>
        <v>-67</v>
      </c>
      <c r="P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" s="25">
        <v>26</v>
      </c>
    </row>
    <row r="9" spans="1:58" s="26" customFormat="1" x14ac:dyDescent="0.25">
      <c r="A9" s="16">
        <v>230688</v>
      </c>
      <c r="B9" s="30" t="s">
        <v>525</v>
      </c>
      <c r="C9" s="20" t="s">
        <v>647</v>
      </c>
      <c r="D9" s="20" t="s">
        <v>721</v>
      </c>
      <c r="E9" s="20" t="s">
        <v>3754</v>
      </c>
      <c r="F9" s="20" t="s">
        <v>3755</v>
      </c>
      <c r="G9" s="21">
        <v>13.4</v>
      </c>
      <c r="H9" s="16">
        <v>26</v>
      </c>
      <c r="I9" s="16">
        <v>7</v>
      </c>
      <c r="J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254.6</v>
      </c>
      <c r="K9" s="22"/>
      <c r="L9" s="23"/>
      <c r="M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" s="19">
        <f>Tabela17468101214223032268161925273133362421012141618242628303840248101214162022262830323436242681012142461012242624426262826268102628623668101214161820222424262830323438404244464850[[#This Row],[Total Acumulado]]-P9</f>
        <v>-67</v>
      </c>
      <c r="P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254.6</v>
      </c>
      <c r="S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" s="25">
        <v>26</v>
      </c>
    </row>
    <row r="10" spans="1:58" s="26" customFormat="1" x14ac:dyDescent="0.25">
      <c r="A10" s="16">
        <v>230699</v>
      </c>
      <c r="B10" s="30" t="s">
        <v>526</v>
      </c>
      <c r="C10" s="20" t="s">
        <v>647</v>
      </c>
      <c r="D10" s="20" t="s">
        <v>721</v>
      </c>
      <c r="E10" s="20" t="s">
        <v>3756</v>
      </c>
      <c r="F10" s="20" t="s">
        <v>3757</v>
      </c>
      <c r="G10" s="21">
        <v>13.4</v>
      </c>
      <c r="H10" s="16">
        <v>26</v>
      </c>
      <c r="I10" s="16"/>
      <c r="J1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0" s="22"/>
      <c r="L10" s="23"/>
      <c r="M1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" s="19">
        <f>Tabela17468101214223032268161925273133362421012141618242628303840248101214162022262830323436242681012142461012242624426262826268102628623668101214161820222424262830323438404244464850[[#This Row],[Total Acumulado]]-P10</f>
        <v>-67</v>
      </c>
      <c r="P1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" s="25">
        <v>26</v>
      </c>
    </row>
    <row r="11" spans="1:58" s="26" customFormat="1" x14ac:dyDescent="0.25">
      <c r="A11" s="16">
        <v>230702</v>
      </c>
      <c r="B11" s="30" t="s">
        <v>1516</v>
      </c>
      <c r="C11" s="20" t="s">
        <v>647</v>
      </c>
      <c r="D11" s="20" t="s">
        <v>721</v>
      </c>
      <c r="E11" s="20" t="s">
        <v>3758</v>
      </c>
      <c r="F11" s="20" t="s">
        <v>3759</v>
      </c>
      <c r="G11" s="21">
        <v>13.4</v>
      </c>
      <c r="H11" s="16">
        <v>26</v>
      </c>
      <c r="I11" s="16"/>
      <c r="J1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1" s="22"/>
      <c r="L11" s="23"/>
      <c r="M1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1" s="19">
        <f>Tabela17468101214223032268161925273133362421012141618242628303840248101214162022262830323436242681012142461012242624426262826268102628623668101214161820222424262830323438404244464850[[#This Row],[Total Acumulado]]-P11</f>
        <v>-67</v>
      </c>
      <c r="P1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" s="25">
        <v>26</v>
      </c>
    </row>
    <row r="12" spans="1:58" s="26" customFormat="1" x14ac:dyDescent="0.25">
      <c r="A12" s="16">
        <v>230713</v>
      </c>
      <c r="B12" s="30" t="s">
        <v>527</v>
      </c>
      <c r="C12" s="20" t="s">
        <v>647</v>
      </c>
      <c r="D12" s="20" t="s">
        <v>720</v>
      </c>
      <c r="E12" s="20" t="s">
        <v>3760</v>
      </c>
      <c r="F12" s="20" t="s">
        <v>3761</v>
      </c>
      <c r="G12" s="21">
        <v>13.4</v>
      </c>
      <c r="H12" s="16">
        <v>26</v>
      </c>
      <c r="I12" s="16"/>
      <c r="J1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2" s="22"/>
      <c r="L12" s="23"/>
      <c r="M1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" s="19">
        <f>Tabela17468101214223032268161925273133362421012141618242628303840248101214162022262830323436242681012142461012242624426262826268102628623668101214161820222424262830323438404244464850[[#This Row],[Total Acumulado]]-P12</f>
        <v>-67</v>
      </c>
      <c r="P1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" s="25">
        <v>26</v>
      </c>
    </row>
    <row r="13" spans="1:58" s="26" customFormat="1" x14ac:dyDescent="0.25">
      <c r="A13" s="16">
        <v>230904</v>
      </c>
      <c r="B13" s="30" t="s">
        <v>528</v>
      </c>
      <c r="C13" s="20" t="s">
        <v>647</v>
      </c>
      <c r="D13" s="20" t="s">
        <v>720</v>
      </c>
      <c r="E13" s="20" t="s">
        <v>3762</v>
      </c>
      <c r="F13" s="20" t="s">
        <v>3763</v>
      </c>
      <c r="G13" s="21">
        <v>18.8</v>
      </c>
      <c r="H13" s="16">
        <v>26</v>
      </c>
      <c r="I13" s="16"/>
      <c r="J1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3" s="22"/>
      <c r="L13" s="23"/>
      <c r="M1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3" s="19">
        <f>Tabela17468101214223032268161925273133362421012141618242628303840248101214162022262830323436242681012142461012242624426262826268102628623668101214161820222424262830323438404244464850[[#This Row],[Total Acumulado]]-P13</f>
        <v>-94</v>
      </c>
      <c r="P13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" s="25">
        <v>26</v>
      </c>
    </row>
    <row r="14" spans="1:58" s="26" customFormat="1" x14ac:dyDescent="0.25">
      <c r="A14" s="16">
        <v>230911</v>
      </c>
      <c r="B14" s="30" t="s">
        <v>530</v>
      </c>
      <c r="C14" s="20" t="s">
        <v>647</v>
      </c>
      <c r="D14" s="20" t="s">
        <v>721</v>
      </c>
      <c r="E14" s="20" t="s">
        <v>3764</v>
      </c>
      <c r="F14" s="20" t="s">
        <v>3765</v>
      </c>
      <c r="G14" s="21">
        <v>13.4</v>
      </c>
      <c r="H14" s="16">
        <v>26</v>
      </c>
      <c r="I14" s="16"/>
      <c r="J1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" s="22"/>
      <c r="L14" s="23"/>
      <c r="M1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" s="19">
        <f>Tabela17468101214223032268161925273133362421012141618242628303840248101214162022262830323436242681012142461012242624426262826268102628623668101214161820222424262830323438404244464850[[#This Row],[Total Acumulado]]-P14</f>
        <v>-67</v>
      </c>
      <c r="P1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" s="25">
        <v>26</v>
      </c>
    </row>
    <row r="15" spans="1:58" s="26" customFormat="1" x14ac:dyDescent="0.25">
      <c r="A15" s="16">
        <v>230912</v>
      </c>
      <c r="B15" s="30" t="s">
        <v>531</v>
      </c>
      <c r="C15" s="20" t="s">
        <v>647</v>
      </c>
      <c r="D15" s="20" t="s">
        <v>720</v>
      </c>
      <c r="E15" s="20" t="s">
        <v>3766</v>
      </c>
      <c r="F15" s="20" t="s">
        <v>3767</v>
      </c>
      <c r="G15" s="21">
        <v>13.4</v>
      </c>
      <c r="H15" s="16">
        <v>26</v>
      </c>
      <c r="I15" s="16"/>
      <c r="J1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5" s="22"/>
      <c r="L15" s="23"/>
      <c r="M1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" s="19">
        <f>Tabela17468101214223032268161925273133362421012141618242628303840248101214162022262830323436242681012142461012242624426262826268102628623668101214161820222424262830323438404244464850[[#This Row],[Total Acumulado]]-P15</f>
        <v>-67</v>
      </c>
      <c r="P1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" s="25">
        <v>26</v>
      </c>
    </row>
    <row r="16" spans="1:58" s="26" customFormat="1" x14ac:dyDescent="0.25">
      <c r="A16" s="16">
        <v>230914</v>
      </c>
      <c r="B16" s="30" t="s">
        <v>532</v>
      </c>
      <c r="C16" s="20" t="s">
        <v>647</v>
      </c>
      <c r="D16" s="20" t="s">
        <v>720</v>
      </c>
      <c r="E16" s="20" t="s">
        <v>3768</v>
      </c>
      <c r="F16" s="20" t="s">
        <v>3769</v>
      </c>
      <c r="G16" s="21">
        <v>13.4</v>
      </c>
      <c r="H16" s="16">
        <v>26</v>
      </c>
      <c r="I16" s="16"/>
      <c r="J1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" s="22"/>
      <c r="L16" s="23"/>
      <c r="M1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" s="19">
        <f>Tabela17468101214223032268161925273133362421012141618242628303840248101214162022262830323436242681012142461012242624426262826268102628623668101214161820222424262830323438404244464850[[#This Row],[Total Acumulado]]-P16</f>
        <v>-67</v>
      </c>
      <c r="P1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" s="25">
        <v>26</v>
      </c>
    </row>
    <row r="17" spans="1:20" s="26" customFormat="1" x14ac:dyDescent="0.25">
      <c r="A17" s="16">
        <v>232843</v>
      </c>
      <c r="B17" s="30" t="s">
        <v>1383</v>
      </c>
      <c r="C17" s="20" t="s">
        <v>647</v>
      </c>
      <c r="D17" s="20" t="s">
        <v>721</v>
      </c>
      <c r="E17" s="20" t="s">
        <v>3770</v>
      </c>
      <c r="F17" s="20" t="s">
        <v>3771</v>
      </c>
      <c r="G17" s="21">
        <v>13.4</v>
      </c>
      <c r="H17" s="16">
        <v>26</v>
      </c>
      <c r="I17" s="16">
        <v>3</v>
      </c>
      <c r="J1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308.2</v>
      </c>
      <c r="K17" s="22"/>
      <c r="L17" s="23"/>
      <c r="M1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" s="19">
        <f>Tabela17468101214223032268161925273133362421012141618242628303840248101214162022262830323436242681012142461012242624426262826268102628623668101214161820222424262830323438404244464850[[#This Row],[Total Acumulado]]-P17</f>
        <v>-67</v>
      </c>
      <c r="P1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308.2</v>
      </c>
      <c r="S1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" s="25">
        <v>26</v>
      </c>
    </row>
    <row r="18" spans="1:20" s="26" customFormat="1" x14ac:dyDescent="0.25">
      <c r="A18" s="16">
        <v>232869</v>
      </c>
      <c r="B18" s="30" t="s">
        <v>949</v>
      </c>
      <c r="C18" s="20" t="s">
        <v>647</v>
      </c>
      <c r="D18" s="20" t="s">
        <v>724</v>
      </c>
      <c r="E18" s="20" t="s">
        <v>3772</v>
      </c>
      <c r="F18" s="20" t="s">
        <v>3773</v>
      </c>
      <c r="G18" s="21">
        <v>13.4</v>
      </c>
      <c r="H18" s="16">
        <v>26</v>
      </c>
      <c r="I18" s="16"/>
      <c r="J1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8" s="22"/>
      <c r="L18" s="23"/>
      <c r="M1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" s="19">
        <f>Tabela17468101214223032268161925273133362421012141618242628303840248101214162022262830323436242681012142461012242624426262826268102628623668101214161820222424262830323438404244464850[[#This Row],[Total Acumulado]]-P18</f>
        <v>-67</v>
      </c>
      <c r="P1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" s="25">
        <v>26</v>
      </c>
    </row>
    <row r="19" spans="1:20" s="26" customFormat="1" x14ac:dyDescent="0.25">
      <c r="A19" s="16">
        <v>233379</v>
      </c>
      <c r="B19" s="30" t="s">
        <v>1108</v>
      </c>
      <c r="C19" s="20" t="s">
        <v>647</v>
      </c>
      <c r="D19" s="20" t="s">
        <v>721</v>
      </c>
      <c r="E19" s="20" t="s">
        <v>3774</v>
      </c>
      <c r="F19" s="20" t="s">
        <v>3775</v>
      </c>
      <c r="G19" s="21">
        <v>13.4</v>
      </c>
      <c r="H19" s="16">
        <v>26</v>
      </c>
      <c r="I19" s="16"/>
      <c r="J1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9" s="22"/>
      <c r="L19" s="23"/>
      <c r="M1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" s="19">
        <f>Tabela17468101214223032268161925273133362421012141618242628303840248101214162022262830323436242681012142461012242624426262826268102628623668101214161820222424262830323438404244464850[[#This Row],[Total Acumulado]]-P19</f>
        <v>-67</v>
      </c>
      <c r="P1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" s="25">
        <v>26</v>
      </c>
    </row>
    <row r="20" spans="1:20" s="26" customFormat="1" x14ac:dyDescent="0.25">
      <c r="A20" s="16">
        <v>212136</v>
      </c>
      <c r="B20" s="30" t="s">
        <v>533</v>
      </c>
      <c r="C20" s="20" t="s">
        <v>629</v>
      </c>
      <c r="D20" s="20" t="s">
        <v>682</v>
      </c>
      <c r="E20" s="20" t="s">
        <v>3776</v>
      </c>
      <c r="F20" s="20" t="s">
        <v>3777</v>
      </c>
      <c r="G20" s="21">
        <v>13.4</v>
      </c>
      <c r="H20" s="16">
        <v>26</v>
      </c>
      <c r="I20" s="16"/>
      <c r="J2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0" s="22"/>
      <c r="L20" s="23"/>
      <c r="M2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" s="19">
        <f>Tabela17468101214223032268161925273133362421012141618242628303840248101214162022262830323436242681012142461012242624426262826268102628623668101214161820222424262830323438404244464850[[#This Row],[Total Acumulado]]-P20</f>
        <v>-67</v>
      </c>
      <c r="P2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" s="25">
        <v>26</v>
      </c>
    </row>
    <row r="21" spans="1:20" s="26" customFormat="1" x14ac:dyDescent="0.25">
      <c r="A21" s="16">
        <v>222035</v>
      </c>
      <c r="B21" s="30" t="s">
        <v>534</v>
      </c>
      <c r="C21" s="20" t="s">
        <v>630</v>
      </c>
      <c r="D21" s="20" t="s">
        <v>736</v>
      </c>
      <c r="E21" s="20" t="s">
        <v>3778</v>
      </c>
      <c r="F21" s="20" t="s">
        <v>3779</v>
      </c>
      <c r="G21" s="21">
        <v>18.8</v>
      </c>
      <c r="H21" s="16">
        <v>22</v>
      </c>
      <c r="I21" s="16">
        <v>1</v>
      </c>
      <c r="J2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394.8</v>
      </c>
      <c r="K21" s="22"/>
      <c r="L21" s="23"/>
      <c r="M2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21" s="19">
        <f>Tabela17468101214223032268161925273133362421012141618242628303840248101214162022262830323436242681012142461012242624426262826268102628623668101214161820222424262830323438404244464850[[#This Row],[Total Acumulado]]-P21</f>
        <v>-94</v>
      </c>
      <c r="P21" s="48">
        <f>Tabela17468101214223032268161925273133362421012141618242628303840248101214162022262830323436242681012142461012242624426262826268102628623668101214161820222424262830323438404244464850[[#This Row],[Uso diário]]*5</f>
        <v>94</v>
      </c>
      <c r="Q2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394.8</v>
      </c>
      <c r="S2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" s="25">
        <v>26</v>
      </c>
    </row>
    <row r="22" spans="1:20" s="26" customFormat="1" x14ac:dyDescent="0.25">
      <c r="A22" s="16">
        <v>219538</v>
      </c>
      <c r="B22" s="30" t="s">
        <v>535</v>
      </c>
      <c r="C22" s="20" t="s">
        <v>648</v>
      </c>
      <c r="D22" s="20" t="s">
        <v>737</v>
      </c>
      <c r="E22" s="20" t="s">
        <v>3780</v>
      </c>
      <c r="F22" s="20" t="s">
        <v>3781</v>
      </c>
      <c r="G22" s="21">
        <v>18.8</v>
      </c>
      <c r="H22" s="16">
        <v>26</v>
      </c>
      <c r="I22" s="16">
        <v>3</v>
      </c>
      <c r="J2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432.40000000000003</v>
      </c>
      <c r="K22" s="22"/>
      <c r="L22" s="23"/>
      <c r="M2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2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22" s="19">
        <f>Tabela17468101214223032268161925273133362421012141618242628303840248101214162022262830323436242681012142461012242624426262826268102628623668101214161820222424262830323438404244464850[[#This Row],[Total Acumulado]]-P22</f>
        <v>-94</v>
      </c>
      <c r="P22" s="48">
        <f>Tabela17468101214223032268161925273133362421012141618242628303840248101214162022262830323436242681012142461012242624426262826268102628623668101214161820222424262830323438404244464850[[#This Row],[Uso diário]]*5</f>
        <v>94</v>
      </c>
      <c r="Q2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432.40000000000003</v>
      </c>
      <c r="S2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2" s="25">
        <v>26</v>
      </c>
    </row>
    <row r="23" spans="1:20" s="26" customFormat="1" x14ac:dyDescent="0.25">
      <c r="A23" s="16">
        <v>222709</v>
      </c>
      <c r="B23" s="30" t="s">
        <v>536</v>
      </c>
      <c r="C23" s="20" t="s">
        <v>648</v>
      </c>
      <c r="D23" s="20" t="s">
        <v>718</v>
      </c>
      <c r="E23" s="20" t="s">
        <v>3782</v>
      </c>
      <c r="F23" s="20" t="s">
        <v>3783</v>
      </c>
      <c r="G23" s="21">
        <v>13.4</v>
      </c>
      <c r="H23" s="16">
        <v>26</v>
      </c>
      <c r="I23" s="16"/>
      <c r="J2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3" s="22"/>
      <c r="L23" s="23"/>
      <c r="M2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3" s="19">
        <f>Tabela17468101214223032268161925273133362421012141618242628303840248101214162022262830323436242681012142461012242624426262826268102628623668101214161820222424262830323438404244464850[[#This Row],[Total Acumulado]]-P23</f>
        <v>-67</v>
      </c>
      <c r="P2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3" s="25">
        <v>26</v>
      </c>
    </row>
    <row r="24" spans="1:20" s="26" customFormat="1" x14ac:dyDescent="0.25">
      <c r="A24" s="16">
        <v>230849</v>
      </c>
      <c r="B24" s="30" t="s">
        <v>537</v>
      </c>
      <c r="C24" s="20" t="s">
        <v>648</v>
      </c>
      <c r="D24" s="20" t="s">
        <v>718</v>
      </c>
      <c r="E24" s="20" t="s">
        <v>3784</v>
      </c>
      <c r="F24" s="20" t="s">
        <v>3785</v>
      </c>
      <c r="G24" s="21">
        <v>13.4</v>
      </c>
      <c r="H24" s="16">
        <v>26</v>
      </c>
      <c r="I24" s="16"/>
      <c r="J2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4" s="22"/>
      <c r="L24" s="23"/>
      <c r="M2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4" s="19">
        <f>Tabela17468101214223032268161925273133362421012141618242628303840248101214162022262830323436242681012142461012242624426262826268102628623668101214161820222424262830323438404244464850[[#This Row],[Total Acumulado]]-P24</f>
        <v>-67</v>
      </c>
      <c r="P2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4" s="25">
        <v>26</v>
      </c>
    </row>
    <row r="25" spans="1:20" s="26" customFormat="1" x14ac:dyDescent="0.25">
      <c r="A25" s="16">
        <v>230851</v>
      </c>
      <c r="B25" s="30" t="s">
        <v>1517</v>
      </c>
      <c r="C25" s="20" t="s">
        <v>648</v>
      </c>
      <c r="D25" s="20" t="s">
        <v>718</v>
      </c>
      <c r="E25" s="20" t="s">
        <v>3786</v>
      </c>
      <c r="F25" s="20" t="s">
        <v>3787</v>
      </c>
      <c r="G25" s="21">
        <v>13.4</v>
      </c>
      <c r="H25" s="16">
        <v>26</v>
      </c>
      <c r="I25" s="16"/>
      <c r="J2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5" s="22"/>
      <c r="L25" s="23"/>
      <c r="M2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5" s="19">
        <f>Tabela17468101214223032268161925273133362421012141618242628303840248101214162022262830323436242681012142461012242624426262826268102628623668101214161820222424262830323438404244464850[[#This Row],[Total Acumulado]]-P25</f>
        <v>-67</v>
      </c>
      <c r="P2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5" s="25">
        <v>26</v>
      </c>
    </row>
    <row r="26" spans="1:20" s="26" customFormat="1" x14ac:dyDescent="0.25">
      <c r="A26" s="16">
        <v>233519</v>
      </c>
      <c r="B26" s="30" t="s">
        <v>1109</v>
      </c>
      <c r="C26" s="20" t="s">
        <v>648</v>
      </c>
      <c r="D26" s="20" t="s">
        <v>718</v>
      </c>
      <c r="E26" s="20" t="s">
        <v>3788</v>
      </c>
      <c r="F26" s="20" t="s">
        <v>3789</v>
      </c>
      <c r="G26" s="21">
        <v>13.4</v>
      </c>
      <c r="H26" s="16">
        <v>26</v>
      </c>
      <c r="I26" s="16"/>
      <c r="J2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6" s="22"/>
      <c r="L26" s="23"/>
      <c r="M2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6" s="19">
        <f>Tabela17468101214223032268161925273133362421012141618242628303840248101214162022262830323436242681012142461012242624426262826268102628623668101214161820222424262830323438404244464850[[#This Row],[Total Acumulado]]-P26</f>
        <v>-67</v>
      </c>
      <c r="P2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6" s="25">
        <v>26</v>
      </c>
    </row>
    <row r="27" spans="1:20" s="26" customFormat="1" x14ac:dyDescent="0.25">
      <c r="A27" s="16">
        <v>233876</v>
      </c>
      <c r="B27" s="30" t="s">
        <v>1110</v>
      </c>
      <c r="C27" s="20" t="s">
        <v>648</v>
      </c>
      <c r="D27" s="20" t="s">
        <v>718</v>
      </c>
      <c r="E27" s="20" t="s">
        <v>3790</v>
      </c>
      <c r="F27" s="20" t="s">
        <v>3791</v>
      </c>
      <c r="G27" s="21">
        <v>13.4</v>
      </c>
      <c r="H27" s="16">
        <v>26</v>
      </c>
      <c r="I27" s="16"/>
      <c r="J2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7" s="22"/>
      <c r="L27" s="23"/>
      <c r="M2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7" s="19">
        <f>Tabela17468101214223032268161925273133362421012141618242628303840248101214162022262830323436242681012142461012242624426262826268102628623668101214161820222424262830323438404244464850[[#This Row],[Total Acumulado]]-P27</f>
        <v>-67</v>
      </c>
      <c r="P2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7" s="25">
        <v>26</v>
      </c>
    </row>
    <row r="28" spans="1:20" s="26" customFormat="1" x14ac:dyDescent="0.25">
      <c r="A28" s="16">
        <v>219372</v>
      </c>
      <c r="B28" s="30" t="s">
        <v>1111</v>
      </c>
      <c r="C28" s="20" t="s">
        <v>649</v>
      </c>
      <c r="D28" s="20" t="s">
        <v>725</v>
      </c>
      <c r="E28" s="20" t="s">
        <v>3792</v>
      </c>
      <c r="F28" s="20" t="s">
        <v>3793</v>
      </c>
      <c r="G28" s="21">
        <v>18.8</v>
      </c>
      <c r="H28" s="16">
        <v>26</v>
      </c>
      <c r="I28" s="16">
        <v>1</v>
      </c>
      <c r="J2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470</v>
      </c>
      <c r="K28" s="22"/>
      <c r="L28" s="23"/>
      <c r="M2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8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28" s="19">
        <f>Tabela17468101214223032268161925273133362421012141618242628303840248101214162022262830323436242681012142461012242624426262826268102628623668101214161820222424262830323438404244464850[[#This Row],[Total Acumulado]]-P28</f>
        <v>-94</v>
      </c>
      <c r="P28" s="48">
        <f>Tabela17468101214223032268161925273133362421012141618242628303840248101214162022262830323436242681012142461012242624426262826268102628623668101214161820222424262830323438404244464850[[#This Row],[Uso diário]]*5</f>
        <v>94</v>
      </c>
      <c r="Q2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470</v>
      </c>
      <c r="S2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8" s="25">
        <v>26</v>
      </c>
    </row>
    <row r="29" spans="1:20" s="26" customFormat="1" x14ac:dyDescent="0.25">
      <c r="A29" s="16">
        <v>221301</v>
      </c>
      <c r="B29" s="30" t="s">
        <v>863</v>
      </c>
      <c r="C29" s="20" t="s">
        <v>649</v>
      </c>
      <c r="D29" s="20" t="s">
        <v>725</v>
      </c>
      <c r="E29" s="20" t="s">
        <v>3794</v>
      </c>
      <c r="F29" s="20" t="s">
        <v>3795</v>
      </c>
      <c r="G29" s="21">
        <v>13.4</v>
      </c>
      <c r="H29" s="16">
        <v>26</v>
      </c>
      <c r="I29" s="16"/>
      <c r="J2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9" s="22"/>
      <c r="L29" s="23"/>
      <c r="M2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9" s="19">
        <f>Tabela17468101214223032268161925273133362421012141618242628303840248101214162022262830323436242681012142461012242624426262826268102628623668101214161820222424262830323438404244464850[[#This Row],[Total Acumulado]]-P29</f>
        <v>-67</v>
      </c>
      <c r="P2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9" s="25">
        <v>26</v>
      </c>
    </row>
    <row r="30" spans="1:20" s="26" customFormat="1" x14ac:dyDescent="0.25">
      <c r="A30" s="16">
        <v>222237</v>
      </c>
      <c r="B30" s="30" t="s">
        <v>548</v>
      </c>
      <c r="C30" s="20" t="s">
        <v>649</v>
      </c>
      <c r="D30" s="20" t="s">
        <v>725</v>
      </c>
      <c r="E30" s="20" t="s">
        <v>3796</v>
      </c>
      <c r="F30" s="20" t="s">
        <v>3797</v>
      </c>
      <c r="G30" s="21">
        <v>13.4</v>
      </c>
      <c r="H30" s="16">
        <v>26</v>
      </c>
      <c r="I30" s="16"/>
      <c r="J3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30" s="22"/>
      <c r="L30" s="23"/>
      <c r="M3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0" s="19">
        <f>Tabela17468101214223032268161925273133362421012141618242628303840248101214162022262830323436242681012142461012242624426262826268102628623668101214161820222424262830323438404244464850[[#This Row],[Total Acumulado]]-P30</f>
        <v>-67</v>
      </c>
      <c r="P3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3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0" s="25">
        <v>26</v>
      </c>
    </row>
    <row r="31" spans="1:20" s="26" customFormat="1" x14ac:dyDescent="0.25">
      <c r="A31" s="16">
        <v>227085</v>
      </c>
      <c r="B31" s="30" t="s">
        <v>428</v>
      </c>
      <c r="C31" s="20" t="s">
        <v>649</v>
      </c>
      <c r="D31" s="20" t="s">
        <v>725</v>
      </c>
      <c r="E31" s="20" t="s">
        <v>3798</v>
      </c>
      <c r="F31" s="20" t="s">
        <v>3799</v>
      </c>
      <c r="G31" s="21">
        <v>15.4</v>
      </c>
      <c r="H31" s="16">
        <v>26</v>
      </c>
      <c r="I31" s="16"/>
      <c r="J3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400.40000000000003</v>
      </c>
      <c r="K31" s="22"/>
      <c r="L31" s="23"/>
      <c r="M3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1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31" s="19">
        <f>Tabela17468101214223032268161925273133362421012141618242628303840248101214162022262830323436242681012142461012242624426262826268102628623668101214161820222424262830323438404244464850[[#This Row],[Total Acumulado]]-P31</f>
        <v>-77</v>
      </c>
      <c r="P31" s="48">
        <f>Tabela17468101214223032268161925273133362421012141618242628303840248101214162022262830323436242681012142461012242624426262826268102628623668101214161820222424262830323438404244464850[[#This Row],[Uso diário]]*5</f>
        <v>77</v>
      </c>
      <c r="Q3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400.40000000000003</v>
      </c>
      <c r="S3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1" s="25">
        <v>26</v>
      </c>
    </row>
    <row r="32" spans="1:20" s="26" customFormat="1" x14ac:dyDescent="0.25">
      <c r="A32" s="16">
        <v>228155</v>
      </c>
      <c r="B32" s="30" t="s">
        <v>1241</v>
      </c>
      <c r="C32" s="20" t="s">
        <v>649</v>
      </c>
      <c r="D32" s="20" t="s">
        <v>725</v>
      </c>
      <c r="E32" s="20" t="s">
        <v>3800</v>
      </c>
      <c r="F32" s="20" t="s">
        <v>3801</v>
      </c>
      <c r="G32" s="21">
        <v>14.2</v>
      </c>
      <c r="H32" s="16">
        <v>26</v>
      </c>
      <c r="I32" s="16"/>
      <c r="J3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369.2</v>
      </c>
      <c r="K32" s="22"/>
      <c r="L32" s="23"/>
      <c r="M3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2" s="19">
        <f>Tabela17468101214223032268161925273133362421012141618242628303840248101214162022262830323436242681012142461012242624426262826268102628623668101214161820222424262830323438404244464850[[#This Row],[Uso diário]]*2</f>
        <v>28.4</v>
      </c>
      <c r="O32" s="19">
        <f>Tabela17468101214223032268161925273133362421012141618242628303840248101214162022262830323436242681012142461012242624426262826268102628623668101214161820222424262830323438404244464850[[#This Row],[Total Acumulado]]-P32</f>
        <v>-71</v>
      </c>
      <c r="P32" s="48">
        <f>Tabela17468101214223032268161925273133362421012141618242628303840248101214162022262830323436242681012142461012242624426262826268102628623668101214161820222424262830323438404244464850[[#This Row],[Uso diário]]*5</f>
        <v>71</v>
      </c>
      <c r="Q3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369.2</v>
      </c>
      <c r="S3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2" s="25">
        <v>26</v>
      </c>
    </row>
    <row r="33" spans="1:20" s="26" customFormat="1" x14ac:dyDescent="0.25">
      <c r="A33" s="16">
        <v>230540</v>
      </c>
      <c r="B33" s="30" t="s">
        <v>1518</v>
      </c>
      <c r="C33" s="20" t="s">
        <v>649</v>
      </c>
      <c r="D33" s="20" t="s">
        <v>725</v>
      </c>
      <c r="E33" s="20" t="s">
        <v>3802</v>
      </c>
      <c r="F33" s="20" t="s">
        <v>3803</v>
      </c>
      <c r="G33" s="21">
        <v>13.4</v>
      </c>
      <c r="H33" s="16">
        <v>26</v>
      </c>
      <c r="I33" s="16"/>
      <c r="J3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33" s="22"/>
      <c r="L33" s="23"/>
      <c r="M3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3" s="19">
        <f>Tabela17468101214223032268161925273133362421012141618242628303840248101214162022262830323436242681012142461012242624426262826268102628623668101214161820222424262830323438404244464850[[#This Row],[Total Acumulado]]-P33</f>
        <v>-67</v>
      </c>
      <c r="P3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3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3" s="25">
        <v>26</v>
      </c>
    </row>
    <row r="34" spans="1:20" s="26" customFormat="1" x14ac:dyDescent="0.25">
      <c r="A34" s="16">
        <v>231136</v>
      </c>
      <c r="B34" s="30" t="s">
        <v>772</v>
      </c>
      <c r="C34" s="20" t="s">
        <v>649</v>
      </c>
      <c r="D34" s="20" t="s">
        <v>725</v>
      </c>
      <c r="E34" s="20" t="s">
        <v>3804</v>
      </c>
      <c r="F34" s="20" t="s">
        <v>3805</v>
      </c>
      <c r="G34" s="21">
        <v>13.4</v>
      </c>
      <c r="H34" s="16">
        <v>26</v>
      </c>
      <c r="I34" s="16">
        <v>1</v>
      </c>
      <c r="J3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34" s="22"/>
      <c r="L34" s="23"/>
      <c r="M3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4" s="19">
        <f>Tabela17468101214223032268161925273133362421012141618242628303840248101214162022262830323436242681012142461012242624426262826268102628623668101214161820222424262830323438404244464850[[#This Row],[Total Acumulado]]-P34</f>
        <v>-67</v>
      </c>
      <c r="P3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3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4" s="25">
        <v>26</v>
      </c>
    </row>
    <row r="35" spans="1:20" s="26" customFormat="1" x14ac:dyDescent="0.25">
      <c r="A35" s="16">
        <v>234375</v>
      </c>
      <c r="B35" s="30" t="s">
        <v>1299</v>
      </c>
      <c r="C35" s="20" t="s">
        <v>649</v>
      </c>
      <c r="D35" s="20" t="s">
        <v>725</v>
      </c>
      <c r="E35" s="20" t="s">
        <v>3806</v>
      </c>
      <c r="F35" s="20" t="s">
        <v>3807</v>
      </c>
      <c r="G35" s="21">
        <v>13.4</v>
      </c>
      <c r="H35" s="16">
        <v>26</v>
      </c>
      <c r="I35" s="16">
        <v>1</v>
      </c>
      <c r="J3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35" s="22"/>
      <c r="L35" s="23"/>
      <c r="M3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5" s="19">
        <f>Tabela17468101214223032268161925273133362421012141618242628303840248101214162022262830323436242681012142461012242624426262826268102628623668101214161820222424262830323438404244464850[[#This Row],[Total Acumulado]]-P35</f>
        <v>-67</v>
      </c>
      <c r="P3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3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5" s="25">
        <v>26</v>
      </c>
    </row>
    <row r="36" spans="1:20" s="26" customFormat="1" x14ac:dyDescent="0.25">
      <c r="A36" s="16">
        <v>223763</v>
      </c>
      <c r="B36" s="30" t="s">
        <v>430</v>
      </c>
      <c r="C36" s="20" t="s">
        <v>650</v>
      </c>
      <c r="D36" s="20" t="s">
        <v>726</v>
      </c>
      <c r="E36" s="20" t="s">
        <v>3808</v>
      </c>
      <c r="F36" s="20" t="s">
        <v>3809</v>
      </c>
      <c r="G36" s="21">
        <v>15.4</v>
      </c>
      <c r="H36" s="16">
        <v>26</v>
      </c>
      <c r="I36" s="16"/>
      <c r="J3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400.40000000000003</v>
      </c>
      <c r="K36" s="22"/>
      <c r="L36" s="23"/>
      <c r="M3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6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36" s="19">
        <f>Tabela17468101214223032268161925273133362421012141618242628303840248101214162022262830323436242681012142461012242624426262826268102628623668101214161820222424262830323438404244464850[[#This Row],[Total Acumulado]]-P36</f>
        <v>-77</v>
      </c>
      <c r="P36" s="48">
        <f>Tabela17468101214223032268161925273133362421012141618242628303840248101214162022262830323436242681012142461012242624426262826268102628623668101214161820222424262830323438404244464850[[#This Row],[Uso diário]]*5</f>
        <v>77</v>
      </c>
      <c r="Q3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400.40000000000003</v>
      </c>
      <c r="S3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6" s="25">
        <v>26</v>
      </c>
    </row>
    <row r="37" spans="1:20" s="26" customFormat="1" x14ac:dyDescent="0.25">
      <c r="A37" s="16">
        <v>230691</v>
      </c>
      <c r="B37" s="30" t="s">
        <v>539</v>
      </c>
      <c r="C37" s="20" t="s">
        <v>650</v>
      </c>
      <c r="D37" s="20" t="s">
        <v>726</v>
      </c>
      <c r="E37" s="20" t="s">
        <v>3810</v>
      </c>
      <c r="F37" s="20" t="s">
        <v>3811</v>
      </c>
      <c r="G37" s="21">
        <v>13.4</v>
      </c>
      <c r="H37" s="16">
        <v>26</v>
      </c>
      <c r="I37" s="16"/>
      <c r="J3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37" s="22"/>
      <c r="L37" s="23"/>
      <c r="M3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7" s="19">
        <f>Tabela17468101214223032268161925273133362421012141618242628303840248101214162022262830323436242681012142461012242624426262826268102628623668101214161820222424262830323438404244464850[[#This Row],[Total Acumulado]]-P37</f>
        <v>-67</v>
      </c>
      <c r="P3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3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7" s="25">
        <v>26</v>
      </c>
    </row>
    <row r="38" spans="1:20" s="26" customFormat="1" x14ac:dyDescent="0.25">
      <c r="A38" s="16">
        <v>230709</v>
      </c>
      <c r="B38" s="30" t="s">
        <v>1519</v>
      </c>
      <c r="C38" s="20" t="s">
        <v>650</v>
      </c>
      <c r="D38" s="20" t="s">
        <v>726</v>
      </c>
      <c r="E38" s="20" t="s">
        <v>3812</v>
      </c>
      <c r="F38" s="20" t="s">
        <v>3813</v>
      </c>
      <c r="G38" s="21">
        <v>13.4</v>
      </c>
      <c r="H38" s="16">
        <v>26</v>
      </c>
      <c r="I38" s="16"/>
      <c r="J3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38" s="22"/>
      <c r="L38" s="23"/>
      <c r="M3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8" s="19">
        <f>Tabela17468101214223032268161925273133362421012141618242628303840248101214162022262830323436242681012142461012242624426262826268102628623668101214161820222424262830323438404244464850[[#This Row],[Total Acumulado]]-P38</f>
        <v>-67</v>
      </c>
      <c r="P3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3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8" s="25">
        <v>26</v>
      </c>
    </row>
    <row r="39" spans="1:20" s="26" customFormat="1" x14ac:dyDescent="0.25">
      <c r="A39" s="16">
        <v>230869</v>
      </c>
      <c r="B39" s="30" t="s">
        <v>541</v>
      </c>
      <c r="C39" s="20" t="s">
        <v>650</v>
      </c>
      <c r="D39" s="20" t="s">
        <v>726</v>
      </c>
      <c r="E39" s="20" t="s">
        <v>3814</v>
      </c>
      <c r="F39" s="20" t="s">
        <v>3815</v>
      </c>
      <c r="G39" s="21">
        <v>13.4</v>
      </c>
      <c r="H39" s="16">
        <v>26</v>
      </c>
      <c r="I39" s="16"/>
      <c r="J3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39" s="22"/>
      <c r="L39" s="23"/>
      <c r="M3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3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39" s="19">
        <f>Tabela17468101214223032268161925273133362421012141618242628303840248101214162022262830323436242681012142461012242624426262826268102628623668101214161820222424262830323438404244464850[[#This Row],[Total Acumulado]]-P39</f>
        <v>-67</v>
      </c>
      <c r="P3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3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3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3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39" s="25">
        <v>26</v>
      </c>
    </row>
    <row r="40" spans="1:20" s="26" customFormat="1" x14ac:dyDescent="0.25">
      <c r="A40" s="16">
        <v>230913</v>
      </c>
      <c r="B40" s="30" t="s">
        <v>542</v>
      </c>
      <c r="C40" s="20" t="s">
        <v>650</v>
      </c>
      <c r="D40" s="20" t="s">
        <v>726</v>
      </c>
      <c r="E40" s="20" t="s">
        <v>3816</v>
      </c>
      <c r="F40" s="20" t="s">
        <v>3817</v>
      </c>
      <c r="G40" s="21">
        <v>13.4</v>
      </c>
      <c r="H40" s="16">
        <v>26</v>
      </c>
      <c r="I40" s="16"/>
      <c r="J4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40" s="22"/>
      <c r="L40" s="23"/>
      <c r="M4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0" s="19">
        <f>Tabela17468101214223032268161925273133362421012141618242628303840248101214162022262830323436242681012142461012242624426262826268102628623668101214161820222424262830323438404244464850[[#This Row],[Total Acumulado]]-P40</f>
        <v>-67</v>
      </c>
      <c r="P4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4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0" s="25">
        <v>26</v>
      </c>
    </row>
    <row r="41" spans="1:20" s="26" customFormat="1" x14ac:dyDescent="0.25">
      <c r="A41" s="16">
        <v>231010</v>
      </c>
      <c r="B41" s="30" t="s">
        <v>543</v>
      </c>
      <c r="C41" s="20" t="s">
        <v>650</v>
      </c>
      <c r="D41" s="20" t="s">
        <v>726</v>
      </c>
      <c r="E41" s="20" t="s">
        <v>3818</v>
      </c>
      <c r="F41" s="20" t="s">
        <v>3819</v>
      </c>
      <c r="G41" s="21">
        <v>13.4</v>
      </c>
      <c r="H41" s="16">
        <v>26</v>
      </c>
      <c r="I41" s="16"/>
      <c r="J4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41" s="22"/>
      <c r="L41" s="23"/>
      <c r="M4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1" s="19">
        <f>Tabela17468101214223032268161925273133362421012141618242628303840248101214162022262830323436242681012142461012242624426262826268102628623668101214161820222424262830323438404244464850[[#This Row],[Total Acumulado]]-P41</f>
        <v>-67</v>
      </c>
      <c r="P4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4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1" s="25">
        <v>26</v>
      </c>
    </row>
    <row r="42" spans="1:20" s="26" customFormat="1" x14ac:dyDescent="0.25">
      <c r="A42" s="16">
        <v>232467</v>
      </c>
      <c r="B42" s="30" t="s">
        <v>922</v>
      </c>
      <c r="C42" s="20" t="s">
        <v>650</v>
      </c>
      <c r="D42" s="20" t="s">
        <v>738</v>
      </c>
      <c r="E42" s="20" t="s">
        <v>3820</v>
      </c>
      <c r="F42" s="20" t="s">
        <v>3821</v>
      </c>
      <c r="G42" s="21">
        <v>13.4</v>
      </c>
      <c r="H42" s="16">
        <v>26</v>
      </c>
      <c r="I42" s="16"/>
      <c r="J4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42" s="22"/>
      <c r="L42" s="23">
        <v>133.6</v>
      </c>
      <c r="M42" s="23">
        <f>SUM(Tabela17468101214223032268161925273133362421012141618242628303840248101214162022262830323436242681012142461012242624426262826268102628623668101214161820222424262830323438404244464850[[#This Row],[Saldo no cartão]:[Recarga Pendente]])</f>
        <v>133.6</v>
      </c>
      <c r="N4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2" s="19">
        <f>Tabela17468101214223032268161925273133362421012141618242628303840248101214162022262830323436242681012142461012242624426262826268102628623668101214161820222424262830323438404244464850[[#This Row],[Total Acumulado]]-P42</f>
        <v>66.599999999999994</v>
      </c>
      <c r="P4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66.599999999999994</v>
      </c>
      <c r="R4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281.80000000000007</v>
      </c>
      <c r="S42" s="18" t="s">
        <v>11</v>
      </c>
      <c r="T42" s="25">
        <v>26</v>
      </c>
    </row>
    <row r="43" spans="1:20" s="26" customFormat="1" x14ac:dyDescent="0.25">
      <c r="A43" s="16">
        <v>232704</v>
      </c>
      <c r="B43" s="30" t="s">
        <v>1520</v>
      </c>
      <c r="C43" s="20" t="s">
        <v>650</v>
      </c>
      <c r="D43" s="20" t="s">
        <v>726</v>
      </c>
      <c r="E43" s="20" t="s">
        <v>3822</v>
      </c>
      <c r="F43" s="20" t="s">
        <v>3823</v>
      </c>
      <c r="G43" s="21">
        <v>13.4</v>
      </c>
      <c r="H43" s="16">
        <v>26</v>
      </c>
      <c r="I43" s="16"/>
      <c r="J4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43" s="22"/>
      <c r="L43" s="23"/>
      <c r="M4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3" s="19">
        <f>Tabela17468101214223032268161925273133362421012141618242628303840248101214162022262830323436242681012142461012242624426262826268102628623668101214161820222424262830323438404244464850[[#This Row],[Total Acumulado]]-P43</f>
        <v>-67</v>
      </c>
      <c r="P4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4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3" s="25">
        <v>26</v>
      </c>
    </row>
    <row r="44" spans="1:20" s="26" customFormat="1" x14ac:dyDescent="0.25">
      <c r="A44" s="16">
        <v>233543</v>
      </c>
      <c r="B44" s="30" t="s">
        <v>1112</v>
      </c>
      <c r="C44" s="20" t="s">
        <v>650</v>
      </c>
      <c r="D44" s="20" t="s">
        <v>726</v>
      </c>
      <c r="E44" s="20" t="s">
        <v>3824</v>
      </c>
      <c r="F44" s="20" t="s">
        <v>3825</v>
      </c>
      <c r="G44" s="21">
        <v>13.4</v>
      </c>
      <c r="H44" s="16">
        <v>26</v>
      </c>
      <c r="I44" s="16"/>
      <c r="J4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44" s="22"/>
      <c r="L44" s="23"/>
      <c r="M4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4" s="19">
        <f>Tabela17468101214223032268161925273133362421012141618242628303840248101214162022262830323436242681012142461012242624426262826268102628623668101214161820222424262830323438404244464850[[#This Row],[Total Acumulado]]-P44</f>
        <v>-67</v>
      </c>
      <c r="P4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4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4" s="25">
        <v>26</v>
      </c>
    </row>
    <row r="45" spans="1:20" s="26" customFormat="1" x14ac:dyDescent="0.25">
      <c r="A45" s="16">
        <v>234076</v>
      </c>
      <c r="B45" s="30" t="s">
        <v>1242</v>
      </c>
      <c r="C45" s="20" t="s">
        <v>650</v>
      </c>
      <c r="D45" s="20" t="s">
        <v>726</v>
      </c>
      <c r="E45" s="20" t="s">
        <v>3826</v>
      </c>
      <c r="F45" s="20" t="s">
        <v>3827</v>
      </c>
      <c r="G45" s="21">
        <v>13.4</v>
      </c>
      <c r="H45" s="16">
        <v>26</v>
      </c>
      <c r="I45" s="16"/>
      <c r="J4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45" s="22"/>
      <c r="L45" s="23"/>
      <c r="M4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5" s="19">
        <f>Tabela17468101214223032268161925273133362421012141618242628303840248101214162022262830323436242681012142461012242624426262826268102628623668101214161820222424262830323438404244464850[[#This Row],[Total Acumulado]]-P45</f>
        <v>-67</v>
      </c>
      <c r="P4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4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5" s="25">
        <v>26</v>
      </c>
    </row>
    <row r="46" spans="1:20" s="66" customFormat="1" x14ac:dyDescent="0.25">
      <c r="A46" s="16">
        <v>6629</v>
      </c>
      <c r="B46" s="30" t="s">
        <v>544</v>
      </c>
      <c r="C46" s="20" t="s">
        <v>651</v>
      </c>
      <c r="D46" s="20" t="s">
        <v>727</v>
      </c>
      <c r="E46" s="20" t="s">
        <v>3828</v>
      </c>
      <c r="F46" s="20" t="s">
        <v>3829</v>
      </c>
      <c r="G46" s="21">
        <v>18.8</v>
      </c>
      <c r="H46" s="16">
        <v>26</v>
      </c>
      <c r="I46" s="16"/>
      <c r="J4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46" s="22"/>
      <c r="L46" s="23"/>
      <c r="M4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6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46" s="19">
        <f>Tabela17468101214223032268161925273133362421012141618242628303840248101214162022262830323436242681012142461012242624426262826268102628623668101214161820222424262830323438404244464850[[#This Row],[Total Acumulado]]-P46</f>
        <v>-94</v>
      </c>
      <c r="P46" s="48">
        <f>Tabela17468101214223032268161925273133362421012141618242628303840248101214162022262830323436242681012142461012242624426262826268102628623668101214161820222424262830323438404244464850[[#This Row],[Uso diário]]*5</f>
        <v>94</v>
      </c>
      <c r="Q4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4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6" s="25">
        <v>26</v>
      </c>
    </row>
    <row r="47" spans="1:20" s="26" customFormat="1" x14ac:dyDescent="0.25">
      <c r="A47" s="16">
        <v>216621</v>
      </c>
      <c r="B47" s="30" t="s">
        <v>1113</v>
      </c>
      <c r="C47" s="20" t="s">
        <v>651</v>
      </c>
      <c r="D47" s="20" t="s">
        <v>717</v>
      </c>
      <c r="E47" s="20" t="s">
        <v>3830</v>
      </c>
      <c r="F47" s="20" t="s">
        <v>3831</v>
      </c>
      <c r="G47" s="21">
        <v>13.4</v>
      </c>
      <c r="H47" s="16">
        <v>16</v>
      </c>
      <c r="I47" s="16"/>
      <c r="J4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47" s="22"/>
      <c r="L47" s="23"/>
      <c r="M4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7" s="19">
        <f>Tabela17468101214223032268161925273133362421012141618242628303840248101214162022262830323436242681012142461012242624426262826268102628623668101214161820222424262830323438404244464850[[#This Row],[Total Acumulado]]-P47</f>
        <v>-67</v>
      </c>
      <c r="P4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4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7" s="25">
        <v>26</v>
      </c>
    </row>
    <row r="48" spans="1:20" s="26" customFormat="1" x14ac:dyDescent="0.25">
      <c r="A48" s="16">
        <v>217014</v>
      </c>
      <c r="B48" s="30" t="s">
        <v>545</v>
      </c>
      <c r="C48" s="20" t="s">
        <v>651</v>
      </c>
      <c r="D48" s="20" t="s">
        <v>719</v>
      </c>
      <c r="E48" s="20" t="s">
        <v>3832</v>
      </c>
      <c r="F48" s="20" t="s">
        <v>3833</v>
      </c>
      <c r="G48" s="21">
        <v>13.4</v>
      </c>
      <c r="H48" s="16">
        <v>16</v>
      </c>
      <c r="I48" s="16"/>
      <c r="J4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48" s="22"/>
      <c r="L48" s="23"/>
      <c r="M4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8" s="19">
        <f>Tabela17468101214223032268161925273133362421012141618242628303840248101214162022262830323436242681012142461012242624426262826268102628623668101214161820222424262830323438404244464850[[#This Row],[Total Acumulado]]-P48</f>
        <v>-67</v>
      </c>
      <c r="P4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4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8" s="25">
        <v>26</v>
      </c>
    </row>
    <row r="49" spans="1:20" s="26" customFormat="1" x14ac:dyDescent="0.25">
      <c r="A49" s="16">
        <v>219536</v>
      </c>
      <c r="B49" s="30" t="s">
        <v>546</v>
      </c>
      <c r="C49" s="20" t="s">
        <v>651</v>
      </c>
      <c r="D49" s="20" t="s">
        <v>719</v>
      </c>
      <c r="E49" s="20" t="s">
        <v>3834</v>
      </c>
      <c r="F49" s="20" t="s">
        <v>3835</v>
      </c>
      <c r="G49" s="21">
        <v>13.4</v>
      </c>
      <c r="H49" s="16">
        <v>16</v>
      </c>
      <c r="I49" s="16"/>
      <c r="J4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49" s="22"/>
      <c r="L49" s="23"/>
      <c r="M4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4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49" s="19">
        <f>Tabela17468101214223032268161925273133362421012141618242628303840248101214162022262830323436242681012142461012242624426262826268102628623668101214161820222424262830323438404244464850[[#This Row],[Total Acumulado]]-P49</f>
        <v>-67</v>
      </c>
      <c r="P4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4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4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4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49" s="25">
        <v>26</v>
      </c>
    </row>
    <row r="50" spans="1:20" s="26" customFormat="1" x14ac:dyDescent="0.25">
      <c r="A50" s="16">
        <v>221423</v>
      </c>
      <c r="B50" s="30" t="s">
        <v>547</v>
      </c>
      <c r="C50" s="20" t="s">
        <v>651</v>
      </c>
      <c r="D50" s="20" t="s">
        <v>717</v>
      </c>
      <c r="E50" s="20" t="s">
        <v>3836</v>
      </c>
      <c r="F50" s="20" t="s">
        <v>3837</v>
      </c>
      <c r="G50" s="21">
        <v>13.4</v>
      </c>
      <c r="H50" s="16">
        <v>16</v>
      </c>
      <c r="I50" s="16"/>
      <c r="J5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50" s="22"/>
      <c r="L50" s="23"/>
      <c r="M5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50" s="19">
        <f>Tabela17468101214223032268161925273133362421012141618242628303840248101214162022262830323436242681012142461012242624426262826268102628623668101214161820222424262830323438404244464850[[#This Row],[Total Acumulado]]-P50</f>
        <v>-67</v>
      </c>
      <c r="P5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5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5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0" s="25">
        <v>26</v>
      </c>
    </row>
    <row r="51" spans="1:20" s="26" customFormat="1" x14ac:dyDescent="0.25">
      <c r="A51" s="16">
        <v>222907</v>
      </c>
      <c r="B51" s="30" t="s">
        <v>1114</v>
      </c>
      <c r="C51" s="20" t="s">
        <v>651</v>
      </c>
      <c r="D51" s="20" t="s">
        <v>719</v>
      </c>
      <c r="E51" s="20" t="s">
        <v>3838</v>
      </c>
      <c r="F51" s="20" t="s">
        <v>3839</v>
      </c>
      <c r="G51" s="21">
        <v>18.8</v>
      </c>
      <c r="H51" s="16">
        <v>16</v>
      </c>
      <c r="I51" s="16"/>
      <c r="J5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51" s="22"/>
      <c r="L51" s="23"/>
      <c r="M5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1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51" s="19">
        <f>Tabela17468101214223032268161925273133362421012141618242628303840248101214162022262830323436242681012142461012242624426262826268102628623668101214161820222424262830323438404244464850[[#This Row],[Total Acumulado]]-P51</f>
        <v>-94</v>
      </c>
      <c r="P51" s="48">
        <f>Tabela17468101214223032268161925273133362421012141618242628303840248101214162022262830323436242681012142461012242624426262826268102628623668101214161820222424262830323438404244464850[[#This Row],[Uso diário]]*5</f>
        <v>94</v>
      </c>
      <c r="Q5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5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1" s="25">
        <v>26</v>
      </c>
    </row>
    <row r="52" spans="1:20" s="26" customFormat="1" x14ac:dyDescent="0.25">
      <c r="A52" s="16">
        <v>223112</v>
      </c>
      <c r="B52" s="30" t="s">
        <v>1243</v>
      </c>
      <c r="C52" s="20" t="s">
        <v>651</v>
      </c>
      <c r="D52" s="20" t="s">
        <v>717</v>
      </c>
      <c r="E52" s="20" t="s">
        <v>3840</v>
      </c>
      <c r="F52" s="20" t="s">
        <v>3841</v>
      </c>
      <c r="G52" s="21">
        <v>14.2</v>
      </c>
      <c r="H52" s="16">
        <v>16</v>
      </c>
      <c r="I52" s="16"/>
      <c r="J5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227.2</v>
      </c>
      <c r="K52" s="22"/>
      <c r="L52" s="23"/>
      <c r="M5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2" s="19">
        <f>Tabela17468101214223032268161925273133362421012141618242628303840248101214162022262830323436242681012142461012242624426262826268102628623668101214161820222424262830323438404244464850[[#This Row],[Uso diário]]*2</f>
        <v>28.4</v>
      </c>
      <c r="O52" s="19">
        <f>Tabela17468101214223032268161925273133362421012141618242628303840248101214162022262830323436242681012142461012242624426262826268102628623668101214161820222424262830323438404244464850[[#This Row],[Total Acumulado]]-P52</f>
        <v>-71</v>
      </c>
      <c r="P52" s="48">
        <f>Tabela17468101214223032268161925273133362421012141618242628303840248101214162022262830323436242681012142461012242624426262826268102628623668101214161820222424262830323438404244464850[[#This Row],[Uso diário]]*5</f>
        <v>71</v>
      </c>
      <c r="Q5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227.2</v>
      </c>
      <c r="S5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2" s="25">
        <v>26</v>
      </c>
    </row>
    <row r="53" spans="1:20" s="26" customFormat="1" x14ac:dyDescent="0.25">
      <c r="A53" s="16">
        <v>224150</v>
      </c>
      <c r="B53" s="30" t="s">
        <v>1521</v>
      </c>
      <c r="C53" s="20" t="s">
        <v>651</v>
      </c>
      <c r="D53" s="20" t="s">
        <v>719</v>
      </c>
      <c r="E53" s="20" t="s">
        <v>3842</v>
      </c>
      <c r="F53" s="20" t="s">
        <v>3843</v>
      </c>
      <c r="G53" s="21">
        <v>13.4</v>
      </c>
      <c r="H53" s="16">
        <v>16</v>
      </c>
      <c r="I53" s="16"/>
      <c r="J5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53" s="22"/>
      <c r="L53" s="23"/>
      <c r="M5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53" s="19">
        <f>Tabela17468101214223032268161925273133362421012141618242628303840248101214162022262830323436242681012142461012242624426262826268102628623668101214161820222424262830323438404244464850[[#This Row],[Total Acumulado]]-P53</f>
        <v>-67</v>
      </c>
      <c r="P5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5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5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3" s="25">
        <v>26</v>
      </c>
    </row>
    <row r="54" spans="1:20" s="26" customFormat="1" x14ac:dyDescent="0.25">
      <c r="A54" s="16">
        <v>224485</v>
      </c>
      <c r="B54" s="30" t="s">
        <v>550</v>
      </c>
      <c r="C54" s="20" t="s">
        <v>651</v>
      </c>
      <c r="D54" s="20" t="s">
        <v>719</v>
      </c>
      <c r="E54" s="20" t="s">
        <v>3844</v>
      </c>
      <c r="F54" s="20" t="s">
        <v>3845</v>
      </c>
      <c r="G54" s="21">
        <v>18.8</v>
      </c>
      <c r="H54" s="16">
        <v>16</v>
      </c>
      <c r="I54" s="16">
        <v>2</v>
      </c>
      <c r="J5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263.2</v>
      </c>
      <c r="K54" s="22"/>
      <c r="L54" s="23"/>
      <c r="M5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4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54" s="19">
        <f>Tabela17468101214223032268161925273133362421012141618242628303840248101214162022262830323436242681012142461012242624426262826268102628623668101214161820222424262830323438404244464850[[#This Row],[Total Acumulado]]-P54</f>
        <v>-94</v>
      </c>
      <c r="P54" s="48">
        <f>Tabela17468101214223032268161925273133362421012141618242628303840248101214162022262830323436242681012142461012242624426262826268102628623668101214161820222424262830323438404244464850[[#This Row],[Uso diário]]*5</f>
        <v>94</v>
      </c>
      <c r="Q5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263.2</v>
      </c>
      <c r="S5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4" s="25">
        <v>26</v>
      </c>
    </row>
    <row r="55" spans="1:20" s="26" customFormat="1" x14ac:dyDescent="0.25">
      <c r="A55" s="16">
        <v>224710</v>
      </c>
      <c r="B55" s="30" t="s">
        <v>551</v>
      </c>
      <c r="C55" s="20" t="s">
        <v>651</v>
      </c>
      <c r="D55" s="20" t="s">
        <v>717</v>
      </c>
      <c r="E55" s="20" t="s">
        <v>3846</v>
      </c>
      <c r="F55" s="20" t="s">
        <v>3847</v>
      </c>
      <c r="G55" s="21">
        <v>13.4</v>
      </c>
      <c r="H55" s="16">
        <v>16</v>
      </c>
      <c r="I55" s="16"/>
      <c r="J5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55" s="22"/>
      <c r="L55" s="23"/>
      <c r="M5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55" s="19">
        <f>Tabela17468101214223032268161925273133362421012141618242628303840248101214162022262830323436242681012142461012242624426262826268102628623668101214161820222424262830323438404244464850[[#This Row],[Total Acumulado]]-P55</f>
        <v>-67</v>
      </c>
      <c r="P5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5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5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5" s="25">
        <v>26</v>
      </c>
    </row>
    <row r="56" spans="1:20" s="26" customFormat="1" x14ac:dyDescent="0.25">
      <c r="A56" s="16">
        <v>224954</v>
      </c>
      <c r="B56" s="30" t="s">
        <v>552</v>
      </c>
      <c r="C56" s="20" t="s">
        <v>651</v>
      </c>
      <c r="D56" s="20" t="s">
        <v>717</v>
      </c>
      <c r="E56" s="20" t="s">
        <v>3848</v>
      </c>
      <c r="F56" s="20" t="s">
        <v>3849</v>
      </c>
      <c r="G56" s="21">
        <v>13.4</v>
      </c>
      <c r="H56" s="16">
        <v>16</v>
      </c>
      <c r="I56" s="16"/>
      <c r="J5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56" s="22"/>
      <c r="L56" s="23"/>
      <c r="M5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56" s="19">
        <f>Tabela17468101214223032268161925273133362421012141618242628303840248101214162022262830323436242681012142461012242624426262826268102628623668101214161820222424262830323438404244464850[[#This Row],[Total Acumulado]]-P56</f>
        <v>-67</v>
      </c>
      <c r="P5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5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5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6" s="25">
        <v>26</v>
      </c>
    </row>
    <row r="57" spans="1:20" s="26" customFormat="1" x14ac:dyDescent="0.25">
      <c r="A57" s="16">
        <v>228687</v>
      </c>
      <c r="B57" s="30" t="s">
        <v>1244</v>
      </c>
      <c r="C57" s="20" t="s">
        <v>651</v>
      </c>
      <c r="D57" s="20" t="s">
        <v>719</v>
      </c>
      <c r="E57" s="20" t="s">
        <v>3850</v>
      </c>
      <c r="F57" s="20" t="s">
        <v>3851</v>
      </c>
      <c r="G57" s="21">
        <v>13.4</v>
      </c>
      <c r="H57" s="16">
        <v>16</v>
      </c>
      <c r="I57" s="16"/>
      <c r="J5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57" s="22"/>
      <c r="L57" s="23"/>
      <c r="M5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57" s="19">
        <f>Tabela17468101214223032268161925273133362421012141618242628303840248101214162022262830323436242681012142461012242624426262826268102628623668101214161820222424262830323438404244464850[[#This Row],[Total Acumulado]]-P57</f>
        <v>-67</v>
      </c>
      <c r="P5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5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5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7" s="25">
        <v>26</v>
      </c>
    </row>
    <row r="58" spans="1:20" s="26" customFormat="1" x14ac:dyDescent="0.25">
      <c r="A58" s="16">
        <v>228921</v>
      </c>
      <c r="B58" s="30" t="s">
        <v>553</v>
      </c>
      <c r="C58" s="20" t="s">
        <v>651</v>
      </c>
      <c r="D58" s="20" t="s">
        <v>719</v>
      </c>
      <c r="E58" s="20" t="s">
        <v>3852</v>
      </c>
      <c r="F58" s="20" t="s">
        <v>3853</v>
      </c>
      <c r="G58" s="21">
        <v>18.8</v>
      </c>
      <c r="H58" s="16">
        <v>16</v>
      </c>
      <c r="I58" s="16">
        <v>1</v>
      </c>
      <c r="J5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282</v>
      </c>
      <c r="K58" s="22"/>
      <c r="L58" s="23"/>
      <c r="M5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58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58" s="19">
        <f>Tabela17468101214223032268161925273133362421012141618242628303840248101214162022262830323436242681012142461012242624426262826268102628623668101214161820222424262830323438404244464850[[#This Row],[Total Acumulado]]-P58</f>
        <v>-94</v>
      </c>
      <c r="P58" s="48">
        <f>Tabela17468101214223032268161925273133362421012141618242628303840248101214162022262830323436242681012142461012242624426262826268102628623668101214161820222424262830323438404244464850[[#This Row],[Uso diário]]*5</f>
        <v>94</v>
      </c>
      <c r="Q5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282</v>
      </c>
      <c r="S5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8" s="25">
        <v>26</v>
      </c>
    </row>
    <row r="59" spans="1:20" s="26" customFormat="1" x14ac:dyDescent="0.25">
      <c r="A59" s="16">
        <v>229281</v>
      </c>
      <c r="B59" s="30" t="s">
        <v>554</v>
      </c>
      <c r="C59" s="20" t="s">
        <v>651</v>
      </c>
      <c r="D59" s="20" t="s">
        <v>719</v>
      </c>
      <c r="E59" s="20" t="s">
        <v>3854</v>
      </c>
      <c r="F59" s="20" t="s">
        <v>3855</v>
      </c>
      <c r="G59" s="21">
        <v>13.4</v>
      </c>
      <c r="H59" s="16">
        <v>16</v>
      </c>
      <c r="I59" s="16"/>
      <c r="J5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59" s="22"/>
      <c r="L59" s="23">
        <v>41.65</v>
      </c>
      <c r="M59" s="23">
        <f>SUM(Tabela17468101214223032268161925273133362421012141618242628303840248101214162022262830323436242681012142461012242624426262826268102628623668101214161820222424262830323438404244464850[[#This Row],[Saldo no cartão]:[Recarga Pendente]])</f>
        <v>41.65</v>
      </c>
      <c r="N5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59" s="19">
        <f>Tabela17468101214223032268161925273133362421012141618242628303840248101214162022262830323436242681012142461012242624426262826268102628623668101214161820222424262830323438404244464850[[#This Row],[Total Acumulado]]-P59</f>
        <v>-25.35</v>
      </c>
      <c r="P5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5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5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5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59" s="25">
        <v>26</v>
      </c>
    </row>
    <row r="60" spans="1:20" s="26" customFormat="1" x14ac:dyDescent="0.25">
      <c r="A60" s="16">
        <v>229289</v>
      </c>
      <c r="B60" s="30" t="s">
        <v>555</v>
      </c>
      <c r="C60" s="20" t="s">
        <v>651</v>
      </c>
      <c r="D60" s="20" t="s">
        <v>717</v>
      </c>
      <c r="E60" s="20" t="s">
        <v>3856</v>
      </c>
      <c r="F60" s="20" t="s">
        <v>3857</v>
      </c>
      <c r="G60" s="21">
        <v>18.8</v>
      </c>
      <c r="H60" s="16">
        <v>16</v>
      </c>
      <c r="I60" s="16"/>
      <c r="J6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60" s="22"/>
      <c r="L60" s="23"/>
      <c r="M6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0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60" s="19">
        <f>Tabela17468101214223032268161925273133362421012141618242628303840248101214162022262830323436242681012142461012242624426262826268102628623668101214161820222424262830323438404244464850[[#This Row],[Total Acumulado]]-P60</f>
        <v>-94</v>
      </c>
      <c r="P60" s="48">
        <f>Tabela17468101214223032268161925273133362421012141618242628303840248101214162022262830323436242681012142461012242624426262826268102628623668101214161820222424262830323438404244464850[[#This Row],[Uso diário]]*5</f>
        <v>94</v>
      </c>
      <c r="Q6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6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0" s="25">
        <v>26</v>
      </c>
    </row>
    <row r="61" spans="1:20" s="26" customFormat="1" x14ac:dyDescent="0.25">
      <c r="A61" s="16">
        <v>229553</v>
      </c>
      <c r="B61" s="30" t="s">
        <v>233</v>
      </c>
      <c r="C61" s="20" t="s">
        <v>651</v>
      </c>
      <c r="D61" s="20" t="s">
        <v>719</v>
      </c>
      <c r="E61" s="20" t="s">
        <v>3858</v>
      </c>
      <c r="F61" s="20" t="s">
        <v>3859</v>
      </c>
      <c r="G61" s="21">
        <v>13.4</v>
      </c>
      <c r="H61" s="16">
        <v>16</v>
      </c>
      <c r="I61" s="16"/>
      <c r="J6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61" s="22"/>
      <c r="L61" s="23"/>
      <c r="M6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1" s="19">
        <f>Tabela17468101214223032268161925273133362421012141618242628303840248101214162022262830323436242681012142461012242624426262826268102628623668101214161820222424262830323438404244464850[[#This Row],[Total Acumulado]]-P61</f>
        <v>-67</v>
      </c>
      <c r="P6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6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1" s="25">
        <v>26</v>
      </c>
    </row>
    <row r="62" spans="1:20" s="26" customFormat="1" x14ac:dyDescent="0.25">
      <c r="A62" s="16">
        <v>229577</v>
      </c>
      <c r="B62" s="30" t="s">
        <v>454</v>
      </c>
      <c r="C62" s="20" t="s">
        <v>651</v>
      </c>
      <c r="D62" s="20" t="s">
        <v>719</v>
      </c>
      <c r="E62" s="20" t="s">
        <v>3860</v>
      </c>
      <c r="F62" s="20" t="s">
        <v>3861</v>
      </c>
      <c r="G62" s="21">
        <v>13.4</v>
      </c>
      <c r="H62" s="16">
        <v>16</v>
      </c>
      <c r="I62" s="16"/>
      <c r="J6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62" s="22"/>
      <c r="L62" s="23"/>
      <c r="M6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2" s="19">
        <f>Tabela17468101214223032268161925273133362421012141618242628303840248101214162022262830323436242681012142461012242624426262826268102628623668101214161820222424262830323438404244464850[[#This Row],[Total Acumulado]]-P62</f>
        <v>-67</v>
      </c>
      <c r="P6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6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2" s="25">
        <v>26</v>
      </c>
    </row>
    <row r="63" spans="1:20" s="26" customFormat="1" x14ac:dyDescent="0.25">
      <c r="A63" s="16">
        <v>230385</v>
      </c>
      <c r="B63" s="30" t="s">
        <v>556</v>
      </c>
      <c r="C63" s="20" t="s">
        <v>651</v>
      </c>
      <c r="D63" s="20" t="s">
        <v>719</v>
      </c>
      <c r="E63" s="20" t="s">
        <v>3862</v>
      </c>
      <c r="F63" s="20" t="s">
        <v>3863</v>
      </c>
      <c r="G63" s="21">
        <v>18.8</v>
      </c>
      <c r="H63" s="16">
        <v>16</v>
      </c>
      <c r="I63" s="16"/>
      <c r="J6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63" s="22"/>
      <c r="L63" s="23"/>
      <c r="M6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3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63" s="19">
        <f>Tabela17468101214223032268161925273133362421012141618242628303840248101214162022262830323436242681012142461012242624426262826268102628623668101214161820222424262830323438404244464850[[#This Row],[Total Acumulado]]-P63</f>
        <v>-94</v>
      </c>
      <c r="P63" s="48">
        <f>Tabela17468101214223032268161925273133362421012141618242628303840248101214162022262830323436242681012142461012242624426262826268102628623668101214161820222424262830323438404244464850[[#This Row],[Uso diário]]*5</f>
        <v>94</v>
      </c>
      <c r="Q6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6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3" s="25">
        <v>26</v>
      </c>
    </row>
    <row r="64" spans="1:20" s="26" customFormat="1" x14ac:dyDescent="0.25">
      <c r="A64" s="16">
        <v>230386</v>
      </c>
      <c r="B64" s="30" t="s">
        <v>557</v>
      </c>
      <c r="C64" s="20" t="s">
        <v>651</v>
      </c>
      <c r="D64" s="20" t="s">
        <v>719</v>
      </c>
      <c r="E64" s="20" t="s">
        <v>3864</v>
      </c>
      <c r="F64" s="20" t="s">
        <v>3865</v>
      </c>
      <c r="G64" s="21">
        <v>18.8</v>
      </c>
      <c r="H64" s="16">
        <v>16</v>
      </c>
      <c r="I64" s="16"/>
      <c r="J6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64" s="22"/>
      <c r="L64" s="23"/>
      <c r="M6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4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64" s="19">
        <f>Tabela17468101214223032268161925273133362421012141618242628303840248101214162022262830323436242681012142461012242624426262826268102628623668101214161820222424262830323438404244464850[[#This Row],[Total Acumulado]]-P64</f>
        <v>-94</v>
      </c>
      <c r="P64" s="48">
        <f>Tabela17468101214223032268161925273133362421012141618242628303840248101214162022262830323436242681012142461012242624426262826268102628623668101214161820222424262830323438404244464850[[#This Row],[Uso diário]]*5</f>
        <v>94</v>
      </c>
      <c r="Q6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6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4" s="25">
        <v>26</v>
      </c>
    </row>
    <row r="65" spans="1:20" s="26" customFormat="1" x14ac:dyDescent="0.25">
      <c r="A65" s="16">
        <v>230501</v>
      </c>
      <c r="B65" s="30" t="s">
        <v>193</v>
      </c>
      <c r="C65" s="20" t="s">
        <v>651</v>
      </c>
      <c r="D65" s="20" t="s">
        <v>747</v>
      </c>
      <c r="E65" s="20" t="s">
        <v>3866</v>
      </c>
      <c r="F65" s="20" t="s">
        <v>3867</v>
      </c>
      <c r="G65" s="21">
        <v>13.4</v>
      </c>
      <c r="H65" s="16">
        <v>26</v>
      </c>
      <c r="I65" s="16"/>
      <c r="J6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65" s="22"/>
      <c r="L65" s="23"/>
      <c r="M6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5" s="19">
        <f>Tabela17468101214223032268161925273133362421012141618242628303840248101214162022262830323436242681012142461012242624426262826268102628623668101214161820222424262830323438404244464850[[#This Row],[Total Acumulado]]-P65</f>
        <v>-67</v>
      </c>
      <c r="P6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6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5" s="25">
        <v>26</v>
      </c>
    </row>
    <row r="66" spans="1:20" s="26" customFormat="1" x14ac:dyDescent="0.25">
      <c r="A66" s="16">
        <v>230714</v>
      </c>
      <c r="B66" s="30" t="s">
        <v>1522</v>
      </c>
      <c r="C66" s="20" t="s">
        <v>651</v>
      </c>
      <c r="D66" s="20" t="s">
        <v>719</v>
      </c>
      <c r="E66" s="20" t="s">
        <v>3868</v>
      </c>
      <c r="F66" s="20" t="s">
        <v>3869</v>
      </c>
      <c r="G66" s="21">
        <v>13.4</v>
      </c>
      <c r="H66" s="16">
        <v>16</v>
      </c>
      <c r="I66" s="16"/>
      <c r="J6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66" s="22"/>
      <c r="L66" s="23"/>
      <c r="M6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6" s="19">
        <f>Tabela17468101214223032268161925273133362421012141618242628303840248101214162022262830323436242681012142461012242624426262826268102628623668101214161820222424262830323438404244464850[[#This Row],[Total Acumulado]]-P66</f>
        <v>-67</v>
      </c>
      <c r="P6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6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6" s="25">
        <v>26</v>
      </c>
    </row>
    <row r="67" spans="1:20" s="26" customFormat="1" x14ac:dyDescent="0.25">
      <c r="A67" s="16">
        <v>230715</v>
      </c>
      <c r="B67" s="30" t="s">
        <v>558</v>
      </c>
      <c r="C67" s="20" t="s">
        <v>651</v>
      </c>
      <c r="D67" s="20" t="s">
        <v>719</v>
      </c>
      <c r="E67" s="20" t="s">
        <v>3870</v>
      </c>
      <c r="F67" s="20" t="s">
        <v>3871</v>
      </c>
      <c r="G67" s="21">
        <v>13.4</v>
      </c>
      <c r="H67" s="16">
        <v>16</v>
      </c>
      <c r="I67" s="16"/>
      <c r="J6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67" s="22"/>
      <c r="L67" s="23"/>
      <c r="M6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7" s="19">
        <f>Tabela17468101214223032268161925273133362421012141618242628303840248101214162022262830323436242681012142461012242624426262826268102628623668101214161820222424262830323438404244464850[[#This Row],[Total Acumulado]]-P67</f>
        <v>-67</v>
      </c>
      <c r="P6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6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7" s="25">
        <v>26</v>
      </c>
    </row>
    <row r="68" spans="1:20" s="26" customFormat="1" x14ac:dyDescent="0.25">
      <c r="A68" s="16">
        <v>230717</v>
      </c>
      <c r="B68" s="30" t="s">
        <v>950</v>
      </c>
      <c r="C68" s="20" t="s">
        <v>651</v>
      </c>
      <c r="D68" s="20" t="s">
        <v>719</v>
      </c>
      <c r="E68" s="20" t="s">
        <v>3872</v>
      </c>
      <c r="F68" s="20" t="s">
        <v>3873</v>
      </c>
      <c r="G68" s="21">
        <v>13.4</v>
      </c>
      <c r="H68" s="16">
        <v>16</v>
      </c>
      <c r="I68" s="16"/>
      <c r="J6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68" s="22"/>
      <c r="L68" s="23"/>
      <c r="M6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8" s="19">
        <f>Tabela17468101214223032268161925273133362421012141618242628303840248101214162022262830323436242681012142461012242624426262826268102628623668101214161820222424262830323438404244464850[[#This Row],[Total Acumulado]]-P68</f>
        <v>-67</v>
      </c>
      <c r="P6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6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8" s="25">
        <v>26</v>
      </c>
    </row>
    <row r="69" spans="1:20" s="26" customFormat="1" x14ac:dyDescent="0.25">
      <c r="A69" s="16">
        <v>230719</v>
      </c>
      <c r="B69" s="30" t="s">
        <v>560</v>
      </c>
      <c r="C69" s="20" t="s">
        <v>651</v>
      </c>
      <c r="D69" s="20" t="s">
        <v>719</v>
      </c>
      <c r="E69" s="20" t="s">
        <v>3874</v>
      </c>
      <c r="F69" s="20" t="s">
        <v>3875</v>
      </c>
      <c r="G69" s="21">
        <v>13.4</v>
      </c>
      <c r="H69" s="16">
        <v>16</v>
      </c>
      <c r="I69" s="16"/>
      <c r="J6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69" s="22"/>
      <c r="L69" s="23"/>
      <c r="M6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6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69" s="19">
        <f>Tabela17468101214223032268161925273133362421012141618242628303840248101214162022262830323436242681012142461012242624426262826268102628623668101214161820222424262830323438404244464850[[#This Row],[Total Acumulado]]-P69</f>
        <v>-67</v>
      </c>
      <c r="P6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6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6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6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69" s="25">
        <v>26</v>
      </c>
    </row>
    <row r="70" spans="1:20" s="26" customFormat="1" x14ac:dyDescent="0.25">
      <c r="A70" s="16">
        <v>230720</v>
      </c>
      <c r="B70" s="30" t="s">
        <v>561</v>
      </c>
      <c r="C70" s="20" t="s">
        <v>651</v>
      </c>
      <c r="D70" s="20" t="s">
        <v>719</v>
      </c>
      <c r="E70" s="20" t="s">
        <v>3876</v>
      </c>
      <c r="F70" s="20" t="s">
        <v>3877</v>
      </c>
      <c r="G70" s="21">
        <v>13.4</v>
      </c>
      <c r="H70" s="16">
        <v>16</v>
      </c>
      <c r="I70" s="16"/>
      <c r="J7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0" s="22"/>
      <c r="L70" s="23"/>
      <c r="M7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0" s="19">
        <f>Tabela17468101214223032268161925273133362421012141618242628303840248101214162022262830323436242681012142461012242624426262826268102628623668101214161820222424262830323438404244464850[[#This Row],[Total Acumulado]]-P70</f>
        <v>-67</v>
      </c>
      <c r="P7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0" s="25">
        <v>26</v>
      </c>
    </row>
    <row r="71" spans="1:20" s="26" customFormat="1" x14ac:dyDescent="0.25">
      <c r="A71" s="16">
        <v>230724</v>
      </c>
      <c r="B71" s="30" t="s">
        <v>563</v>
      </c>
      <c r="C71" s="20" t="s">
        <v>651</v>
      </c>
      <c r="D71" s="20" t="s">
        <v>719</v>
      </c>
      <c r="E71" s="20" t="s">
        <v>3878</v>
      </c>
      <c r="F71" s="20" t="s">
        <v>3879</v>
      </c>
      <c r="G71" s="21">
        <v>13.4</v>
      </c>
      <c r="H71" s="16">
        <v>16</v>
      </c>
      <c r="I71" s="16"/>
      <c r="J7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1" s="22"/>
      <c r="L71" s="23"/>
      <c r="M7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1" s="19">
        <f>Tabela17468101214223032268161925273133362421012141618242628303840248101214162022262830323436242681012142461012242624426262826268102628623668101214161820222424262830323438404244464850[[#This Row],[Total Acumulado]]-P71</f>
        <v>-67</v>
      </c>
      <c r="P7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1" s="25">
        <v>26</v>
      </c>
    </row>
    <row r="72" spans="1:20" s="26" customFormat="1" x14ac:dyDescent="0.25">
      <c r="A72" s="16">
        <v>230728</v>
      </c>
      <c r="B72" s="30" t="s">
        <v>564</v>
      </c>
      <c r="C72" s="20" t="s">
        <v>651</v>
      </c>
      <c r="D72" s="20" t="s">
        <v>719</v>
      </c>
      <c r="E72" s="20" t="s">
        <v>3880</v>
      </c>
      <c r="F72" s="20" t="s">
        <v>3881</v>
      </c>
      <c r="G72" s="21">
        <v>13.4</v>
      </c>
      <c r="H72" s="16">
        <v>16</v>
      </c>
      <c r="I72" s="16"/>
      <c r="J7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2" s="22"/>
      <c r="L72" s="23"/>
      <c r="M7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2" s="19">
        <f>Tabela17468101214223032268161925273133362421012141618242628303840248101214162022262830323436242681012142461012242624426262826268102628623668101214161820222424262830323438404244464850[[#This Row],[Total Acumulado]]-P72</f>
        <v>-67</v>
      </c>
      <c r="P7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2" s="25">
        <v>26</v>
      </c>
    </row>
    <row r="73" spans="1:20" s="26" customFormat="1" x14ac:dyDescent="0.25">
      <c r="A73" s="16">
        <v>230729</v>
      </c>
      <c r="B73" s="30" t="s">
        <v>565</v>
      </c>
      <c r="C73" s="20" t="s">
        <v>651</v>
      </c>
      <c r="D73" s="20" t="s">
        <v>719</v>
      </c>
      <c r="E73" s="20" t="s">
        <v>3882</v>
      </c>
      <c r="F73" s="20" t="s">
        <v>3883</v>
      </c>
      <c r="G73" s="21">
        <v>13.4</v>
      </c>
      <c r="H73" s="16">
        <v>16</v>
      </c>
      <c r="I73" s="16">
        <v>1</v>
      </c>
      <c r="J7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201</v>
      </c>
      <c r="K73" s="22"/>
      <c r="L73" s="23"/>
      <c r="M7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3" s="19">
        <f>Tabela17468101214223032268161925273133362421012141618242628303840248101214162022262830323436242681012142461012242624426262826268102628623668101214161820222424262830323438404244464850[[#This Row],[Total Acumulado]]-P73</f>
        <v>-67</v>
      </c>
      <c r="P7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201</v>
      </c>
      <c r="S7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3" s="25">
        <v>26</v>
      </c>
    </row>
    <row r="74" spans="1:20" s="26" customFormat="1" x14ac:dyDescent="0.25">
      <c r="A74" s="16">
        <v>230736</v>
      </c>
      <c r="B74" s="30" t="s">
        <v>567</v>
      </c>
      <c r="C74" s="20" t="s">
        <v>651</v>
      </c>
      <c r="D74" s="20" t="s">
        <v>719</v>
      </c>
      <c r="E74" s="20" t="s">
        <v>3884</v>
      </c>
      <c r="F74" s="20" t="s">
        <v>3885</v>
      </c>
      <c r="G74" s="21">
        <v>13.4</v>
      </c>
      <c r="H74" s="16">
        <v>16</v>
      </c>
      <c r="I74" s="16"/>
      <c r="J7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4" s="22"/>
      <c r="L74" s="23">
        <v>115.5</v>
      </c>
      <c r="M74" s="23">
        <f>SUM(Tabela17468101214223032268161925273133362421012141618242628303840248101214162022262830323436242681012142461012242624426262826268102628623668101214161820222424262830323438404244464850[[#This Row],[Saldo no cartão]:[Recarga Pendente]])</f>
        <v>115.5</v>
      </c>
      <c r="N7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4" s="19">
        <f>Tabela17468101214223032268161925273133362421012141618242628303840248101214162022262830323436242681012142461012242624426262826268102628623668101214161820222424262830323438404244464850[[#This Row],[Total Acumulado]]-P74</f>
        <v>48.5</v>
      </c>
      <c r="P7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48.5</v>
      </c>
      <c r="R7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165.9</v>
      </c>
      <c r="S74" s="18" t="s">
        <v>11</v>
      </c>
      <c r="T74" s="25">
        <v>26</v>
      </c>
    </row>
    <row r="75" spans="1:20" s="26" customFormat="1" x14ac:dyDescent="0.25">
      <c r="A75" s="16">
        <v>230739</v>
      </c>
      <c r="B75" s="30" t="s">
        <v>568</v>
      </c>
      <c r="C75" s="20" t="s">
        <v>651</v>
      </c>
      <c r="D75" s="20" t="s">
        <v>719</v>
      </c>
      <c r="E75" s="20" t="s">
        <v>3886</v>
      </c>
      <c r="F75" s="20" t="s">
        <v>3887</v>
      </c>
      <c r="G75" s="21">
        <v>13.4</v>
      </c>
      <c r="H75" s="16">
        <v>16</v>
      </c>
      <c r="I75" s="16"/>
      <c r="J7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5" s="22"/>
      <c r="L75" s="23"/>
      <c r="M7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5" s="19">
        <f>Tabela17468101214223032268161925273133362421012141618242628303840248101214162022262830323436242681012142461012242624426262826268102628623668101214161820222424262830323438404244464850[[#This Row],[Total Acumulado]]-P75</f>
        <v>-67</v>
      </c>
      <c r="P7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5" s="25">
        <v>26</v>
      </c>
    </row>
    <row r="76" spans="1:20" s="26" customFormat="1" x14ac:dyDescent="0.25">
      <c r="A76" s="16">
        <v>230741</v>
      </c>
      <c r="B76" s="30" t="s">
        <v>569</v>
      </c>
      <c r="C76" s="20" t="s">
        <v>651</v>
      </c>
      <c r="D76" s="20" t="s">
        <v>719</v>
      </c>
      <c r="E76" s="20" t="s">
        <v>3888</v>
      </c>
      <c r="F76" s="20" t="s">
        <v>3889</v>
      </c>
      <c r="G76" s="21">
        <v>13.4</v>
      </c>
      <c r="H76" s="16">
        <v>16</v>
      </c>
      <c r="I76" s="16"/>
      <c r="J7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6" s="22"/>
      <c r="L76" s="23"/>
      <c r="M7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6" s="19">
        <f>Tabela17468101214223032268161925273133362421012141618242628303840248101214162022262830323436242681012142461012242624426262826268102628623668101214161820222424262830323438404244464850[[#This Row],[Total Acumulado]]-P76</f>
        <v>-67</v>
      </c>
      <c r="P7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6" s="25">
        <v>26</v>
      </c>
    </row>
    <row r="77" spans="1:20" s="26" customFormat="1" x14ac:dyDescent="0.25">
      <c r="A77" s="16">
        <v>230743</v>
      </c>
      <c r="B77" s="30" t="s">
        <v>570</v>
      </c>
      <c r="C77" s="20" t="s">
        <v>651</v>
      </c>
      <c r="D77" s="20" t="s">
        <v>719</v>
      </c>
      <c r="E77" s="20" t="s">
        <v>3890</v>
      </c>
      <c r="F77" s="20" t="s">
        <v>3891</v>
      </c>
      <c r="G77" s="21">
        <v>13.4</v>
      </c>
      <c r="H77" s="16">
        <v>16</v>
      </c>
      <c r="I77" s="16"/>
      <c r="J7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7" s="22"/>
      <c r="L77" s="23"/>
      <c r="M7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7" s="19">
        <f>Tabela17468101214223032268161925273133362421012141618242628303840248101214162022262830323436242681012142461012242624426262826268102628623668101214161820222424262830323438404244464850[[#This Row],[Total Acumulado]]-P77</f>
        <v>-67</v>
      </c>
      <c r="P7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7" s="25">
        <v>26</v>
      </c>
    </row>
    <row r="78" spans="1:20" s="26" customFormat="1" x14ac:dyDescent="0.25">
      <c r="A78" s="16">
        <v>230747</v>
      </c>
      <c r="B78" s="30" t="s">
        <v>571</v>
      </c>
      <c r="C78" s="20" t="s">
        <v>651</v>
      </c>
      <c r="D78" s="20" t="s">
        <v>719</v>
      </c>
      <c r="E78" s="20" t="s">
        <v>3892</v>
      </c>
      <c r="F78" s="20" t="s">
        <v>3893</v>
      </c>
      <c r="G78" s="21">
        <v>13.4</v>
      </c>
      <c r="H78" s="16">
        <v>16</v>
      </c>
      <c r="I78" s="16"/>
      <c r="J7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8" s="22"/>
      <c r="L78" s="23"/>
      <c r="M7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8" s="19">
        <f>Tabela17468101214223032268161925273133362421012141618242628303840248101214162022262830323436242681012142461012242624426262826268102628623668101214161820222424262830323438404244464850[[#This Row],[Total Acumulado]]-P78</f>
        <v>-67</v>
      </c>
      <c r="P7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8" s="25">
        <v>26</v>
      </c>
    </row>
    <row r="79" spans="1:20" s="26" customFormat="1" x14ac:dyDescent="0.25">
      <c r="A79" s="16">
        <v>230751</v>
      </c>
      <c r="B79" s="30" t="s">
        <v>573</v>
      </c>
      <c r="C79" s="20" t="s">
        <v>651</v>
      </c>
      <c r="D79" s="20" t="s">
        <v>719</v>
      </c>
      <c r="E79" s="20" t="s">
        <v>3894</v>
      </c>
      <c r="F79" s="20" t="s">
        <v>3895</v>
      </c>
      <c r="G79" s="21">
        <v>13.4</v>
      </c>
      <c r="H79" s="16">
        <v>16</v>
      </c>
      <c r="I79" s="16"/>
      <c r="J7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79" s="22"/>
      <c r="L79" s="23"/>
      <c r="M7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7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79" s="19">
        <f>Tabela17468101214223032268161925273133362421012141618242628303840248101214162022262830323436242681012142461012242624426262826268102628623668101214161820222424262830323438404244464850[[#This Row],[Total Acumulado]]-P79</f>
        <v>-67</v>
      </c>
      <c r="P7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7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7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7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79" s="25">
        <v>26</v>
      </c>
    </row>
    <row r="80" spans="1:20" s="26" customFormat="1" x14ac:dyDescent="0.25">
      <c r="A80" s="16">
        <v>230752</v>
      </c>
      <c r="B80" s="30" t="s">
        <v>574</v>
      </c>
      <c r="C80" s="20" t="s">
        <v>651</v>
      </c>
      <c r="D80" s="20" t="s">
        <v>719</v>
      </c>
      <c r="E80" s="20" t="s">
        <v>3896</v>
      </c>
      <c r="F80" s="20" t="s">
        <v>3897</v>
      </c>
      <c r="G80" s="21">
        <v>13.4</v>
      </c>
      <c r="H80" s="16">
        <v>16</v>
      </c>
      <c r="I80" s="16"/>
      <c r="J8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0" s="22"/>
      <c r="L80" s="23">
        <v>17.850000000000001</v>
      </c>
      <c r="M80" s="23">
        <f>SUM(Tabela17468101214223032268161925273133362421012141618242628303840248101214162022262830323436242681012142461012242624426262826268102628623668101214161820222424262830323438404244464850[[#This Row],[Saldo no cartão]:[Recarga Pendente]])</f>
        <v>17.850000000000001</v>
      </c>
      <c r="N8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0" s="19">
        <f>Tabela17468101214223032268161925273133362421012141618242628303840248101214162022262830323436242681012142461012242624426262826268102628623668101214161820222424262830323438404244464850[[#This Row],[Total Acumulado]]-P80</f>
        <v>-49.15</v>
      </c>
      <c r="P8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0" s="25">
        <v>26</v>
      </c>
    </row>
    <row r="81" spans="1:20" s="26" customFormat="1" x14ac:dyDescent="0.25">
      <c r="A81" s="16">
        <v>230753</v>
      </c>
      <c r="B81" s="30" t="s">
        <v>575</v>
      </c>
      <c r="C81" s="20" t="s">
        <v>651</v>
      </c>
      <c r="D81" s="20" t="s">
        <v>719</v>
      </c>
      <c r="E81" s="20" t="s">
        <v>3898</v>
      </c>
      <c r="F81" s="20" t="s">
        <v>3899</v>
      </c>
      <c r="G81" s="21">
        <v>13.4</v>
      </c>
      <c r="H81" s="16">
        <v>16</v>
      </c>
      <c r="I81" s="16"/>
      <c r="J8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1" s="22"/>
      <c r="L81" s="23"/>
      <c r="M8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1" s="19">
        <f>Tabela17468101214223032268161925273133362421012141618242628303840248101214162022262830323436242681012142461012242624426262826268102628623668101214161820222424262830323438404244464850[[#This Row],[Total Acumulado]]-P81</f>
        <v>-67</v>
      </c>
      <c r="P8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1" s="25">
        <v>26</v>
      </c>
    </row>
    <row r="82" spans="1:20" s="26" customFormat="1" x14ac:dyDescent="0.25">
      <c r="A82" s="16">
        <v>230755</v>
      </c>
      <c r="B82" s="30" t="s">
        <v>576</v>
      </c>
      <c r="C82" s="20" t="s">
        <v>651</v>
      </c>
      <c r="D82" s="20" t="s">
        <v>719</v>
      </c>
      <c r="E82" s="20" t="s">
        <v>3900</v>
      </c>
      <c r="F82" s="20" t="s">
        <v>3901</v>
      </c>
      <c r="G82" s="21">
        <v>13.4</v>
      </c>
      <c r="H82" s="16">
        <v>16</v>
      </c>
      <c r="I82" s="16"/>
      <c r="J8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2" s="22"/>
      <c r="L82" s="23">
        <v>84.7</v>
      </c>
      <c r="M82" s="23">
        <f>SUM(Tabela17468101214223032268161925273133362421012141618242628303840248101214162022262830323436242681012142461012242624426262826268102628623668101214161820222424262830323438404244464850[[#This Row],[Saldo no cartão]:[Recarga Pendente]])</f>
        <v>84.7</v>
      </c>
      <c r="N8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2" s="19">
        <f>Tabela17468101214223032268161925273133362421012141618242628303840248101214162022262830323436242681012142461012242624426262826268102628623668101214161820222424262830323438404244464850[[#This Row],[Total Acumulado]]-P82</f>
        <v>17.700000000000003</v>
      </c>
      <c r="P8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2" s="25">
        <v>26</v>
      </c>
    </row>
    <row r="83" spans="1:20" s="26" customFormat="1" x14ac:dyDescent="0.25">
      <c r="A83" s="16">
        <v>230756</v>
      </c>
      <c r="B83" s="30" t="s">
        <v>577</v>
      </c>
      <c r="C83" s="20" t="s">
        <v>651</v>
      </c>
      <c r="D83" s="20" t="s">
        <v>716</v>
      </c>
      <c r="E83" s="20" t="s">
        <v>3902</v>
      </c>
      <c r="F83" s="20" t="s">
        <v>3903</v>
      </c>
      <c r="G83" s="21">
        <v>13.4</v>
      </c>
      <c r="H83" s="16">
        <v>16</v>
      </c>
      <c r="I83" s="16"/>
      <c r="J8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3" s="22"/>
      <c r="L83" s="23"/>
      <c r="M8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3" s="19">
        <f>Tabela17468101214223032268161925273133362421012141618242628303840248101214162022262830323436242681012142461012242624426262826268102628623668101214161820222424262830323438404244464850[[#This Row],[Total Acumulado]]-P83</f>
        <v>-67</v>
      </c>
      <c r="P8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3" s="25">
        <v>26</v>
      </c>
    </row>
    <row r="84" spans="1:20" s="26" customFormat="1" x14ac:dyDescent="0.25">
      <c r="A84" s="16">
        <v>230758</v>
      </c>
      <c r="B84" s="30" t="s">
        <v>578</v>
      </c>
      <c r="C84" s="20" t="s">
        <v>651</v>
      </c>
      <c r="D84" s="20" t="s">
        <v>716</v>
      </c>
      <c r="E84" s="20" t="s">
        <v>3904</v>
      </c>
      <c r="F84" s="20" t="s">
        <v>3905</v>
      </c>
      <c r="G84" s="21">
        <v>13.4</v>
      </c>
      <c r="H84" s="16">
        <v>16</v>
      </c>
      <c r="I84" s="16"/>
      <c r="J8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4" s="22"/>
      <c r="L84" s="23"/>
      <c r="M8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4" s="19">
        <f>Tabela17468101214223032268161925273133362421012141618242628303840248101214162022262830323436242681012142461012242624426262826268102628623668101214161820222424262830323438404244464850[[#This Row],[Total Acumulado]]-P84</f>
        <v>-67</v>
      </c>
      <c r="P8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4" s="25">
        <v>26</v>
      </c>
    </row>
    <row r="85" spans="1:20" s="26" customFormat="1" x14ac:dyDescent="0.25">
      <c r="A85" s="16">
        <v>230759</v>
      </c>
      <c r="B85" s="30" t="s">
        <v>579</v>
      </c>
      <c r="C85" s="20" t="s">
        <v>651</v>
      </c>
      <c r="D85" s="20" t="s">
        <v>716</v>
      </c>
      <c r="E85" s="20" t="s">
        <v>3906</v>
      </c>
      <c r="F85" s="20" t="s">
        <v>3907</v>
      </c>
      <c r="G85" s="21">
        <v>13.4</v>
      </c>
      <c r="H85" s="16">
        <v>16</v>
      </c>
      <c r="I85" s="16"/>
      <c r="J8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5" s="22"/>
      <c r="L85" s="23"/>
      <c r="M8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5" s="19">
        <f>Tabela17468101214223032268161925273133362421012141618242628303840248101214162022262830323436242681012142461012242624426262826268102628623668101214161820222424262830323438404244464850[[#This Row],[Total Acumulado]]-P85</f>
        <v>-67</v>
      </c>
      <c r="P8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5" s="25">
        <v>26</v>
      </c>
    </row>
    <row r="86" spans="1:20" s="26" customFormat="1" x14ac:dyDescent="0.25">
      <c r="A86" s="16">
        <v>230760</v>
      </c>
      <c r="B86" s="30" t="s">
        <v>580</v>
      </c>
      <c r="C86" s="20" t="s">
        <v>651</v>
      </c>
      <c r="D86" s="20" t="s">
        <v>716</v>
      </c>
      <c r="E86" s="20" t="s">
        <v>3908</v>
      </c>
      <c r="F86" s="20" t="s">
        <v>3909</v>
      </c>
      <c r="G86" s="21">
        <v>13.4</v>
      </c>
      <c r="H86" s="16">
        <v>16</v>
      </c>
      <c r="I86" s="16"/>
      <c r="J8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6" s="22"/>
      <c r="L86" s="23"/>
      <c r="M8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6" s="19">
        <f>Tabela17468101214223032268161925273133362421012141618242628303840248101214162022262830323436242681012142461012242624426262826268102628623668101214161820222424262830323438404244464850[[#This Row],[Total Acumulado]]-P86</f>
        <v>-67</v>
      </c>
      <c r="P8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6" s="25">
        <v>26</v>
      </c>
    </row>
    <row r="87" spans="1:20" s="26" customFormat="1" x14ac:dyDescent="0.25">
      <c r="A87" s="16">
        <v>230764</v>
      </c>
      <c r="B87" s="30" t="s">
        <v>581</v>
      </c>
      <c r="C87" s="20" t="s">
        <v>651</v>
      </c>
      <c r="D87" s="20" t="s">
        <v>719</v>
      </c>
      <c r="E87" s="20" t="s">
        <v>3910</v>
      </c>
      <c r="F87" s="20" t="s">
        <v>3911</v>
      </c>
      <c r="G87" s="21">
        <v>13.4</v>
      </c>
      <c r="H87" s="16">
        <v>16</v>
      </c>
      <c r="I87" s="16"/>
      <c r="J8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7" s="22"/>
      <c r="L87" s="23"/>
      <c r="M8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7" s="19">
        <f>Tabela17468101214223032268161925273133362421012141618242628303840248101214162022262830323436242681012142461012242624426262826268102628623668101214161820222424262830323438404244464850[[#This Row],[Total Acumulado]]-P87</f>
        <v>-67</v>
      </c>
      <c r="P8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7" s="25">
        <v>26</v>
      </c>
    </row>
    <row r="88" spans="1:20" s="26" customFormat="1" x14ac:dyDescent="0.25">
      <c r="A88" s="16">
        <v>230774</v>
      </c>
      <c r="B88" s="30" t="s">
        <v>582</v>
      </c>
      <c r="C88" s="20" t="s">
        <v>651</v>
      </c>
      <c r="D88" s="20" t="s">
        <v>716</v>
      </c>
      <c r="E88" s="20" t="s">
        <v>3912</v>
      </c>
      <c r="F88" s="20" t="s">
        <v>3913</v>
      </c>
      <c r="G88" s="21">
        <v>13.4</v>
      </c>
      <c r="H88" s="16">
        <v>16</v>
      </c>
      <c r="I88" s="16"/>
      <c r="J8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8" s="22"/>
      <c r="L88" s="23"/>
      <c r="M8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8" s="19">
        <f>Tabela17468101214223032268161925273133362421012141618242628303840248101214162022262830323436242681012142461012242624426262826268102628623668101214161820222424262830323438404244464850[[#This Row],[Total Acumulado]]-P88</f>
        <v>-67</v>
      </c>
      <c r="P8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8" s="25">
        <v>26</v>
      </c>
    </row>
    <row r="89" spans="1:20" s="26" customFormat="1" x14ac:dyDescent="0.25">
      <c r="A89" s="16">
        <v>231005</v>
      </c>
      <c r="B89" s="30" t="s">
        <v>1523</v>
      </c>
      <c r="C89" s="20" t="s">
        <v>651</v>
      </c>
      <c r="D89" s="20" t="s">
        <v>716</v>
      </c>
      <c r="E89" s="20" t="s">
        <v>3914</v>
      </c>
      <c r="F89" s="20" t="s">
        <v>3915</v>
      </c>
      <c r="G89" s="21">
        <v>13.4</v>
      </c>
      <c r="H89" s="16">
        <v>16</v>
      </c>
      <c r="I89" s="16"/>
      <c r="J8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89" s="22"/>
      <c r="L89" s="23"/>
      <c r="M8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8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89" s="19">
        <f>Tabela17468101214223032268161925273133362421012141618242628303840248101214162022262830323436242681012142461012242624426262826268102628623668101214161820222424262830323438404244464850[[#This Row],[Total Acumulado]]-P89</f>
        <v>-67</v>
      </c>
      <c r="P8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8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8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8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89" s="25">
        <v>26</v>
      </c>
    </row>
    <row r="90" spans="1:20" s="26" customFormat="1" x14ac:dyDescent="0.25">
      <c r="A90" s="16">
        <v>231009</v>
      </c>
      <c r="B90" s="30" t="s">
        <v>585</v>
      </c>
      <c r="C90" s="20" t="s">
        <v>651</v>
      </c>
      <c r="D90" s="20" t="s">
        <v>716</v>
      </c>
      <c r="E90" s="20" t="s">
        <v>3916</v>
      </c>
      <c r="F90" s="20" t="s">
        <v>3917</v>
      </c>
      <c r="G90" s="21">
        <v>13.4</v>
      </c>
      <c r="H90" s="16">
        <v>16</v>
      </c>
      <c r="I90" s="16"/>
      <c r="J9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90" s="22"/>
      <c r="L90" s="23"/>
      <c r="M9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0" s="19">
        <f>Tabela17468101214223032268161925273133362421012141618242628303840248101214162022262830323436242681012142461012242624426262826268102628623668101214161820222424262830323438404244464850[[#This Row],[Total Acumulado]]-P90</f>
        <v>-67</v>
      </c>
      <c r="P9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9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0" s="25">
        <v>26</v>
      </c>
    </row>
    <row r="91" spans="1:20" s="26" customFormat="1" x14ac:dyDescent="0.25">
      <c r="A91" s="16">
        <v>231013</v>
      </c>
      <c r="B91" s="30" t="s">
        <v>586</v>
      </c>
      <c r="C91" s="20" t="s">
        <v>651</v>
      </c>
      <c r="D91" s="20" t="s">
        <v>719</v>
      </c>
      <c r="E91" s="20" t="s">
        <v>3918</v>
      </c>
      <c r="F91" s="20" t="s">
        <v>3919</v>
      </c>
      <c r="G91" s="21">
        <v>13.4</v>
      </c>
      <c r="H91" s="16">
        <v>16</v>
      </c>
      <c r="I91" s="16"/>
      <c r="J9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91" s="22"/>
      <c r="L91" s="23"/>
      <c r="M9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1" s="19">
        <f>Tabela17468101214223032268161925273133362421012141618242628303840248101214162022262830323436242681012142461012242624426262826268102628623668101214161820222424262830323438404244464850[[#This Row],[Total Acumulado]]-P91</f>
        <v>-67</v>
      </c>
      <c r="P9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9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1" s="25">
        <v>26</v>
      </c>
    </row>
    <row r="92" spans="1:20" s="26" customFormat="1" x14ac:dyDescent="0.25">
      <c r="A92" s="16">
        <v>231021</v>
      </c>
      <c r="B92" s="30" t="s">
        <v>1524</v>
      </c>
      <c r="C92" s="20" t="s">
        <v>651</v>
      </c>
      <c r="D92" s="20" t="s">
        <v>717</v>
      </c>
      <c r="E92" s="20" t="s">
        <v>3920</v>
      </c>
      <c r="F92" s="20" t="s">
        <v>3921</v>
      </c>
      <c r="G92" s="21">
        <v>18.8</v>
      </c>
      <c r="H92" s="16">
        <v>16</v>
      </c>
      <c r="I92" s="16"/>
      <c r="J9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92" s="22"/>
      <c r="L92" s="23"/>
      <c r="M9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2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92" s="19">
        <f>Tabela17468101214223032268161925273133362421012141618242628303840248101214162022262830323436242681012142461012242624426262826268102628623668101214161820222424262830323438404244464850[[#This Row],[Total Acumulado]]-P92</f>
        <v>-94</v>
      </c>
      <c r="P92" s="48">
        <f>Tabela17468101214223032268161925273133362421012141618242628303840248101214162022262830323436242681012142461012242624426262826268102628623668101214161820222424262830323438404244464850[[#This Row],[Uso diário]]*5</f>
        <v>94</v>
      </c>
      <c r="Q9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9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2" s="25">
        <v>26</v>
      </c>
    </row>
    <row r="93" spans="1:20" s="26" customFormat="1" x14ac:dyDescent="0.25">
      <c r="A93" s="16">
        <v>231023</v>
      </c>
      <c r="B93" s="30" t="s">
        <v>195</v>
      </c>
      <c r="C93" s="20" t="s">
        <v>651</v>
      </c>
      <c r="D93" s="20" t="s">
        <v>719</v>
      </c>
      <c r="E93" s="20" t="s">
        <v>3922</v>
      </c>
      <c r="F93" s="20" t="s">
        <v>3923</v>
      </c>
      <c r="G93" s="21">
        <v>18.8</v>
      </c>
      <c r="H93" s="16">
        <v>16</v>
      </c>
      <c r="I93" s="16"/>
      <c r="J9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93" s="22"/>
      <c r="L93" s="23">
        <v>38.65</v>
      </c>
      <c r="M93" s="23">
        <f>SUM(Tabela17468101214223032268161925273133362421012141618242628303840248101214162022262830323436242681012142461012242624426262826268102628623668101214161820222424262830323438404244464850[[#This Row],[Saldo no cartão]:[Recarga Pendente]])</f>
        <v>38.65</v>
      </c>
      <c r="N93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93" s="19">
        <f>Tabela17468101214223032268161925273133362421012141618242628303840248101214162022262830323436242681012142461012242624426262826268102628623668101214161820222424262830323438404244464850[[#This Row],[Total Acumulado]]-P93</f>
        <v>-55.35</v>
      </c>
      <c r="P93" s="48">
        <f>Tabela17468101214223032268161925273133362421012141618242628303840248101214162022262830323436242681012142461012242624426262826268102628623668101214161820222424262830323438404244464850[[#This Row],[Uso diário]]*5</f>
        <v>94</v>
      </c>
      <c r="Q9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9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3" s="25">
        <v>26</v>
      </c>
    </row>
    <row r="94" spans="1:20" s="26" customFormat="1" x14ac:dyDescent="0.25">
      <c r="A94" s="16">
        <v>231093</v>
      </c>
      <c r="B94" s="30" t="s">
        <v>1525</v>
      </c>
      <c r="C94" s="20" t="s">
        <v>651</v>
      </c>
      <c r="D94" s="20" t="s">
        <v>716</v>
      </c>
      <c r="E94" s="20" t="s">
        <v>3924</v>
      </c>
      <c r="F94" s="20" t="s">
        <v>3925</v>
      </c>
      <c r="G94" s="21">
        <v>13.4</v>
      </c>
      <c r="H94" s="16">
        <v>16</v>
      </c>
      <c r="I94" s="16"/>
      <c r="J9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94" s="22"/>
      <c r="L94" s="23"/>
      <c r="M9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4" s="19">
        <f>Tabela17468101214223032268161925273133362421012141618242628303840248101214162022262830323436242681012142461012242624426262826268102628623668101214161820222424262830323438404244464850[[#This Row],[Total Acumulado]]-P94</f>
        <v>-67</v>
      </c>
      <c r="P9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9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4" s="25">
        <v>26</v>
      </c>
    </row>
    <row r="95" spans="1:20" s="26" customFormat="1" x14ac:dyDescent="0.25">
      <c r="A95" s="16">
        <v>231180</v>
      </c>
      <c r="B95" s="30" t="s">
        <v>775</v>
      </c>
      <c r="C95" s="20" t="s">
        <v>651</v>
      </c>
      <c r="D95" s="20" t="s">
        <v>719</v>
      </c>
      <c r="E95" s="20" t="s">
        <v>3926</v>
      </c>
      <c r="F95" s="20" t="s">
        <v>3927</v>
      </c>
      <c r="G95" s="21">
        <v>18.8</v>
      </c>
      <c r="H95" s="16">
        <v>16</v>
      </c>
      <c r="I95" s="16"/>
      <c r="J9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95" s="22"/>
      <c r="L95" s="23">
        <v>282</v>
      </c>
      <c r="M95" s="23">
        <f>SUM(Tabela17468101214223032268161925273133362421012141618242628303840248101214162022262830323436242681012142461012242624426262826268102628623668101214161820222424262830323438404244464850[[#This Row],[Saldo no cartão]:[Recarga Pendente]])</f>
        <v>282</v>
      </c>
      <c r="N95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95" s="19">
        <f>Tabela17468101214223032268161925273133362421012141618242628303840248101214162022262830323436242681012142461012242624426262826268102628623668101214161820222424262830323438404244464850[[#This Row],[Total Acumulado]]-P95</f>
        <v>188</v>
      </c>
      <c r="P95" s="48">
        <f>Tabela17468101214223032268161925273133362421012141618242628303840248101214162022262830323436242681012142461012242624426262826268102628623668101214161820222424262830323438404244464850[[#This Row],[Uso diário]]*5</f>
        <v>94</v>
      </c>
      <c r="Q9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188</v>
      </c>
      <c r="R9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112.80000000000001</v>
      </c>
      <c r="S95" s="18" t="s">
        <v>11</v>
      </c>
      <c r="T95" s="25">
        <v>26</v>
      </c>
    </row>
    <row r="96" spans="1:20" s="26" customFormat="1" x14ac:dyDescent="0.25">
      <c r="A96" s="16">
        <v>231181</v>
      </c>
      <c r="B96" s="30" t="s">
        <v>776</v>
      </c>
      <c r="C96" s="20" t="s">
        <v>651</v>
      </c>
      <c r="D96" s="20" t="s">
        <v>716</v>
      </c>
      <c r="E96" s="20" t="s">
        <v>3928</v>
      </c>
      <c r="F96" s="20" t="s">
        <v>3929</v>
      </c>
      <c r="G96" s="21">
        <v>18.8</v>
      </c>
      <c r="H96" s="16">
        <v>16</v>
      </c>
      <c r="I96" s="16"/>
      <c r="J9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96" s="22"/>
      <c r="L96" s="23"/>
      <c r="M9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6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96" s="19">
        <f>Tabela17468101214223032268161925273133362421012141618242628303840248101214162022262830323436242681012142461012242624426262826268102628623668101214161820222424262830323438404244464850[[#This Row],[Total Acumulado]]-P96</f>
        <v>-94</v>
      </c>
      <c r="P96" s="48">
        <f>Tabela17468101214223032268161925273133362421012141618242628303840248101214162022262830323436242681012142461012242624426262826268102628623668101214161820222424262830323438404244464850[[#This Row],[Uso diário]]*5</f>
        <v>94</v>
      </c>
      <c r="Q9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9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6" s="25">
        <v>26</v>
      </c>
    </row>
    <row r="97" spans="1:20" s="26" customFormat="1" x14ac:dyDescent="0.25">
      <c r="A97" s="16">
        <v>231225</v>
      </c>
      <c r="B97" s="30" t="s">
        <v>800</v>
      </c>
      <c r="C97" s="20" t="s">
        <v>651</v>
      </c>
      <c r="D97" s="20" t="s">
        <v>716</v>
      </c>
      <c r="E97" s="20" t="s">
        <v>3930</v>
      </c>
      <c r="F97" s="20" t="s">
        <v>3931</v>
      </c>
      <c r="G97" s="21">
        <v>13.4</v>
      </c>
      <c r="H97" s="16">
        <v>16</v>
      </c>
      <c r="I97" s="16"/>
      <c r="J9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97" s="22"/>
      <c r="L97" s="23"/>
      <c r="M9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7" s="19">
        <f>Tabela17468101214223032268161925273133362421012141618242628303840248101214162022262830323436242681012142461012242624426262826268102628623668101214161820222424262830323438404244464850[[#This Row],[Total Acumulado]]-P97</f>
        <v>-67</v>
      </c>
      <c r="P9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9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7" s="25">
        <v>26</v>
      </c>
    </row>
    <row r="98" spans="1:20" s="26" customFormat="1" x14ac:dyDescent="0.25">
      <c r="A98" s="16">
        <v>231368</v>
      </c>
      <c r="B98" s="30" t="s">
        <v>801</v>
      </c>
      <c r="C98" s="20" t="s">
        <v>651</v>
      </c>
      <c r="D98" s="20" t="s">
        <v>716</v>
      </c>
      <c r="E98" s="20" t="s">
        <v>3932</v>
      </c>
      <c r="F98" s="20" t="s">
        <v>3933</v>
      </c>
      <c r="G98" s="21">
        <v>13.4</v>
      </c>
      <c r="H98" s="16">
        <v>16</v>
      </c>
      <c r="I98" s="16"/>
      <c r="J9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98" s="22"/>
      <c r="L98" s="23"/>
      <c r="M9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8" s="19">
        <f>Tabela17468101214223032268161925273133362421012141618242628303840248101214162022262830323436242681012142461012242624426262826268102628623668101214161820222424262830323438404244464850[[#This Row],[Total Acumulado]]-P98</f>
        <v>-67</v>
      </c>
      <c r="P9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9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8" s="25">
        <v>26</v>
      </c>
    </row>
    <row r="99" spans="1:20" s="26" customFormat="1" x14ac:dyDescent="0.25">
      <c r="A99" s="16">
        <v>231370</v>
      </c>
      <c r="B99" s="30" t="s">
        <v>802</v>
      </c>
      <c r="C99" s="20" t="s">
        <v>651</v>
      </c>
      <c r="D99" s="20" t="s">
        <v>719</v>
      </c>
      <c r="E99" s="20" t="s">
        <v>3934</v>
      </c>
      <c r="F99" s="20" t="s">
        <v>3935</v>
      </c>
      <c r="G99" s="21">
        <v>13.4</v>
      </c>
      <c r="H99" s="16">
        <v>16</v>
      </c>
      <c r="I99" s="16"/>
      <c r="J9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99" s="22"/>
      <c r="L99" s="23"/>
      <c r="M9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9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99" s="19">
        <f>Tabela17468101214223032268161925273133362421012141618242628303840248101214162022262830323436242681012142461012242624426262826268102628623668101214161820222424262830323438404244464850[[#This Row],[Total Acumulado]]-P99</f>
        <v>-67</v>
      </c>
      <c r="P9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9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9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9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99" s="25">
        <v>26</v>
      </c>
    </row>
    <row r="100" spans="1:20" s="26" customFormat="1" x14ac:dyDescent="0.25">
      <c r="A100" s="16">
        <v>231512</v>
      </c>
      <c r="B100" s="30" t="s">
        <v>803</v>
      </c>
      <c r="C100" s="20" t="s">
        <v>651</v>
      </c>
      <c r="D100" s="20" t="s">
        <v>719</v>
      </c>
      <c r="E100" s="20" t="s">
        <v>3936</v>
      </c>
      <c r="F100" s="20" t="s">
        <v>3937</v>
      </c>
      <c r="G100" s="21">
        <v>13.4</v>
      </c>
      <c r="H100" s="16">
        <v>16</v>
      </c>
      <c r="I100" s="16"/>
      <c r="J10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0" s="22"/>
      <c r="L100" s="23"/>
      <c r="M10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0" s="19">
        <f>Tabela17468101214223032268161925273133362421012141618242628303840248101214162022262830323436242681012142461012242624426262826268102628623668101214161820222424262830323438404244464850[[#This Row],[Total Acumulado]]-P100</f>
        <v>-67</v>
      </c>
      <c r="P10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0" s="25">
        <v>26</v>
      </c>
    </row>
    <row r="101" spans="1:20" s="26" customFormat="1" x14ac:dyDescent="0.25">
      <c r="A101" s="16">
        <v>231580</v>
      </c>
      <c r="B101" s="30" t="s">
        <v>864</v>
      </c>
      <c r="C101" s="20" t="s">
        <v>651</v>
      </c>
      <c r="D101" s="20" t="s">
        <v>716</v>
      </c>
      <c r="E101" s="20" t="s">
        <v>3938</v>
      </c>
      <c r="F101" s="20" t="s">
        <v>3939</v>
      </c>
      <c r="G101" s="21">
        <v>13.4</v>
      </c>
      <c r="H101" s="16">
        <v>16</v>
      </c>
      <c r="I101" s="16"/>
      <c r="J10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1" s="22"/>
      <c r="L101" s="23">
        <v>35.700000000000003</v>
      </c>
      <c r="M101" s="23">
        <f>SUM(Tabela17468101214223032268161925273133362421012141618242628303840248101214162022262830323436242681012142461012242624426262826268102628623668101214161820222424262830323438404244464850[[#This Row],[Saldo no cartão]:[Recarga Pendente]])</f>
        <v>35.700000000000003</v>
      </c>
      <c r="N10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1" s="19">
        <f>Tabela17468101214223032268161925273133362421012141618242628303840248101214162022262830323436242681012142461012242624426262826268102628623668101214161820222424262830323438404244464850[[#This Row],[Total Acumulado]]-P101</f>
        <v>-31.299999999999997</v>
      </c>
      <c r="P10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1" s="25">
        <v>26</v>
      </c>
    </row>
    <row r="102" spans="1:20" s="26" customFormat="1" x14ac:dyDescent="0.25">
      <c r="A102" s="16">
        <v>231615</v>
      </c>
      <c r="B102" s="30" t="s">
        <v>866</v>
      </c>
      <c r="C102" s="20" t="s">
        <v>651</v>
      </c>
      <c r="D102" s="20" t="s">
        <v>716</v>
      </c>
      <c r="E102" s="20" t="s">
        <v>3940</v>
      </c>
      <c r="F102" s="20" t="s">
        <v>3941</v>
      </c>
      <c r="G102" s="21">
        <v>13.4</v>
      </c>
      <c r="H102" s="16">
        <v>16</v>
      </c>
      <c r="I102" s="16"/>
      <c r="J10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2" s="22"/>
      <c r="L102" s="23"/>
      <c r="M10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2" s="19">
        <f>Tabela17468101214223032268161925273133362421012141618242628303840248101214162022262830323436242681012142461012242624426262826268102628623668101214161820222424262830323438404244464850[[#This Row],[Total Acumulado]]-P102</f>
        <v>-67</v>
      </c>
      <c r="P10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2" s="25">
        <v>26</v>
      </c>
    </row>
    <row r="103" spans="1:20" s="26" customFormat="1" x14ac:dyDescent="0.25">
      <c r="A103" s="16">
        <v>231879</v>
      </c>
      <c r="B103" s="30" t="s">
        <v>867</v>
      </c>
      <c r="C103" s="20" t="s">
        <v>651</v>
      </c>
      <c r="D103" s="20" t="s">
        <v>716</v>
      </c>
      <c r="E103" s="20" t="s">
        <v>3942</v>
      </c>
      <c r="F103" s="20" t="s">
        <v>3943</v>
      </c>
      <c r="G103" s="21">
        <v>13.4</v>
      </c>
      <c r="H103" s="16">
        <v>16</v>
      </c>
      <c r="I103" s="16"/>
      <c r="J10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3" s="22"/>
      <c r="L103" s="23"/>
      <c r="M10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3" s="19">
        <f>Tabela17468101214223032268161925273133362421012141618242628303840248101214162022262830323436242681012142461012242624426262826268102628623668101214161820222424262830323438404244464850[[#This Row],[Total Acumulado]]-P103</f>
        <v>-67</v>
      </c>
      <c r="P10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3" s="25">
        <v>26</v>
      </c>
    </row>
    <row r="104" spans="1:20" s="26" customFormat="1" x14ac:dyDescent="0.25">
      <c r="A104" s="16">
        <v>231928</v>
      </c>
      <c r="B104" s="30" t="s">
        <v>869</v>
      </c>
      <c r="C104" s="20" t="s">
        <v>651</v>
      </c>
      <c r="D104" s="20" t="s">
        <v>716</v>
      </c>
      <c r="E104" s="20" t="s">
        <v>3944</v>
      </c>
      <c r="F104" s="20" t="s">
        <v>3945</v>
      </c>
      <c r="G104" s="21">
        <v>13.4</v>
      </c>
      <c r="H104" s="16">
        <v>16</v>
      </c>
      <c r="I104" s="16"/>
      <c r="J10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4" s="22"/>
      <c r="L104" s="23"/>
      <c r="M10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4" s="19">
        <f>Tabela17468101214223032268161925273133362421012141618242628303840248101214162022262830323436242681012142461012242624426262826268102628623668101214161820222424262830323438404244464850[[#This Row],[Total Acumulado]]-P104</f>
        <v>-67</v>
      </c>
      <c r="P10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4" s="25">
        <v>26</v>
      </c>
    </row>
    <row r="105" spans="1:20" s="26" customFormat="1" x14ac:dyDescent="0.25">
      <c r="A105" s="16">
        <v>231929</v>
      </c>
      <c r="B105" s="30" t="s">
        <v>870</v>
      </c>
      <c r="C105" s="20" t="s">
        <v>651</v>
      </c>
      <c r="D105" s="20" t="s">
        <v>719</v>
      </c>
      <c r="E105" s="20" t="s">
        <v>3946</v>
      </c>
      <c r="F105" s="20" t="s">
        <v>3947</v>
      </c>
      <c r="G105" s="21">
        <v>13.4</v>
      </c>
      <c r="H105" s="16">
        <v>16</v>
      </c>
      <c r="I105" s="16"/>
      <c r="J10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5" s="22"/>
      <c r="L105" s="23"/>
      <c r="M10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5" s="19">
        <f>Tabela17468101214223032268161925273133362421012141618242628303840248101214162022262830323436242681012142461012242624426262826268102628623668101214161820222424262830323438404244464850[[#This Row],[Total Acumulado]]-P105</f>
        <v>-67</v>
      </c>
      <c r="P10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5" s="25">
        <v>26</v>
      </c>
    </row>
    <row r="106" spans="1:20" s="26" customFormat="1" x14ac:dyDescent="0.25">
      <c r="A106" s="16">
        <v>232844</v>
      </c>
      <c r="B106" s="30" t="s">
        <v>951</v>
      </c>
      <c r="C106" s="20" t="s">
        <v>651</v>
      </c>
      <c r="D106" s="20" t="s">
        <v>716</v>
      </c>
      <c r="E106" s="20" t="s">
        <v>3948</v>
      </c>
      <c r="F106" s="20" t="s">
        <v>3949</v>
      </c>
      <c r="G106" s="21">
        <v>13.4</v>
      </c>
      <c r="H106" s="16">
        <v>16</v>
      </c>
      <c r="I106" s="16"/>
      <c r="J10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6" s="22"/>
      <c r="L106" s="23"/>
      <c r="M10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6" s="19">
        <f>Tabela17468101214223032268161925273133362421012141618242628303840248101214162022262830323436242681012142461012242624426262826268102628623668101214161820222424262830323438404244464850[[#This Row],[Total Acumulado]]-P106</f>
        <v>-67</v>
      </c>
      <c r="P10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6" s="25">
        <v>26</v>
      </c>
    </row>
    <row r="107" spans="1:20" s="26" customFormat="1" x14ac:dyDescent="0.25">
      <c r="A107" s="16">
        <v>232889</v>
      </c>
      <c r="B107" s="30" t="s">
        <v>1014</v>
      </c>
      <c r="C107" s="20" t="s">
        <v>651</v>
      </c>
      <c r="D107" s="20" t="s">
        <v>716</v>
      </c>
      <c r="E107" s="20" t="s">
        <v>3950</v>
      </c>
      <c r="F107" s="20" t="s">
        <v>3951</v>
      </c>
      <c r="G107" s="21">
        <v>13.4</v>
      </c>
      <c r="H107" s="16">
        <v>16</v>
      </c>
      <c r="I107" s="16"/>
      <c r="J10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7" s="22"/>
      <c r="L107" s="23"/>
      <c r="M10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7" s="19">
        <f>Tabela17468101214223032268161925273133362421012141618242628303840248101214162022262830323436242681012142461012242624426262826268102628623668101214161820222424262830323438404244464850[[#This Row],[Total Acumulado]]-P107</f>
        <v>-67</v>
      </c>
      <c r="P10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7" s="25">
        <v>26</v>
      </c>
    </row>
    <row r="108" spans="1:20" s="26" customFormat="1" x14ac:dyDescent="0.25">
      <c r="A108" s="16">
        <v>232988</v>
      </c>
      <c r="B108" s="30" t="s">
        <v>1015</v>
      </c>
      <c r="C108" s="20" t="s">
        <v>651</v>
      </c>
      <c r="D108" s="20" t="s">
        <v>716</v>
      </c>
      <c r="E108" s="20" t="s">
        <v>3952</v>
      </c>
      <c r="F108" s="20" t="s">
        <v>3953</v>
      </c>
      <c r="G108" s="21">
        <v>13.4</v>
      </c>
      <c r="H108" s="16">
        <v>16</v>
      </c>
      <c r="I108" s="16"/>
      <c r="J10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8" s="22"/>
      <c r="L108" s="23"/>
      <c r="M10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8" s="19">
        <f>Tabela17468101214223032268161925273133362421012141618242628303840248101214162022262830323436242681012142461012242624426262826268102628623668101214161820222424262830323438404244464850[[#This Row],[Total Acumulado]]-P108</f>
        <v>-67</v>
      </c>
      <c r="P10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8" s="25">
        <v>26</v>
      </c>
    </row>
    <row r="109" spans="1:20" s="26" customFormat="1" x14ac:dyDescent="0.25">
      <c r="A109" s="16">
        <v>233084</v>
      </c>
      <c r="B109" s="30" t="s">
        <v>1016</v>
      </c>
      <c r="C109" s="20" t="s">
        <v>651</v>
      </c>
      <c r="D109" s="20" t="s">
        <v>716</v>
      </c>
      <c r="E109" s="20" t="s">
        <v>3954</v>
      </c>
      <c r="F109" s="20" t="s">
        <v>3955</v>
      </c>
      <c r="G109" s="21">
        <v>13.4</v>
      </c>
      <c r="H109" s="16">
        <v>16</v>
      </c>
      <c r="I109" s="16"/>
      <c r="J10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09" s="22"/>
      <c r="L109" s="23"/>
      <c r="M10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0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09" s="19">
        <f>Tabela17468101214223032268161925273133362421012141618242628303840248101214162022262830323436242681012142461012242624426262826268102628623668101214161820222424262830323438404244464850[[#This Row],[Total Acumulado]]-P109</f>
        <v>-67</v>
      </c>
      <c r="P10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0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0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0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09" s="25">
        <v>26</v>
      </c>
    </row>
    <row r="110" spans="1:20" s="26" customFormat="1" x14ac:dyDescent="0.25">
      <c r="A110" s="16">
        <v>233085</v>
      </c>
      <c r="B110" s="30" t="s">
        <v>1017</v>
      </c>
      <c r="C110" s="20" t="s">
        <v>651</v>
      </c>
      <c r="D110" s="20" t="s">
        <v>716</v>
      </c>
      <c r="E110" s="20" t="s">
        <v>3956</v>
      </c>
      <c r="F110" s="20" t="s">
        <v>3957</v>
      </c>
      <c r="G110" s="21">
        <v>13.4</v>
      </c>
      <c r="H110" s="16">
        <v>16</v>
      </c>
      <c r="I110" s="16"/>
      <c r="J11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10" s="22"/>
      <c r="L110" s="23"/>
      <c r="M11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10" s="19">
        <f>Tabela17468101214223032268161925273133362421012141618242628303840248101214162022262830323436242681012142461012242624426262826268102628623668101214161820222424262830323438404244464850[[#This Row],[Total Acumulado]]-P110</f>
        <v>-67</v>
      </c>
      <c r="P11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1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1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0" s="25">
        <v>26</v>
      </c>
    </row>
    <row r="111" spans="1:20" s="26" customFormat="1" x14ac:dyDescent="0.25">
      <c r="A111" s="16">
        <v>233108</v>
      </c>
      <c r="B111" s="30" t="s">
        <v>1018</v>
      </c>
      <c r="C111" s="20" t="s">
        <v>651</v>
      </c>
      <c r="D111" s="20" t="s">
        <v>716</v>
      </c>
      <c r="E111" s="20" t="s">
        <v>3958</v>
      </c>
      <c r="F111" s="20" t="s">
        <v>3959</v>
      </c>
      <c r="G111" s="21">
        <v>13.4</v>
      </c>
      <c r="H111" s="16">
        <v>16</v>
      </c>
      <c r="I111" s="16"/>
      <c r="J11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11" s="22"/>
      <c r="L111" s="23"/>
      <c r="M11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11" s="19">
        <f>Tabela17468101214223032268161925273133362421012141618242628303840248101214162022262830323436242681012142461012242624426262826268102628623668101214161820222424262830323438404244464850[[#This Row],[Total Acumulado]]-P111</f>
        <v>-67</v>
      </c>
      <c r="P11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1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1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1" s="25">
        <v>26</v>
      </c>
    </row>
    <row r="112" spans="1:20" s="26" customFormat="1" x14ac:dyDescent="0.25">
      <c r="A112" s="16">
        <v>233976</v>
      </c>
      <c r="B112" s="30" t="s">
        <v>1245</v>
      </c>
      <c r="C112" s="20" t="s">
        <v>651</v>
      </c>
      <c r="D112" s="20" t="s">
        <v>716</v>
      </c>
      <c r="E112" s="20" t="s">
        <v>3960</v>
      </c>
      <c r="F112" s="20" t="s">
        <v>3961</v>
      </c>
      <c r="G112" s="21">
        <v>13.4</v>
      </c>
      <c r="H112" s="16">
        <v>16</v>
      </c>
      <c r="I112" s="16"/>
      <c r="J11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12" s="22"/>
      <c r="L112" s="23"/>
      <c r="M11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12" s="19">
        <f>Tabela17468101214223032268161925273133362421012141618242628303840248101214162022262830323436242681012142461012242624426262826268102628623668101214161820222424262830323438404244464850[[#This Row],[Total Acumulado]]-P112</f>
        <v>-67</v>
      </c>
      <c r="P11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1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1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2" s="25">
        <v>26</v>
      </c>
    </row>
    <row r="113" spans="1:20" s="26" customFormat="1" x14ac:dyDescent="0.25">
      <c r="A113" s="16">
        <v>234018</v>
      </c>
      <c r="B113" s="30" t="s">
        <v>1246</v>
      </c>
      <c r="C113" s="20" t="s">
        <v>651</v>
      </c>
      <c r="D113" s="20" t="s">
        <v>716</v>
      </c>
      <c r="E113" s="20" t="s">
        <v>3962</v>
      </c>
      <c r="F113" s="20" t="s">
        <v>3963</v>
      </c>
      <c r="G113" s="21">
        <v>18.8</v>
      </c>
      <c r="H113" s="16">
        <v>16</v>
      </c>
      <c r="I113" s="16"/>
      <c r="J11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113" s="22"/>
      <c r="L113" s="23"/>
      <c r="M11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3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13" s="19">
        <f>Tabela17468101214223032268161925273133362421012141618242628303840248101214162022262830323436242681012142461012242624426262826268102628623668101214161820222424262830323438404244464850[[#This Row],[Total Acumulado]]-P113</f>
        <v>-94</v>
      </c>
      <c r="P113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1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11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3" s="25">
        <v>26</v>
      </c>
    </row>
    <row r="114" spans="1:20" s="26" customFormat="1" x14ac:dyDescent="0.25">
      <c r="A114" s="16">
        <v>234048</v>
      </c>
      <c r="B114" s="30" t="s">
        <v>1247</v>
      </c>
      <c r="C114" s="20" t="s">
        <v>651</v>
      </c>
      <c r="D114" s="20" t="s">
        <v>716</v>
      </c>
      <c r="E114" s="20" t="s">
        <v>3964</v>
      </c>
      <c r="F114" s="20" t="s">
        <v>3965</v>
      </c>
      <c r="G114" s="21">
        <v>13.4</v>
      </c>
      <c r="H114" s="16">
        <v>16</v>
      </c>
      <c r="I114" s="16"/>
      <c r="J11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14" s="22"/>
      <c r="L114" s="23"/>
      <c r="M11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14" s="19">
        <f>Tabela17468101214223032268161925273133362421012141618242628303840248101214162022262830323436242681012142461012242624426262826268102628623668101214161820222424262830323438404244464850[[#This Row],[Total Acumulado]]-P114</f>
        <v>-67</v>
      </c>
      <c r="P11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1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1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4" s="25">
        <v>26</v>
      </c>
    </row>
    <row r="115" spans="1:20" s="26" customFormat="1" x14ac:dyDescent="0.25">
      <c r="A115" s="16">
        <v>234376</v>
      </c>
      <c r="B115" s="30" t="s">
        <v>1300</v>
      </c>
      <c r="C115" s="20" t="s">
        <v>651</v>
      </c>
      <c r="D115" s="20" t="s">
        <v>716</v>
      </c>
      <c r="E115" s="20" t="s">
        <v>3966</v>
      </c>
      <c r="F115" s="20" t="s">
        <v>3967</v>
      </c>
      <c r="G115" s="21">
        <v>18.8</v>
      </c>
      <c r="H115" s="16">
        <v>16</v>
      </c>
      <c r="I115" s="16"/>
      <c r="J11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115" s="22"/>
      <c r="L115" s="23"/>
      <c r="M11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5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15" s="19">
        <f>Tabela17468101214223032268161925273133362421012141618242628303840248101214162022262830323436242681012142461012242624426262826268102628623668101214161820222424262830323438404244464850[[#This Row],[Total Acumulado]]-P115</f>
        <v>-94</v>
      </c>
      <c r="P115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1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11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5" s="25">
        <v>26</v>
      </c>
    </row>
    <row r="116" spans="1:20" s="26" customFormat="1" x14ac:dyDescent="0.25">
      <c r="A116" s="16">
        <v>234509</v>
      </c>
      <c r="B116" s="30" t="s">
        <v>1301</v>
      </c>
      <c r="C116" s="20" t="s">
        <v>651</v>
      </c>
      <c r="D116" s="20" t="s">
        <v>716</v>
      </c>
      <c r="E116" s="20" t="s">
        <v>3968</v>
      </c>
      <c r="F116" s="20" t="s">
        <v>3969</v>
      </c>
      <c r="G116" s="21">
        <v>13.4</v>
      </c>
      <c r="H116" s="16">
        <v>26</v>
      </c>
      <c r="I116" s="16">
        <v>1</v>
      </c>
      <c r="J11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16" s="22"/>
      <c r="L116" s="23"/>
      <c r="M11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16" s="19">
        <f>Tabela17468101214223032268161925273133362421012141618242628303840248101214162022262830323436242681012142461012242624426262826268102628623668101214161820222424262830323438404244464850[[#This Row],[Total Acumulado]]-P116</f>
        <v>-67</v>
      </c>
      <c r="P11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1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1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6" s="25">
        <v>26</v>
      </c>
    </row>
    <row r="117" spans="1:20" s="26" customFormat="1" x14ac:dyDescent="0.25">
      <c r="A117" s="16">
        <v>234609</v>
      </c>
      <c r="B117" s="30" t="s">
        <v>1331</v>
      </c>
      <c r="C117" s="20" t="s">
        <v>651</v>
      </c>
      <c r="D117" s="20" t="s">
        <v>716</v>
      </c>
      <c r="E117" s="20" t="s">
        <v>3970</v>
      </c>
      <c r="F117" s="20" t="s">
        <v>3971</v>
      </c>
      <c r="G117" s="21">
        <v>18.8</v>
      </c>
      <c r="H117" s="16">
        <v>16</v>
      </c>
      <c r="I117" s="16"/>
      <c r="J11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117" s="22"/>
      <c r="L117" s="23"/>
      <c r="M11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7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17" s="19">
        <f>Tabela17468101214223032268161925273133362421012141618242628303840248101214162022262830323436242681012142461012242624426262826268102628623668101214161820222424262830323438404244464850[[#This Row],[Total Acumulado]]-P117</f>
        <v>-94</v>
      </c>
      <c r="P117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1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11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7" s="25">
        <v>26</v>
      </c>
    </row>
    <row r="118" spans="1:20" s="26" customFormat="1" x14ac:dyDescent="0.25">
      <c r="A118" s="16">
        <v>234610</v>
      </c>
      <c r="B118" s="30" t="s">
        <v>1332</v>
      </c>
      <c r="C118" s="20" t="s">
        <v>651</v>
      </c>
      <c r="D118" s="20" t="s">
        <v>716</v>
      </c>
      <c r="E118" s="20" t="s">
        <v>3972</v>
      </c>
      <c r="F118" s="20" t="s">
        <v>3973</v>
      </c>
      <c r="G118" s="21">
        <v>18.8</v>
      </c>
      <c r="H118" s="16">
        <v>16</v>
      </c>
      <c r="I118" s="16"/>
      <c r="J11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300.8</v>
      </c>
      <c r="K118" s="22"/>
      <c r="L118" s="23"/>
      <c r="M11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8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18" s="19">
        <f>Tabela17468101214223032268161925273133362421012141618242628303840248101214162022262830323436242681012142461012242624426262826268102628623668101214161820222424262830323438404244464850[[#This Row],[Total Acumulado]]-P118</f>
        <v>-94</v>
      </c>
      <c r="P118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1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300.8</v>
      </c>
      <c r="S11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8" s="25">
        <v>26</v>
      </c>
    </row>
    <row r="119" spans="1:20" s="26" customFormat="1" x14ac:dyDescent="0.25">
      <c r="A119" s="16">
        <v>216293</v>
      </c>
      <c r="B119" s="30" t="s">
        <v>469</v>
      </c>
      <c r="C119" s="20" t="s">
        <v>635</v>
      </c>
      <c r="D119" s="20" t="s">
        <v>689</v>
      </c>
      <c r="E119" s="20" t="s">
        <v>3976</v>
      </c>
      <c r="F119" s="20" t="s">
        <v>3977</v>
      </c>
      <c r="G119" s="21">
        <v>18.8</v>
      </c>
      <c r="H119" s="16">
        <v>22</v>
      </c>
      <c r="I119" s="16"/>
      <c r="J11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413.6</v>
      </c>
      <c r="K119" s="22"/>
      <c r="L119" s="23"/>
      <c r="M11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19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19" s="19">
        <f>Tabela17468101214223032268161925273133362421012141618242628303840248101214162022262830323436242681012142461012242624426262826268102628623668101214161820222424262830323438404244464850[[#This Row],[Total Acumulado]]-P119</f>
        <v>-94</v>
      </c>
      <c r="P119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1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1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413.6</v>
      </c>
      <c r="S11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19" s="25">
        <v>26</v>
      </c>
    </row>
    <row r="120" spans="1:20" s="26" customFormat="1" x14ac:dyDescent="0.25">
      <c r="A120" s="16">
        <v>225017</v>
      </c>
      <c r="B120" s="30" t="s">
        <v>1115</v>
      </c>
      <c r="C120" s="20" t="s">
        <v>635</v>
      </c>
      <c r="D120" s="20" t="s">
        <v>698</v>
      </c>
      <c r="E120" s="20" t="s">
        <v>3978</v>
      </c>
      <c r="F120" s="20" t="s">
        <v>3979</v>
      </c>
      <c r="G120" s="21">
        <v>18.8</v>
      </c>
      <c r="H120" s="16">
        <v>26</v>
      </c>
      <c r="I120" s="16"/>
      <c r="J12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20" s="22"/>
      <c r="L120" s="23"/>
      <c r="M12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0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20" s="19">
        <f>Tabela17468101214223032268161925273133362421012141618242628303840248101214162022262830323436242681012142461012242624426262826268102628623668101214161820222424262830323438404244464850[[#This Row],[Total Acumulado]]-P120</f>
        <v>-94</v>
      </c>
      <c r="P120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2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2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0" s="25">
        <v>26</v>
      </c>
    </row>
    <row r="121" spans="1:20" s="26" customFormat="1" x14ac:dyDescent="0.25">
      <c r="A121" s="16">
        <v>231228</v>
      </c>
      <c r="B121" s="30" t="s">
        <v>1527</v>
      </c>
      <c r="C121" s="20" t="s">
        <v>636</v>
      </c>
      <c r="D121" s="20" t="s">
        <v>729</v>
      </c>
      <c r="E121" s="20" t="s">
        <v>3980</v>
      </c>
      <c r="F121" s="20" t="s">
        <v>3981</v>
      </c>
      <c r="G121" s="21">
        <v>13.4</v>
      </c>
      <c r="H121" s="16">
        <v>22</v>
      </c>
      <c r="I121" s="16">
        <v>14</v>
      </c>
      <c r="J12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107.2</v>
      </c>
      <c r="K121" s="22"/>
      <c r="L121" s="23"/>
      <c r="M12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1" s="19">
        <f>Tabela17468101214223032268161925273133362421012141618242628303840248101214162022262830323436242681012142461012242624426262826268102628623668101214161820222424262830323438404244464850[[#This Row],[Total Acumulado]]-P121</f>
        <v>-67</v>
      </c>
      <c r="P12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107.2</v>
      </c>
      <c r="S12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1" s="25">
        <v>26</v>
      </c>
    </row>
    <row r="122" spans="1:20" s="26" customFormat="1" x14ac:dyDescent="0.25">
      <c r="A122" s="16">
        <v>231229</v>
      </c>
      <c r="B122" s="30" t="s">
        <v>1528</v>
      </c>
      <c r="C122" s="20" t="s">
        <v>636</v>
      </c>
      <c r="D122" s="20" t="s">
        <v>729</v>
      </c>
      <c r="E122" s="20" t="s">
        <v>3982</v>
      </c>
      <c r="F122" s="20" t="s">
        <v>3983</v>
      </c>
      <c r="G122" s="21">
        <v>18.8</v>
      </c>
      <c r="H122" s="16">
        <v>22</v>
      </c>
      <c r="I122" s="16">
        <v>21</v>
      </c>
      <c r="J12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18.8</v>
      </c>
      <c r="K122" s="22"/>
      <c r="L122" s="23"/>
      <c r="M12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2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22" s="19">
        <f>Tabela17468101214223032268161925273133362421012141618242628303840248101214162022262830323436242681012142461012242624426262826268102628623668101214161820222424262830323438404244464850[[#This Row],[Total Acumulado]]-P122</f>
        <v>-94</v>
      </c>
      <c r="P122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2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18.8</v>
      </c>
      <c r="S12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2" s="25">
        <v>26</v>
      </c>
    </row>
    <row r="123" spans="1:20" s="26" customFormat="1" x14ac:dyDescent="0.25">
      <c r="A123" s="16">
        <v>231231</v>
      </c>
      <c r="B123" s="30" t="s">
        <v>804</v>
      </c>
      <c r="C123" s="20" t="s">
        <v>636</v>
      </c>
      <c r="D123" s="20" t="s">
        <v>729</v>
      </c>
      <c r="E123" s="20" t="s">
        <v>3984</v>
      </c>
      <c r="F123" s="20" t="s">
        <v>3985</v>
      </c>
      <c r="G123" s="21">
        <v>13.4</v>
      </c>
      <c r="H123" s="16">
        <v>22</v>
      </c>
      <c r="I123" s="16"/>
      <c r="J12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294.8</v>
      </c>
      <c r="K123" s="22"/>
      <c r="L123" s="23"/>
      <c r="M12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3" s="19">
        <f>Tabela17468101214223032268161925273133362421012141618242628303840248101214162022262830323436242681012142461012242624426262826268102628623668101214161820222424262830323438404244464850[[#This Row],[Total Acumulado]]-P123</f>
        <v>-67</v>
      </c>
      <c r="P12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294.8</v>
      </c>
      <c r="S12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3" s="25">
        <v>26</v>
      </c>
    </row>
    <row r="124" spans="1:20" s="26" customFormat="1" x14ac:dyDescent="0.25">
      <c r="A124" s="16">
        <v>231232</v>
      </c>
      <c r="B124" s="30" t="s">
        <v>805</v>
      </c>
      <c r="C124" s="20" t="s">
        <v>636</v>
      </c>
      <c r="D124" s="20" t="s">
        <v>729</v>
      </c>
      <c r="E124" s="20" t="s">
        <v>3986</v>
      </c>
      <c r="F124" s="20" t="s">
        <v>3987</v>
      </c>
      <c r="G124" s="21">
        <v>18.8</v>
      </c>
      <c r="H124" s="16">
        <v>22</v>
      </c>
      <c r="I124" s="16">
        <v>1</v>
      </c>
      <c r="J12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394.8</v>
      </c>
      <c r="K124" s="22"/>
      <c r="L124" s="23"/>
      <c r="M12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4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24" s="19">
        <f>Tabela17468101214223032268161925273133362421012141618242628303840248101214162022262830323436242681012142461012242624426262826268102628623668101214161820222424262830323438404244464850[[#This Row],[Total Acumulado]]-P124</f>
        <v>-94</v>
      </c>
      <c r="P124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2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394.8</v>
      </c>
      <c r="S12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4" s="25">
        <v>26</v>
      </c>
    </row>
    <row r="125" spans="1:20" s="26" customFormat="1" x14ac:dyDescent="0.25">
      <c r="A125" s="16">
        <v>231233</v>
      </c>
      <c r="B125" s="30" t="s">
        <v>1529</v>
      </c>
      <c r="C125" s="20" t="s">
        <v>636</v>
      </c>
      <c r="D125" s="20" t="s">
        <v>729</v>
      </c>
      <c r="E125" s="20" t="s">
        <v>3988</v>
      </c>
      <c r="F125" s="20" t="s">
        <v>3989</v>
      </c>
      <c r="G125" s="21">
        <v>13.4</v>
      </c>
      <c r="H125" s="16">
        <v>22</v>
      </c>
      <c r="I125" s="16">
        <v>18</v>
      </c>
      <c r="J12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53.6</v>
      </c>
      <c r="K125" s="22"/>
      <c r="L125" s="23"/>
      <c r="M12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5" s="19">
        <f>Tabela17468101214223032268161925273133362421012141618242628303840248101214162022262830323436242681012142461012242624426262826268102628623668101214161820222424262830323438404244464850[[#This Row],[Total Acumulado]]-P125</f>
        <v>-67</v>
      </c>
      <c r="P12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53.6</v>
      </c>
      <c r="S12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5" s="25">
        <v>26</v>
      </c>
    </row>
    <row r="126" spans="1:20" s="26" customFormat="1" x14ac:dyDescent="0.25">
      <c r="A126" s="16">
        <v>231628</v>
      </c>
      <c r="B126" s="30" t="s">
        <v>871</v>
      </c>
      <c r="C126" s="20" t="s">
        <v>636</v>
      </c>
      <c r="D126" s="20" t="s">
        <v>729</v>
      </c>
      <c r="E126" s="20" t="s">
        <v>3990</v>
      </c>
      <c r="F126" s="20" t="s">
        <v>3991</v>
      </c>
      <c r="G126" s="21">
        <v>13.4</v>
      </c>
      <c r="H126" s="16">
        <v>22</v>
      </c>
      <c r="I126" s="16"/>
      <c r="J12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294.8</v>
      </c>
      <c r="K126" s="22"/>
      <c r="L126" s="23"/>
      <c r="M12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6" s="19">
        <f>Tabela17468101214223032268161925273133362421012141618242628303840248101214162022262830323436242681012142461012242624426262826268102628623668101214161820222424262830323438404244464850[[#This Row],[Total Acumulado]]-P126</f>
        <v>-67</v>
      </c>
      <c r="P12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294.8</v>
      </c>
      <c r="S12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6" s="25">
        <v>26</v>
      </c>
    </row>
    <row r="127" spans="1:20" s="26" customFormat="1" x14ac:dyDescent="0.25">
      <c r="A127" s="16">
        <v>231909</v>
      </c>
      <c r="B127" s="30" t="s">
        <v>872</v>
      </c>
      <c r="C127" s="20" t="s">
        <v>636</v>
      </c>
      <c r="D127" s="20" t="s">
        <v>729</v>
      </c>
      <c r="E127" s="20" t="s">
        <v>3992</v>
      </c>
      <c r="F127" s="20" t="s">
        <v>3993</v>
      </c>
      <c r="G127" s="21">
        <v>18.8</v>
      </c>
      <c r="H127" s="16">
        <v>22</v>
      </c>
      <c r="I127" s="16">
        <v>3</v>
      </c>
      <c r="J12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357.2</v>
      </c>
      <c r="K127" s="22"/>
      <c r="L127" s="23"/>
      <c r="M12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7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27" s="19">
        <f>Tabela17468101214223032268161925273133362421012141618242628303840248101214162022262830323436242681012142461012242624426262826268102628623668101214161820222424262830323438404244464850[[#This Row],[Total Acumulado]]-P127</f>
        <v>-94</v>
      </c>
      <c r="P127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2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357.2</v>
      </c>
      <c r="S12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7" s="25">
        <v>26</v>
      </c>
    </row>
    <row r="128" spans="1:20" s="26" customFormat="1" x14ac:dyDescent="0.25">
      <c r="A128" s="16">
        <v>231911</v>
      </c>
      <c r="B128" s="30" t="s">
        <v>873</v>
      </c>
      <c r="C128" s="20" t="s">
        <v>636</v>
      </c>
      <c r="D128" s="20" t="s">
        <v>729</v>
      </c>
      <c r="E128" s="20" t="s">
        <v>3994</v>
      </c>
      <c r="F128" s="20" t="s">
        <v>3995</v>
      </c>
      <c r="G128" s="21">
        <v>13.4</v>
      </c>
      <c r="H128" s="16">
        <v>22</v>
      </c>
      <c r="I128" s="16"/>
      <c r="J12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294.8</v>
      </c>
      <c r="K128" s="22"/>
      <c r="L128" s="23"/>
      <c r="M12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8" s="19">
        <f>Tabela17468101214223032268161925273133362421012141618242628303840248101214162022262830323436242681012142461012242624426262826268102628623668101214161820222424262830323438404244464850[[#This Row],[Total Acumulado]]-P128</f>
        <v>-67</v>
      </c>
      <c r="P12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294.8</v>
      </c>
      <c r="S12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8" s="25">
        <v>26</v>
      </c>
    </row>
    <row r="129" spans="1:20" s="26" customFormat="1" x14ac:dyDescent="0.25">
      <c r="A129" s="16">
        <v>231912</v>
      </c>
      <c r="B129" s="30" t="s">
        <v>874</v>
      </c>
      <c r="C129" s="20" t="s">
        <v>636</v>
      </c>
      <c r="D129" s="20" t="s">
        <v>729</v>
      </c>
      <c r="E129" s="20" t="s">
        <v>3996</v>
      </c>
      <c r="F129" s="20" t="s">
        <v>3997</v>
      </c>
      <c r="G129" s="21">
        <v>13.4</v>
      </c>
      <c r="H129" s="16">
        <v>22</v>
      </c>
      <c r="I129" s="16">
        <v>1</v>
      </c>
      <c r="J12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281.40000000000003</v>
      </c>
      <c r="K129" s="22"/>
      <c r="L129" s="23"/>
      <c r="M12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2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29" s="19">
        <f>Tabela17468101214223032268161925273133362421012141618242628303840248101214162022262830323436242681012142461012242624426262826268102628623668101214161820222424262830323438404244464850[[#This Row],[Total Acumulado]]-P129</f>
        <v>-67</v>
      </c>
      <c r="P12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2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2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281.40000000000003</v>
      </c>
      <c r="S12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29" s="25">
        <v>26</v>
      </c>
    </row>
    <row r="130" spans="1:20" s="26" customFormat="1" x14ac:dyDescent="0.25">
      <c r="A130" s="16">
        <v>231913</v>
      </c>
      <c r="B130" s="30" t="s">
        <v>875</v>
      </c>
      <c r="C130" s="20" t="s">
        <v>636</v>
      </c>
      <c r="D130" s="20" t="s">
        <v>729</v>
      </c>
      <c r="E130" s="20" t="s">
        <v>3998</v>
      </c>
      <c r="F130" s="20" t="s">
        <v>3999</v>
      </c>
      <c r="G130" s="21">
        <v>13.4</v>
      </c>
      <c r="H130" s="16">
        <v>22</v>
      </c>
      <c r="I130" s="16">
        <v>4</v>
      </c>
      <c r="J13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241.20000000000002</v>
      </c>
      <c r="K130" s="22"/>
      <c r="L130" s="23"/>
      <c r="M13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0" s="19">
        <f>Tabela17468101214223032268161925273133362421012141618242628303840248101214162022262830323436242681012142461012242624426262826268102628623668101214161820222424262830323438404244464850[[#This Row],[Total Acumulado]]-P130</f>
        <v>-67</v>
      </c>
      <c r="P13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241.20000000000002</v>
      </c>
      <c r="S13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0" s="25">
        <v>26</v>
      </c>
    </row>
    <row r="131" spans="1:20" s="26" customFormat="1" x14ac:dyDescent="0.25">
      <c r="A131" s="16">
        <v>231914</v>
      </c>
      <c r="B131" s="30" t="s">
        <v>876</v>
      </c>
      <c r="C131" s="20" t="s">
        <v>636</v>
      </c>
      <c r="D131" s="20" t="s">
        <v>729</v>
      </c>
      <c r="E131" s="20" t="s">
        <v>4000</v>
      </c>
      <c r="F131" s="20" t="s">
        <v>4001</v>
      </c>
      <c r="G131" s="21">
        <v>13.4</v>
      </c>
      <c r="H131" s="16">
        <v>22</v>
      </c>
      <c r="I131" s="16">
        <v>3</v>
      </c>
      <c r="J13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254.6</v>
      </c>
      <c r="K131" s="22"/>
      <c r="L131" s="23"/>
      <c r="M13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1" s="19">
        <f>Tabela17468101214223032268161925273133362421012141618242628303840248101214162022262830323436242681012142461012242624426262826268102628623668101214161820222424262830323438404244464850[[#This Row],[Total Acumulado]]-P131</f>
        <v>-67</v>
      </c>
      <c r="P13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254.6</v>
      </c>
      <c r="S13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1" s="25">
        <v>26</v>
      </c>
    </row>
    <row r="132" spans="1:20" s="26" customFormat="1" x14ac:dyDescent="0.25">
      <c r="A132" s="16">
        <v>235050</v>
      </c>
      <c r="B132" s="30" t="s">
        <v>1530</v>
      </c>
      <c r="C132" s="20" t="s">
        <v>636</v>
      </c>
      <c r="D132" s="20" t="s">
        <v>729</v>
      </c>
      <c r="E132" s="20" t="s">
        <v>4002</v>
      </c>
      <c r="F132" s="20" t="s">
        <v>4003</v>
      </c>
      <c r="G132" s="21">
        <v>13.4</v>
      </c>
      <c r="H132" s="16">
        <v>22</v>
      </c>
      <c r="I132" s="16"/>
      <c r="J13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294.8</v>
      </c>
      <c r="K132" s="22"/>
      <c r="L132" s="23">
        <v>11.9</v>
      </c>
      <c r="M132" s="23">
        <f>SUM(Tabela17468101214223032268161925273133362421012141618242628303840248101214162022262830323436242681012142461012242624426262826268102628623668101214161820222424262830323438404244464850[[#This Row],[Saldo no cartão]:[Recarga Pendente]])</f>
        <v>11.9</v>
      </c>
      <c r="N13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2" s="19">
        <f>Tabela17468101214223032268161925273133362421012141618242628303840248101214162022262830323436242681012142461012242624426262826268102628623668101214161820222424262830323438404244464850[[#This Row],[Total Acumulado]]-P132</f>
        <v>-55.1</v>
      </c>
      <c r="P13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294.8</v>
      </c>
      <c r="S13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2" s="25">
        <v>26</v>
      </c>
    </row>
    <row r="133" spans="1:20" s="26" customFormat="1" x14ac:dyDescent="0.25">
      <c r="A133" s="16">
        <v>235051</v>
      </c>
      <c r="B133" s="30" t="s">
        <v>1531</v>
      </c>
      <c r="C133" s="20" t="s">
        <v>636</v>
      </c>
      <c r="D133" s="20" t="s">
        <v>729</v>
      </c>
      <c r="E133" s="20" t="s">
        <v>4004</v>
      </c>
      <c r="F133" s="20" t="s">
        <v>4005</v>
      </c>
      <c r="G133" s="21">
        <v>13.4</v>
      </c>
      <c r="H133" s="16">
        <v>22</v>
      </c>
      <c r="I133" s="16"/>
      <c r="J13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294.8</v>
      </c>
      <c r="K133" s="22"/>
      <c r="L133" s="23">
        <v>11.9</v>
      </c>
      <c r="M133" s="23">
        <f>SUM(Tabela17468101214223032268161925273133362421012141618242628303840248101214162022262830323436242681012142461012242624426262826268102628623668101214161820222424262830323438404244464850[[#This Row],[Saldo no cartão]:[Recarga Pendente]])</f>
        <v>11.9</v>
      </c>
      <c r="N13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3" s="19">
        <f>Tabela17468101214223032268161925273133362421012141618242628303840248101214162022262830323436242681012142461012242624426262826268102628623668101214161820222424262830323438404244464850[[#This Row],[Total Acumulado]]-P133</f>
        <v>-55.1</v>
      </c>
      <c r="P13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294.8</v>
      </c>
      <c r="S13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3" s="25">
        <v>26</v>
      </c>
    </row>
    <row r="134" spans="1:20" s="26" customFormat="1" x14ac:dyDescent="0.25">
      <c r="A134" s="16">
        <v>220361</v>
      </c>
      <c r="B134" s="30" t="s">
        <v>587</v>
      </c>
      <c r="C134" s="20" t="s">
        <v>653</v>
      </c>
      <c r="D134" s="20" t="s">
        <v>714</v>
      </c>
      <c r="E134" s="20" t="s">
        <v>4006</v>
      </c>
      <c r="F134" s="20" t="s">
        <v>4007</v>
      </c>
      <c r="G134" s="21">
        <v>18.8</v>
      </c>
      <c r="H134" s="16">
        <v>26</v>
      </c>
      <c r="I134" s="16"/>
      <c r="J13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34" s="22"/>
      <c r="L134" s="23"/>
      <c r="M13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4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34" s="19">
        <f>Tabela17468101214223032268161925273133362421012141618242628303840248101214162022262830323436242681012142461012242624426262826268102628623668101214161820222424262830323438404244464850[[#This Row],[Total Acumulado]]-P134</f>
        <v>-94</v>
      </c>
      <c r="P134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3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3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4" s="25">
        <v>26</v>
      </c>
    </row>
    <row r="135" spans="1:20" s="26" customFormat="1" x14ac:dyDescent="0.25">
      <c r="A135" s="16">
        <v>221204</v>
      </c>
      <c r="B135" s="30" t="s">
        <v>588</v>
      </c>
      <c r="C135" s="20" t="s">
        <v>653</v>
      </c>
      <c r="D135" s="20" t="s">
        <v>714</v>
      </c>
      <c r="E135" s="20" t="s">
        <v>4008</v>
      </c>
      <c r="F135" s="20" t="s">
        <v>4009</v>
      </c>
      <c r="G135" s="21">
        <v>18.8</v>
      </c>
      <c r="H135" s="16">
        <v>26</v>
      </c>
      <c r="I135" s="16"/>
      <c r="J13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35" s="22"/>
      <c r="L135" s="23">
        <v>37.6</v>
      </c>
      <c r="M135" s="23">
        <f>SUM(Tabela17468101214223032268161925273133362421012141618242628303840248101214162022262830323436242681012142461012242624426262826268102628623668101214161820222424262830323438404244464850[[#This Row],[Saldo no cartão]:[Recarga Pendente]])</f>
        <v>37.6</v>
      </c>
      <c r="N135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35" s="19">
        <f>Tabela17468101214223032268161925273133362421012141618242628303840248101214162022262830323436242681012142461012242624426262826268102628623668101214161820222424262830323438404244464850[[#This Row],[Total Acumulado]]-P135</f>
        <v>-56.4</v>
      </c>
      <c r="P135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3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3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5" s="25">
        <v>26</v>
      </c>
    </row>
    <row r="136" spans="1:20" s="26" customFormat="1" x14ac:dyDescent="0.25">
      <c r="A136" s="16">
        <v>224394</v>
      </c>
      <c r="B136" s="30" t="s">
        <v>589</v>
      </c>
      <c r="C136" s="20" t="s">
        <v>653</v>
      </c>
      <c r="D136" s="20" t="s">
        <v>891</v>
      </c>
      <c r="E136" s="20" t="s">
        <v>4010</v>
      </c>
      <c r="F136" s="20" t="s">
        <v>4011</v>
      </c>
      <c r="G136" s="21">
        <v>13.4</v>
      </c>
      <c r="H136" s="16">
        <v>26</v>
      </c>
      <c r="I136" s="16"/>
      <c r="J13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36" s="22"/>
      <c r="L136" s="23">
        <v>11.9</v>
      </c>
      <c r="M136" s="23">
        <f>SUM(Tabela17468101214223032268161925273133362421012141618242628303840248101214162022262830323436242681012142461012242624426262826268102628623668101214161820222424262830323438404244464850[[#This Row],[Saldo no cartão]:[Recarga Pendente]])</f>
        <v>11.9</v>
      </c>
      <c r="N13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6" s="19">
        <f>Tabela17468101214223032268161925273133362421012141618242628303840248101214162022262830323436242681012142461012242624426262826268102628623668101214161820222424262830323438404244464850[[#This Row],[Total Acumulado]]-P136</f>
        <v>-55.1</v>
      </c>
      <c r="P13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3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6" s="25">
        <v>26</v>
      </c>
    </row>
    <row r="137" spans="1:20" s="26" customFormat="1" x14ac:dyDescent="0.25">
      <c r="A137" s="16">
        <v>225682</v>
      </c>
      <c r="B137" s="30" t="s">
        <v>590</v>
      </c>
      <c r="C137" s="20" t="s">
        <v>653</v>
      </c>
      <c r="D137" s="20" t="s">
        <v>714</v>
      </c>
      <c r="E137" s="20" t="s">
        <v>4012</v>
      </c>
      <c r="F137" s="20" t="s">
        <v>4013</v>
      </c>
      <c r="G137" s="21">
        <v>18.8</v>
      </c>
      <c r="H137" s="16">
        <v>26</v>
      </c>
      <c r="I137" s="16"/>
      <c r="J13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37" s="22"/>
      <c r="L137" s="23"/>
      <c r="M13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7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37" s="19">
        <f>Tabela17468101214223032268161925273133362421012141618242628303840248101214162022262830323436242681012142461012242624426262826268102628623668101214161820222424262830323438404244464850[[#This Row],[Total Acumulado]]-P137</f>
        <v>-94</v>
      </c>
      <c r="P137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3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3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7" s="25">
        <v>26</v>
      </c>
    </row>
    <row r="138" spans="1:20" s="26" customFormat="1" x14ac:dyDescent="0.25">
      <c r="A138" s="16">
        <v>230705</v>
      </c>
      <c r="B138" s="30" t="s">
        <v>1532</v>
      </c>
      <c r="C138" s="20" t="s">
        <v>653</v>
      </c>
      <c r="D138" s="20" t="s">
        <v>714</v>
      </c>
      <c r="E138" s="20" t="s">
        <v>4014</v>
      </c>
      <c r="F138" s="20" t="s">
        <v>4015</v>
      </c>
      <c r="G138" s="21">
        <v>13.4</v>
      </c>
      <c r="H138" s="16">
        <v>26</v>
      </c>
      <c r="I138" s="16"/>
      <c r="J13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38" s="22"/>
      <c r="L138" s="23"/>
      <c r="M13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8" s="19">
        <f>Tabela17468101214223032268161925273133362421012141618242628303840248101214162022262830323436242681012142461012242624426262826268102628623668101214161820222424262830323438404244464850[[#This Row],[Total Acumulado]]-P138</f>
        <v>-67</v>
      </c>
      <c r="P13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3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8" s="25">
        <v>26</v>
      </c>
    </row>
    <row r="139" spans="1:20" s="26" customFormat="1" x14ac:dyDescent="0.25">
      <c r="A139" s="16">
        <v>230781</v>
      </c>
      <c r="B139" s="30" t="s">
        <v>593</v>
      </c>
      <c r="C139" s="20" t="s">
        <v>653</v>
      </c>
      <c r="D139" s="20" t="s">
        <v>714</v>
      </c>
      <c r="E139" s="20" t="s">
        <v>4016</v>
      </c>
      <c r="F139" s="20" t="s">
        <v>4017</v>
      </c>
      <c r="G139" s="21">
        <v>13.4</v>
      </c>
      <c r="H139" s="16">
        <v>26</v>
      </c>
      <c r="I139" s="16"/>
      <c r="J13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39" s="22"/>
      <c r="L139" s="23"/>
      <c r="M13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3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39" s="19">
        <f>Tabela17468101214223032268161925273133362421012141618242628303840248101214162022262830323436242681012142461012242624426262826268102628623668101214161820222424262830323438404244464850[[#This Row],[Total Acumulado]]-P139</f>
        <v>-67</v>
      </c>
      <c r="P13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3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3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3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39" s="25">
        <v>26</v>
      </c>
    </row>
    <row r="140" spans="1:20" s="26" customFormat="1" x14ac:dyDescent="0.25">
      <c r="A140" s="16">
        <v>230863</v>
      </c>
      <c r="B140" s="30" t="s">
        <v>1533</v>
      </c>
      <c r="C140" s="20" t="s">
        <v>653</v>
      </c>
      <c r="D140" s="20" t="s">
        <v>714</v>
      </c>
      <c r="E140" s="20" t="s">
        <v>4018</v>
      </c>
      <c r="F140" s="20" t="s">
        <v>4019</v>
      </c>
      <c r="G140" s="21">
        <v>13.4</v>
      </c>
      <c r="H140" s="16">
        <v>26</v>
      </c>
      <c r="I140" s="16"/>
      <c r="J14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0" s="22"/>
      <c r="L140" s="23"/>
      <c r="M14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0" s="19">
        <f>Tabela17468101214223032268161925273133362421012141618242628303840248101214162022262830323436242681012142461012242624426262826268102628623668101214161820222424262830323438404244464850[[#This Row],[Total Acumulado]]-P140</f>
        <v>-67</v>
      </c>
      <c r="P14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0" s="25">
        <v>26</v>
      </c>
    </row>
    <row r="141" spans="1:20" s="26" customFormat="1" x14ac:dyDescent="0.25">
      <c r="A141" s="16">
        <v>231011</v>
      </c>
      <c r="B141" s="30" t="s">
        <v>595</v>
      </c>
      <c r="C141" s="20" t="s">
        <v>653</v>
      </c>
      <c r="D141" s="20" t="s">
        <v>714</v>
      </c>
      <c r="E141" s="20" t="s">
        <v>4020</v>
      </c>
      <c r="F141" s="20" t="s">
        <v>4021</v>
      </c>
      <c r="G141" s="21">
        <v>13.4</v>
      </c>
      <c r="H141" s="16">
        <v>26</v>
      </c>
      <c r="I141" s="16"/>
      <c r="J14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1" s="22"/>
      <c r="L141" s="23"/>
      <c r="M14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1" s="19">
        <f>Tabela17468101214223032268161925273133362421012141618242628303840248101214162022262830323436242681012142461012242624426262826268102628623668101214161820222424262830323438404244464850[[#This Row],[Total Acumulado]]-P141</f>
        <v>-67</v>
      </c>
      <c r="P14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1" s="25">
        <v>26</v>
      </c>
    </row>
    <row r="142" spans="1:20" s="26" customFormat="1" x14ac:dyDescent="0.25">
      <c r="A142" s="16">
        <v>231096</v>
      </c>
      <c r="B142" s="30" t="s">
        <v>777</v>
      </c>
      <c r="C142" s="20" t="s">
        <v>653</v>
      </c>
      <c r="D142" s="20" t="s">
        <v>714</v>
      </c>
      <c r="E142" s="20" t="s">
        <v>4022</v>
      </c>
      <c r="F142" s="20" t="s">
        <v>4023</v>
      </c>
      <c r="G142" s="21">
        <v>13.4</v>
      </c>
      <c r="H142" s="16">
        <v>26</v>
      </c>
      <c r="I142" s="16"/>
      <c r="J14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2" s="22"/>
      <c r="L142" s="23"/>
      <c r="M14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2" s="19">
        <f>Tabela17468101214223032268161925273133362421012141618242628303840248101214162022262830323436242681012142461012242624426262826268102628623668101214161820222424262830323438404244464850[[#This Row],[Total Acumulado]]-P142</f>
        <v>-67</v>
      </c>
      <c r="P14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2" s="25">
        <v>26</v>
      </c>
    </row>
    <row r="143" spans="1:20" s="26" customFormat="1" x14ac:dyDescent="0.25">
      <c r="A143" s="16">
        <v>231881</v>
      </c>
      <c r="B143" s="30" t="s">
        <v>868</v>
      </c>
      <c r="C143" s="20" t="s">
        <v>653</v>
      </c>
      <c r="D143" s="20" t="s">
        <v>714</v>
      </c>
      <c r="E143" s="20" t="s">
        <v>4024</v>
      </c>
      <c r="F143" s="20" t="s">
        <v>4025</v>
      </c>
      <c r="G143" s="21">
        <v>18.8</v>
      </c>
      <c r="H143" s="16">
        <v>26</v>
      </c>
      <c r="I143" s="16"/>
      <c r="J14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43" s="22"/>
      <c r="L143" s="23"/>
      <c r="M14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3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43" s="19">
        <f>Tabela17468101214223032268161925273133362421012141618242628303840248101214162022262830323436242681012142461012242624426262826268102628623668101214161820222424262830323438404244464850[[#This Row],[Total Acumulado]]-P143</f>
        <v>-94</v>
      </c>
      <c r="P143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4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4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3" s="25">
        <v>26</v>
      </c>
    </row>
    <row r="144" spans="1:20" s="26" customFormat="1" x14ac:dyDescent="0.25">
      <c r="A144" s="16">
        <v>233957</v>
      </c>
      <c r="B144" s="30" t="s">
        <v>1248</v>
      </c>
      <c r="C144" s="20" t="s">
        <v>653</v>
      </c>
      <c r="D144" s="20" t="s">
        <v>714</v>
      </c>
      <c r="E144" s="20" t="s">
        <v>4026</v>
      </c>
      <c r="F144" s="20" t="s">
        <v>4027</v>
      </c>
      <c r="G144" s="21">
        <v>13.4</v>
      </c>
      <c r="H144" s="16">
        <v>26</v>
      </c>
      <c r="I144" s="16"/>
      <c r="J14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4" s="22"/>
      <c r="L144" s="23"/>
      <c r="M14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4" s="19">
        <f>Tabela17468101214223032268161925273133362421012141618242628303840248101214162022262830323436242681012142461012242624426262826268102628623668101214161820222424262830323438404244464850[[#This Row],[Total Acumulado]]-P144</f>
        <v>-67</v>
      </c>
      <c r="P14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4" s="25">
        <v>26</v>
      </c>
    </row>
    <row r="145" spans="1:20" s="26" customFormat="1" x14ac:dyDescent="0.25">
      <c r="A145" s="16">
        <v>234712</v>
      </c>
      <c r="B145" s="30" t="s">
        <v>1384</v>
      </c>
      <c r="C145" s="20" t="s">
        <v>653</v>
      </c>
      <c r="D145" s="20" t="s">
        <v>714</v>
      </c>
      <c r="E145" s="20" t="s">
        <v>4028</v>
      </c>
      <c r="F145" s="20" t="s">
        <v>4029</v>
      </c>
      <c r="G145" s="21">
        <v>13.4</v>
      </c>
      <c r="H145" s="16">
        <v>26</v>
      </c>
      <c r="I145" s="16"/>
      <c r="J14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5" s="22"/>
      <c r="L145" s="23"/>
      <c r="M14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5" s="19">
        <f>Tabela17468101214223032268161925273133362421012141618242628303840248101214162022262830323436242681012142461012242624426262826268102628623668101214161820222424262830323438404244464850[[#This Row],[Total Acumulado]]-P145</f>
        <v>-67</v>
      </c>
      <c r="P14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5" s="25">
        <v>26</v>
      </c>
    </row>
    <row r="146" spans="1:20" s="26" customFormat="1" x14ac:dyDescent="0.25">
      <c r="A146" s="16">
        <v>234737</v>
      </c>
      <c r="B146" s="30" t="s">
        <v>1385</v>
      </c>
      <c r="C146" s="20" t="s">
        <v>653</v>
      </c>
      <c r="D146" s="20" t="s">
        <v>714</v>
      </c>
      <c r="E146" s="20" t="s">
        <v>4030</v>
      </c>
      <c r="F146" s="20" t="s">
        <v>4031</v>
      </c>
      <c r="G146" s="21">
        <v>13.4</v>
      </c>
      <c r="H146" s="16">
        <v>26</v>
      </c>
      <c r="I146" s="16">
        <v>17</v>
      </c>
      <c r="J14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120.60000000000001</v>
      </c>
      <c r="K146" s="22"/>
      <c r="L146" s="23"/>
      <c r="M14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6" s="19">
        <f>Tabela17468101214223032268161925273133362421012141618242628303840248101214162022262830323436242681012142461012242624426262826268102628623668101214161820222424262830323438404244464850[[#This Row],[Total Acumulado]]-P146</f>
        <v>-67</v>
      </c>
      <c r="P14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120.60000000000001</v>
      </c>
      <c r="S14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6" s="25">
        <v>26</v>
      </c>
    </row>
    <row r="147" spans="1:20" s="26" customFormat="1" x14ac:dyDescent="0.25">
      <c r="A147" s="16">
        <v>209273</v>
      </c>
      <c r="B147" s="30" t="s">
        <v>596</v>
      </c>
      <c r="C147" s="20" t="s">
        <v>654</v>
      </c>
      <c r="D147" s="20" t="s">
        <v>745</v>
      </c>
      <c r="E147" s="20" t="s">
        <v>4034</v>
      </c>
      <c r="F147" s="20" t="s">
        <v>4035</v>
      </c>
      <c r="G147" s="21">
        <v>18.8</v>
      </c>
      <c r="H147" s="16">
        <v>26</v>
      </c>
      <c r="I147" s="16"/>
      <c r="J14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47" s="22"/>
      <c r="L147" s="23"/>
      <c r="M14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7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47" s="19">
        <f>Tabela17468101214223032268161925273133362421012141618242628303840248101214162022262830323436242681012142461012242624426262826268102628623668101214161820222424262830323438404244464850[[#This Row],[Total Acumulado]]-P147</f>
        <v>-94</v>
      </c>
      <c r="P147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4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4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7" s="25">
        <v>26</v>
      </c>
    </row>
    <row r="148" spans="1:20" s="26" customFormat="1" x14ac:dyDescent="0.25">
      <c r="A148" s="16">
        <v>222300</v>
      </c>
      <c r="B148" s="30" t="s">
        <v>401</v>
      </c>
      <c r="C148" s="20" t="s">
        <v>654</v>
      </c>
      <c r="D148" s="20" t="s">
        <v>731</v>
      </c>
      <c r="E148" s="20" t="s">
        <v>4036</v>
      </c>
      <c r="F148" s="20" t="s">
        <v>4037</v>
      </c>
      <c r="G148" s="21">
        <v>18.8</v>
      </c>
      <c r="H148" s="16">
        <v>26</v>
      </c>
      <c r="I148" s="16">
        <v>1</v>
      </c>
      <c r="J14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470</v>
      </c>
      <c r="K148" s="22"/>
      <c r="L148" s="23"/>
      <c r="M14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8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48" s="19">
        <f>Tabela17468101214223032268161925273133362421012141618242628303840248101214162022262830323436242681012142461012242624426262826268102628623668101214161820222424262830323438404244464850[[#This Row],[Total Acumulado]]-P148</f>
        <v>-94</v>
      </c>
      <c r="P148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4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470</v>
      </c>
      <c r="S14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8" s="25">
        <v>26</v>
      </c>
    </row>
    <row r="149" spans="1:20" s="26" customFormat="1" x14ac:dyDescent="0.25">
      <c r="A149" s="16">
        <v>222990</v>
      </c>
      <c r="B149" s="30" t="s">
        <v>30</v>
      </c>
      <c r="C149" s="20" t="s">
        <v>654</v>
      </c>
      <c r="D149" s="20" t="s">
        <v>715</v>
      </c>
      <c r="E149" s="20" t="s">
        <v>4038</v>
      </c>
      <c r="F149" s="20" t="s">
        <v>4039</v>
      </c>
      <c r="G149" s="21">
        <v>13.4</v>
      </c>
      <c r="H149" s="16">
        <v>26</v>
      </c>
      <c r="I149" s="16"/>
      <c r="J14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49" s="22"/>
      <c r="L149" s="23"/>
      <c r="M14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4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49" s="19">
        <f>Tabela17468101214223032268161925273133362421012141618242628303840248101214162022262830323436242681012142461012242624426262826268102628623668101214161820222424262830323438404244464850[[#This Row],[Total Acumulado]]-P149</f>
        <v>-67</v>
      </c>
      <c r="P14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4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4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4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49" s="25">
        <v>26</v>
      </c>
    </row>
    <row r="150" spans="1:20" s="26" customFormat="1" x14ac:dyDescent="0.25">
      <c r="A150" s="16">
        <v>226482</v>
      </c>
      <c r="B150" s="30" t="s">
        <v>597</v>
      </c>
      <c r="C150" s="20" t="s">
        <v>654</v>
      </c>
      <c r="D150" s="20" t="s">
        <v>715</v>
      </c>
      <c r="E150" s="20" t="s">
        <v>4040</v>
      </c>
      <c r="F150" s="20" t="s">
        <v>4041</v>
      </c>
      <c r="G150" s="21">
        <v>13.4</v>
      </c>
      <c r="H150" s="16">
        <v>26</v>
      </c>
      <c r="I150" s="16"/>
      <c r="J15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50" s="22"/>
      <c r="L150" s="23"/>
      <c r="M15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0" s="19">
        <f>Tabela17468101214223032268161925273133362421012141618242628303840248101214162022262830323436242681012142461012242624426262826268102628623668101214161820222424262830323438404244464850[[#This Row],[Total Acumulado]]-P150</f>
        <v>-67</v>
      </c>
      <c r="P15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5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0" s="25">
        <v>26</v>
      </c>
    </row>
    <row r="151" spans="1:20" s="26" customFormat="1" x14ac:dyDescent="0.25">
      <c r="A151" s="16">
        <v>226707</v>
      </c>
      <c r="B151" s="30" t="s">
        <v>1116</v>
      </c>
      <c r="C151" s="20" t="s">
        <v>654</v>
      </c>
      <c r="D151" s="20" t="s">
        <v>715</v>
      </c>
      <c r="E151" s="20" t="s">
        <v>4042</v>
      </c>
      <c r="F151" s="20" t="s">
        <v>4043</v>
      </c>
      <c r="G151" s="21">
        <v>13.4</v>
      </c>
      <c r="H151" s="16">
        <v>26</v>
      </c>
      <c r="I151" s="16">
        <v>10</v>
      </c>
      <c r="J15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214.4</v>
      </c>
      <c r="K151" s="22"/>
      <c r="L151" s="23"/>
      <c r="M15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1" s="19">
        <f>Tabela17468101214223032268161925273133362421012141618242628303840248101214162022262830323436242681012142461012242624426262826268102628623668101214161820222424262830323438404244464850[[#This Row],[Total Acumulado]]-P151</f>
        <v>-67</v>
      </c>
      <c r="P15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214.4</v>
      </c>
      <c r="S15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1" s="25">
        <v>26</v>
      </c>
    </row>
    <row r="152" spans="1:20" s="26" customFormat="1" x14ac:dyDescent="0.25">
      <c r="A152" s="16">
        <v>226943</v>
      </c>
      <c r="B152" s="30" t="s">
        <v>1250</v>
      </c>
      <c r="C152" s="20" t="s">
        <v>654</v>
      </c>
      <c r="D152" s="20" t="s">
        <v>1268</v>
      </c>
      <c r="E152" s="20" t="s">
        <v>4044</v>
      </c>
      <c r="F152" s="20" t="s">
        <v>4045</v>
      </c>
      <c r="G152" s="21">
        <v>15.4</v>
      </c>
      <c r="H152" s="16">
        <v>26</v>
      </c>
      <c r="I152" s="16">
        <v>6</v>
      </c>
      <c r="J15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308</v>
      </c>
      <c r="K152" s="22"/>
      <c r="L152" s="23"/>
      <c r="M15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2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152" s="19">
        <f>Tabela17468101214223032268161925273133362421012141618242628303840248101214162022262830323436242681012142461012242624426262826268102628623668101214161820222424262830323438404244464850[[#This Row],[Total Acumulado]]-P152</f>
        <v>-77</v>
      </c>
      <c r="P152" s="48">
        <f>Tabela17468101214223032268161925273133362421012141618242628303840248101214162022262830323436242681012142461012242624426262826268102628623668101214161820222424262830323438404244464850[[#This Row],[Uso diário]]*5</f>
        <v>77</v>
      </c>
      <c r="Q15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308</v>
      </c>
      <c r="S15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2" s="25">
        <v>26</v>
      </c>
    </row>
    <row r="153" spans="1:20" s="26" customFormat="1" x14ac:dyDescent="0.25">
      <c r="A153" s="16">
        <v>230722</v>
      </c>
      <c r="B153" s="30" t="s">
        <v>562</v>
      </c>
      <c r="C153" s="20" t="s">
        <v>654</v>
      </c>
      <c r="D153" s="20" t="s">
        <v>715</v>
      </c>
      <c r="E153" s="20" t="s">
        <v>4046</v>
      </c>
      <c r="F153" s="20" t="s">
        <v>4047</v>
      </c>
      <c r="G153" s="21">
        <v>13.4</v>
      </c>
      <c r="H153" s="16">
        <v>26</v>
      </c>
      <c r="I153" s="16">
        <v>3</v>
      </c>
      <c r="J15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308.2</v>
      </c>
      <c r="K153" s="22"/>
      <c r="L153" s="23"/>
      <c r="M15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3" s="19">
        <f>Tabela17468101214223032268161925273133362421012141618242628303840248101214162022262830323436242681012142461012242624426262826268102628623668101214161820222424262830323438404244464850[[#This Row],[Total Acumulado]]-P153</f>
        <v>-67</v>
      </c>
      <c r="P15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308.2</v>
      </c>
      <c r="S15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3" s="25">
        <v>26</v>
      </c>
    </row>
    <row r="154" spans="1:20" s="26" customFormat="1" x14ac:dyDescent="0.25">
      <c r="A154" s="16">
        <v>230834</v>
      </c>
      <c r="B154" s="30" t="s">
        <v>1534</v>
      </c>
      <c r="C154" s="20" t="s">
        <v>654</v>
      </c>
      <c r="D154" s="20" t="s">
        <v>715</v>
      </c>
      <c r="E154" s="20" t="s">
        <v>4048</v>
      </c>
      <c r="F154" s="20" t="s">
        <v>4049</v>
      </c>
      <c r="G154" s="21">
        <v>13.4</v>
      </c>
      <c r="H154" s="16">
        <v>26</v>
      </c>
      <c r="I154" s="16">
        <v>3</v>
      </c>
      <c r="J15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308.2</v>
      </c>
      <c r="K154" s="22"/>
      <c r="L154" s="23"/>
      <c r="M15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4" s="19">
        <f>Tabela17468101214223032268161925273133362421012141618242628303840248101214162022262830323436242681012142461012242624426262826268102628623668101214161820222424262830323438404244464850[[#This Row],[Total Acumulado]]-P154</f>
        <v>-67</v>
      </c>
      <c r="P15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308.2</v>
      </c>
      <c r="S15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4" s="25">
        <v>26</v>
      </c>
    </row>
    <row r="155" spans="1:20" s="26" customFormat="1" x14ac:dyDescent="0.25">
      <c r="A155" s="16">
        <v>230837</v>
      </c>
      <c r="B155" s="30" t="s">
        <v>598</v>
      </c>
      <c r="C155" s="20" t="s">
        <v>654</v>
      </c>
      <c r="D155" s="20" t="s">
        <v>715</v>
      </c>
      <c r="E155" s="20" t="s">
        <v>4050</v>
      </c>
      <c r="F155" s="20" t="s">
        <v>4051</v>
      </c>
      <c r="G155" s="21">
        <v>13.4</v>
      </c>
      <c r="H155" s="16">
        <v>26</v>
      </c>
      <c r="I155" s="16"/>
      <c r="J15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55" s="22"/>
      <c r="L155" s="23"/>
      <c r="M15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5" s="19">
        <f>Tabela17468101214223032268161925273133362421012141618242628303840248101214162022262830323436242681012142461012242624426262826268102628623668101214161820222424262830323438404244464850[[#This Row],[Total Acumulado]]-P155</f>
        <v>-67</v>
      </c>
      <c r="P15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5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5" s="25">
        <v>26</v>
      </c>
    </row>
    <row r="156" spans="1:20" s="26" customFormat="1" x14ac:dyDescent="0.25">
      <c r="A156" s="16">
        <v>230840</v>
      </c>
      <c r="B156" s="30" t="s">
        <v>599</v>
      </c>
      <c r="C156" s="20" t="s">
        <v>654</v>
      </c>
      <c r="D156" s="20" t="s">
        <v>715</v>
      </c>
      <c r="E156" s="20" t="s">
        <v>4052</v>
      </c>
      <c r="F156" s="20" t="s">
        <v>4053</v>
      </c>
      <c r="G156" s="21">
        <v>13.4</v>
      </c>
      <c r="H156" s="16">
        <v>26</v>
      </c>
      <c r="I156" s="16">
        <v>1</v>
      </c>
      <c r="J15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56" s="22"/>
      <c r="L156" s="23"/>
      <c r="M15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6" s="19">
        <f>Tabela17468101214223032268161925273133362421012141618242628303840248101214162022262830323436242681012142461012242624426262826268102628623668101214161820222424262830323438404244464850[[#This Row],[Total Acumulado]]-P156</f>
        <v>-67</v>
      </c>
      <c r="P15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5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6" s="25">
        <v>26</v>
      </c>
    </row>
    <row r="157" spans="1:20" s="26" customFormat="1" x14ac:dyDescent="0.25">
      <c r="A157" s="16">
        <v>230841</v>
      </c>
      <c r="B157" s="30" t="s">
        <v>600</v>
      </c>
      <c r="C157" s="20" t="s">
        <v>654</v>
      </c>
      <c r="D157" s="20" t="s">
        <v>715</v>
      </c>
      <c r="E157" s="20" t="s">
        <v>4054</v>
      </c>
      <c r="F157" s="20" t="s">
        <v>4055</v>
      </c>
      <c r="G157" s="21">
        <v>13.4</v>
      </c>
      <c r="H157" s="16">
        <v>26</v>
      </c>
      <c r="I157" s="16"/>
      <c r="J15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57" s="22"/>
      <c r="L157" s="23"/>
      <c r="M15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7" s="19">
        <f>Tabela17468101214223032268161925273133362421012141618242628303840248101214162022262830323436242681012142461012242624426262826268102628623668101214161820222424262830323438404244464850[[#This Row],[Total Acumulado]]-P157</f>
        <v>-67</v>
      </c>
      <c r="P15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5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7" s="25">
        <v>26</v>
      </c>
    </row>
    <row r="158" spans="1:20" s="26" customFormat="1" x14ac:dyDescent="0.25">
      <c r="A158" s="16">
        <v>230843</v>
      </c>
      <c r="B158" s="30" t="s">
        <v>601</v>
      </c>
      <c r="C158" s="20" t="s">
        <v>654</v>
      </c>
      <c r="D158" s="20" t="s">
        <v>715</v>
      </c>
      <c r="E158" s="20" t="s">
        <v>4056</v>
      </c>
      <c r="F158" s="20" t="s">
        <v>4057</v>
      </c>
      <c r="G158" s="21">
        <v>13.4</v>
      </c>
      <c r="H158" s="16">
        <v>5</v>
      </c>
      <c r="I158" s="16"/>
      <c r="J15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67</v>
      </c>
      <c r="K158" s="22"/>
      <c r="L158" s="23"/>
      <c r="M15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8" s="19">
        <f>Tabela17468101214223032268161925273133362421012141618242628303840248101214162022262830323436242681012142461012242624426262826268102628623668101214161820222424262830323438404244464850[[#This Row],[Total Acumulado]]-P158</f>
        <v>-67</v>
      </c>
      <c r="P15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67</v>
      </c>
      <c r="S15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8" s="25">
        <v>26</v>
      </c>
    </row>
    <row r="159" spans="1:20" s="26" customFormat="1" x14ac:dyDescent="0.25">
      <c r="A159" s="16">
        <v>230846</v>
      </c>
      <c r="B159" s="30" t="s">
        <v>602</v>
      </c>
      <c r="C159" s="20" t="s">
        <v>654</v>
      </c>
      <c r="D159" s="20" t="s">
        <v>715</v>
      </c>
      <c r="E159" s="20" t="s">
        <v>4058</v>
      </c>
      <c r="F159" s="20" t="s">
        <v>4059</v>
      </c>
      <c r="G159" s="21">
        <v>13.4</v>
      </c>
      <c r="H159" s="16">
        <v>26</v>
      </c>
      <c r="I159" s="16"/>
      <c r="J15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59" s="22"/>
      <c r="L159" s="23"/>
      <c r="M15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5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59" s="19">
        <f>Tabela17468101214223032268161925273133362421012141618242628303840248101214162022262830323436242681012142461012242624426262826268102628623668101214161820222424262830323438404244464850[[#This Row],[Total Acumulado]]-P159</f>
        <v>-67</v>
      </c>
      <c r="P15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5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5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5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59" s="25">
        <v>26</v>
      </c>
    </row>
    <row r="160" spans="1:20" s="26" customFormat="1" x14ac:dyDescent="0.25">
      <c r="A160" s="16">
        <v>230847</v>
      </c>
      <c r="B160" s="30" t="s">
        <v>1535</v>
      </c>
      <c r="C160" s="20" t="s">
        <v>654</v>
      </c>
      <c r="D160" s="20" t="s">
        <v>715</v>
      </c>
      <c r="E160" s="20" t="s">
        <v>4060</v>
      </c>
      <c r="F160" s="20" t="s">
        <v>4061</v>
      </c>
      <c r="G160" s="21">
        <v>13.4</v>
      </c>
      <c r="H160" s="16">
        <v>26</v>
      </c>
      <c r="I160" s="16"/>
      <c r="J16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0" s="22"/>
      <c r="L160" s="23"/>
      <c r="M16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0" s="19">
        <f>Tabela17468101214223032268161925273133362421012141618242628303840248101214162022262830323436242681012142461012242624426262826268102628623668101214161820222424262830323438404244464850[[#This Row],[Total Acumulado]]-P160</f>
        <v>-67</v>
      </c>
      <c r="P16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0" s="25">
        <v>26</v>
      </c>
    </row>
    <row r="161" spans="1:20" s="26" customFormat="1" x14ac:dyDescent="0.25">
      <c r="A161" s="16">
        <v>230906</v>
      </c>
      <c r="B161" s="30" t="s">
        <v>603</v>
      </c>
      <c r="C161" s="20" t="s">
        <v>654</v>
      </c>
      <c r="D161" s="20" t="s">
        <v>715</v>
      </c>
      <c r="E161" s="20" t="s">
        <v>4062</v>
      </c>
      <c r="F161" s="20" t="s">
        <v>4063</v>
      </c>
      <c r="G161" s="21">
        <v>13.4</v>
      </c>
      <c r="H161" s="16">
        <v>26</v>
      </c>
      <c r="I161" s="16"/>
      <c r="J16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1" s="22"/>
      <c r="L161" s="23"/>
      <c r="M16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1" s="19">
        <f>Tabela17468101214223032268161925273133362421012141618242628303840248101214162022262830323436242681012142461012242624426262826268102628623668101214161820222424262830323438404244464850[[#This Row],[Total Acumulado]]-P161</f>
        <v>-67</v>
      </c>
      <c r="P16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1" s="25">
        <v>26</v>
      </c>
    </row>
    <row r="162" spans="1:20" s="26" customFormat="1" x14ac:dyDescent="0.25">
      <c r="A162" s="16">
        <v>231006</v>
      </c>
      <c r="B162" s="30" t="s">
        <v>604</v>
      </c>
      <c r="C162" s="20" t="s">
        <v>654</v>
      </c>
      <c r="D162" s="20" t="s">
        <v>715</v>
      </c>
      <c r="E162" s="20" t="s">
        <v>4064</v>
      </c>
      <c r="F162" s="20" t="s">
        <v>4065</v>
      </c>
      <c r="G162" s="21">
        <v>13.4</v>
      </c>
      <c r="H162" s="16">
        <v>26</v>
      </c>
      <c r="I162" s="16"/>
      <c r="J16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2" s="22"/>
      <c r="L162" s="23"/>
      <c r="M16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2" s="19">
        <f>Tabela17468101214223032268161925273133362421012141618242628303840248101214162022262830323436242681012142461012242624426262826268102628623668101214161820222424262830323438404244464850[[#This Row],[Total Acumulado]]-P162</f>
        <v>-67</v>
      </c>
      <c r="P16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2" s="25">
        <v>26</v>
      </c>
    </row>
    <row r="163" spans="1:20" s="26" customFormat="1" x14ac:dyDescent="0.25">
      <c r="A163" s="16">
        <v>231710</v>
      </c>
      <c r="B163" s="30" t="s">
        <v>877</v>
      </c>
      <c r="C163" s="20" t="s">
        <v>654</v>
      </c>
      <c r="D163" s="20" t="s">
        <v>715</v>
      </c>
      <c r="E163" s="20" t="s">
        <v>4066</v>
      </c>
      <c r="F163" s="20" t="s">
        <v>4067</v>
      </c>
      <c r="G163" s="21">
        <v>15.4</v>
      </c>
      <c r="H163" s="16">
        <v>26</v>
      </c>
      <c r="I163" s="16">
        <v>2</v>
      </c>
      <c r="J16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369.6</v>
      </c>
      <c r="K163" s="22"/>
      <c r="L163" s="23"/>
      <c r="M16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3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163" s="19">
        <f>Tabela17468101214223032268161925273133362421012141618242628303840248101214162022262830323436242681012142461012242624426262826268102628623668101214161820222424262830323438404244464850[[#This Row],[Total Acumulado]]-P163</f>
        <v>-77</v>
      </c>
      <c r="P163" s="48">
        <f>Tabela17468101214223032268161925273133362421012141618242628303840248101214162022262830323436242681012142461012242624426262826268102628623668101214161820222424262830323438404244464850[[#This Row],[Uso diário]]*5</f>
        <v>77</v>
      </c>
      <c r="Q16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369.6</v>
      </c>
      <c r="S16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3" s="25">
        <v>26</v>
      </c>
    </row>
    <row r="164" spans="1:20" s="26" customFormat="1" x14ac:dyDescent="0.25">
      <c r="A164" s="16">
        <v>232642</v>
      </c>
      <c r="B164" s="30" t="s">
        <v>952</v>
      </c>
      <c r="C164" s="20" t="s">
        <v>654</v>
      </c>
      <c r="D164" s="20" t="s">
        <v>715</v>
      </c>
      <c r="E164" s="20" t="s">
        <v>4068</v>
      </c>
      <c r="F164" s="20" t="s">
        <v>4069</v>
      </c>
      <c r="G164" s="21">
        <v>13.4</v>
      </c>
      <c r="H164" s="16">
        <v>26</v>
      </c>
      <c r="I164" s="16"/>
      <c r="J16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4" s="22"/>
      <c r="L164" s="23"/>
      <c r="M16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4" s="19">
        <f>Tabela17468101214223032268161925273133362421012141618242628303840248101214162022262830323436242681012142461012242624426262826268102628623668101214161820222424262830323438404244464850[[#This Row],[Total Acumulado]]-P164</f>
        <v>-67</v>
      </c>
      <c r="P16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4" s="25">
        <v>26</v>
      </c>
    </row>
    <row r="165" spans="1:20" s="26" customFormat="1" x14ac:dyDescent="0.25">
      <c r="A165" s="16">
        <v>232755</v>
      </c>
      <c r="B165" s="30" t="s">
        <v>953</v>
      </c>
      <c r="C165" s="20" t="s">
        <v>654</v>
      </c>
      <c r="D165" s="20" t="s">
        <v>715</v>
      </c>
      <c r="E165" s="20" t="s">
        <v>4070</v>
      </c>
      <c r="F165" s="20" t="s">
        <v>4071</v>
      </c>
      <c r="G165" s="21">
        <v>13.4</v>
      </c>
      <c r="H165" s="16">
        <v>26</v>
      </c>
      <c r="I165" s="16"/>
      <c r="J16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5" s="22"/>
      <c r="L165" s="23"/>
      <c r="M16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5" s="19">
        <f>Tabela17468101214223032268161925273133362421012141618242628303840248101214162022262830323436242681012142461012242624426262826268102628623668101214161820222424262830323438404244464850[[#This Row],[Total Acumulado]]-P165</f>
        <v>-67</v>
      </c>
      <c r="P16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5" s="25">
        <v>26</v>
      </c>
    </row>
    <row r="166" spans="1:20" s="26" customFormat="1" x14ac:dyDescent="0.25">
      <c r="A166" s="16">
        <v>232868</v>
      </c>
      <c r="B166" s="30" t="s">
        <v>954</v>
      </c>
      <c r="C166" s="20" t="s">
        <v>654</v>
      </c>
      <c r="D166" s="20" t="s">
        <v>715</v>
      </c>
      <c r="E166" s="20" t="s">
        <v>4072</v>
      </c>
      <c r="F166" s="20" t="s">
        <v>4073</v>
      </c>
      <c r="G166" s="21">
        <v>13.4</v>
      </c>
      <c r="H166" s="16">
        <v>26</v>
      </c>
      <c r="I166" s="16">
        <v>1</v>
      </c>
      <c r="J16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66" s="22"/>
      <c r="L166" s="23"/>
      <c r="M16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6" s="19">
        <f>Tabela17468101214223032268161925273133362421012141618242628303840248101214162022262830323436242681012142461012242624426262826268102628623668101214161820222424262830323438404244464850[[#This Row],[Total Acumulado]]-P166</f>
        <v>-67</v>
      </c>
      <c r="P16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6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6" s="25">
        <v>26</v>
      </c>
    </row>
    <row r="167" spans="1:20" s="26" customFormat="1" x14ac:dyDescent="0.25">
      <c r="A167" s="16">
        <v>233308</v>
      </c>
      <c r="B167" s="30" t="s">
        <v>1117</v>
      </c>
      <c r="C167" s="20" t="s">
        <v>654</v>
      </c>
      <c r="D167" s="20" t="s">
        <v>715</v>
      </c>
      <c r="E167" s="20" t="s">
        <v>4074</v>
      </c>
      <c r="F167" s="20" t="s">
        <v>4075</v>
      </c>
      <c r="G167" s="21">
        <v>13.4</v>
      </c>
      <c r="H167" s="16">
        <v>26</v>
      </c>
      <c r="I167" s="16"/>
      <c r="J16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7" s="22"/>
      <c r="L167" s="23"/>
      <c r="M16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7" s="19">
        <f>Tabela17468101214223032268161925273133362421012141618242628303840248101214162022262830323436242681012142461012242624426262826268102628623668101214161820222424262830323438404244464850[[#This Row],[Total Acumulado]]-P167</f>
        <v>-67</v>
      </c>
      <c r="P16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7" s="25">
        <v>26</v>
      </c>
    </row>
    <row r="168" spans="1:20" s="26" customFormat="1" x14ac:dyDescent="0.25">
      <c r="A168" s="16">
        <v>233345</v>
      </c>
      <c r="B168" s="30" t="s">
        <v>1118</v>
      </c>
      <c r="C168" s="20" t="s">
        <v>654</v>
      </c>
      <c r="D168" s="20" t="s">
        <v>715</v>
      </c>
      <c r="E168" s="20" t="s">
        <v>4076</v>
      </c>
      <c r="F168" s="20" t="s">
        <v>4077</v>
      </c>
      <c r="G168" s="21">
        <v>13.4</v>
      </c>
      <c r="H168" s="16">
        <v>26</v>
      </c>
      <c r="I168" s="16"/>
      <c r="J16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68" s="22"/>
      <c r="L168" s="23"/>
      <c r="M16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68" s="19">
        <f>Tabela17468101214223032268161925273133362421012141618242628303840248101214162022262830323436242681012142461012242624426262826268102628623668101214161820222424262830323438404244464850[[#This Row],[Total Acumulado]]-P168</f>
        <v>-67</v>
      </c>
      <c r="P16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6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6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8" s="25">
        <v>26</v>
      </c>
    </row>
    <row r="169" spans="1:20" s="26" customFormat="1" x14ac:dyDescent="0.25">
      <c r="A169" s="16">
        <v>233477</v>
      </c>
      <c r="B169" s="30" t="s">
        <v>1119</v>
      </c>
      <c r="C169" s="20" t="s">
        <v>654</v>
      </c>
      <c r="D169" s="20" t="s">
        <v>715</v>
      </c>
      <c r="E169" s="20" t="s">
        <v>4078</v>
      </c>
      <c r="F169" s="20" t="s">
        <v>4079</v>
      </c>
      <c r="G169" s="21">
        <v>18.8</v>
      </c>
      <c r="H169" s="16">
        <v>26</v>
      </c>
      <c r="I169" s="16"/>
      <c r="J16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69" s="22"/>
      <c r="L169" s="23"/>
      <c r="M16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69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69" s="19">
        <f>Tabela17468101214223032268161925273133362421012141618242628303840248101214162022262830323436242681012142461012242624426262826268102628623668101214161820222424262830323438404244464850[[#This Row],[Total Acumulado]]-P169</f>
        <v>-94</v>
      </c>
      <c r="P169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6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6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6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69" s="25">
        <v>26</v>
      </c>
    </row>
    <row r="170" spans="1:20" s="26" customFormat="1" x14ac:dyDescent="0.25">
      <c r="A170" s="16">
        <v>234332</v>
      </c>
      <c r="B170" s="30" t="s">
        <v>1302</v>
      </c>
      <c r="C170" s="20" t="s">
        <v>654</v>
      </c>
      <c r="D170" s="20" t="s">
        <v>715</v>
      </c>
      <c r="E170" s="20" t="s">
        <v>4080</v>
      </c>
      <c r="F170" s="20" t="s">
        <v>4081</v>
      </c>
      <c r="G170" s="21">
        <v>13.4</v>
      </c>
      <c r="H170" s="16">
        <v>26</v>
      </c>
      <c r="I170" s="16"/>
      <c r="J17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70" s="22"/>
      <c r="L170" s="23"/>
      <c r="M17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0" s="19">
        <f>Tabela17468101214223032268161925273133362421012141618242628303840248101214162022262830323436242681012142461012242624426262826268102628623668101214161820222424262830323438404244464850[[#This Row],[Total Acumulado]]-P170</f>
        <v>-67</v>
      </c>
      <c r="P17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7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0" s="25">
        <v>26</v>
      </c>
    </row>
    <row r="171" spans="1:20" s="26" customFormat="1" x14ac:dyDescent="0.25">
      <c r="A171" s="16">
        <v>234333</v>
      </c>
      <c r="B171" s="30" t="s">
        <v>1303</v>
      </c>
      <c r="C171" s="20" t="s">
        <v>654</v>
      </c>
      <c r="D171" s="20" t="s">
        <v>715</v>
      </c>
      <c r="E171" s="20" t="s">
        <v>4082</v>
      </c>
      <c r="F171" s="20" t="s">
        <v>4083</v>
      </c>
      <c r="G171" s="21">
        <v>13.4</v>
      </c>
      <c r="H171" s="16">
        <v>26</v>
      </c>
      <c r="I171" s="16">
        <v>5</v>
      </c>
      <c r="J17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281.40000000000003</v>
      </c>
      <c r="K171" s="22"/>
      <c r="L171" s="23"/>
      <c r="M17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1" s="19">
        <f>Tabela17468101214223032268161925273133362421012141618242628303840248101214162022262830323436242681012142461012242624426262826268102628623668101214161820222424262830323438404244464850[[#This Row],[Total Acumulado]]-P171</f>
        <v>-67</v>
      </c>
      <c r="P17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281.40000000000003</v>
      </c>
      <c r="S17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1" s="25">
        <v>26</v>
      </c>
    </row>
    <row r="172" spans="1:20" s="26" customFormat="1" x14ac:dyDescent="0.25">
      <c r="A172" s="16">
        <v>234639</v>
      </c>
      <c r="B172" s="30" t="s">
        <v>1333</v>
      </c>
      <c r="C172" s="20" t="s">
        <v>654</v>
      </c>
      <c r="D172" s="20" t="s">
        <v>715</v>
      </c>
      <c r="E172" s="20" t="s">
        <v>4084</v>
      </c>
      <c r="F172" s="20" t="s">
        <v>4085</v>
      </c>
      <c r="G172" s="21">
        <v>13.4</v>
      </c>
      <c r="H172" s="16">
        <v>26</v>
      </c>
      <c r="I172" s="16"/>
      <c r="J17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72" s="22"/>
      <c r="L172" s="23"/>
      <c r="M17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2" s="19">
        <f>Tabela17468101214223032268161925273133362421012141618242628303840248101214162022262830323436242681012142461012242624426262826268102628623668101214161820222424262830323438404244464850[[#This Row],[Total Acumulado]]-P172</f>
        <v>-67</v>
      </c>
      <c r="P17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7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2" s="25">
        <v>26</v>
      </c>
    </row>
    <row r="173" spans="1:20" s="26" customFormat="1" x14ac:dyDescent="0.25">
      <c r="A173" s="16">
        <v>234665</v>
      </c>
      <c r="B173" s="30" t="s">
        <v>1334</v>
      </c>
      <c r="C173" s="20" t="s">
        <v>654</v>
      </c>
      <c r="D173" s="20" t="s">
        <v>715</v>
      </c>
      <c r="E173" s="20" t="s">
        <v>4086</v>
      </c>
      <c r="F173" s="20" t="s">
        <v>4087</v>
      </c>
      <c r="G173" s="21">
        <v>13.4</v>
      </c>
      <c r="H173" s="16">
        <v>26</v>
      </c>
      <c r="I173" s="16">
        <v>1</v>
      </c>
      <c r="J17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73" s="22"/>
      <c r="L173" s="23"/>
      <c r="M17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3" s="19">
        <f>Tabela17468101214223032268161925273133362421012141618242628303840248101214162022262830323436242681012142461012242624426262826268102628623668101214161820222424262830323438404244464850[[#This Row],[Total Acumulado]]-P173</f>
        <v>-67</v>
      </c>
      <c r="P17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7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3" s="25">
        <v>26</v>
      </c>
    </row>
    <row r="174" spans="1:20" s="26" customFormat="1" x14ac:dyDescent="0.25">
      <c r="A174" s="16">
        <v>222107</v>
      </c>
      <c r="B174" s="30" t="s">
        <v>1536</v>
      </c>
      <c r="C174" s="20" t="s">
        <v>640</v>
      </c>
      <c r="D174" s="20" t="s">
        <v>702</v>
      </c>
      <c r="E174" s="20" t="s">
        <v>4088</v>
      </c>
      <c r="F174" s="20" t="s">
        <v>4089</v>
      </c>
      <c r="G174" s="21">
        <v>13.4</v>
      </c>
      <c r="H174" s="16">
        <v>26</v>
      </c>
      <c r="I174" s="16"/>
      <c r="J17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74" s="22"/>
      <c r="L174" s="23"/>
      <c r="M17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4" s="19">
        <f>Tabela17468101214223032268161925273133362421012141618242628303840248101214162022262830323436242681012142461012242624426262826268102628623668101214161820222424262830323438404244464850[[#This Row],[Total Acumulado]]-P174</f>
        <v>-67</v>
      </c>
      <c r="P17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7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4" s="25">
        <v>26</v>
      </c>
    </row>
    <row r="175" spans="1:20" s="26" customFormat="1" x14ac:dyDescent="0.25">
      <c r="A175" s="16">
        <v>229796</v>
      </c>
      <c r="B175" s="30" t="s">
        <v>1251</v>
      </c>
      <c r="C175" s="20" t="s">
        <v>640</v>
      </c>
      <c r="D175" s="20" t="s">
        <v>702</v>
      </c>
      <c r="E175" s="20" t="s">
        <v>4090</v>
      </c>
      <c r="F175" s="20" t="s">
        <v>4091</v>
      </c>
      <c r="G175" s="21">
        <v>18.8</v>
      </c>
      <c r="H175" s="16">
        <v>26</v>
      </c>
      <c r="I175" s="16"/>
      <c r="J17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75" s="22"/>
      <c r="L175" s="23"/>
      <c r="M17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5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75" s="19">
        <f>Tabela17468101214223032268161925273133362421012141618242628303840248101214162022262830323436242681012142461012242624426262826268102628623668101214161820222424262830323438404244464850[[#This Row],[Total Acumulado]]-P175</f>
        <v>-94</v>
      </c>
      <c r="P175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7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7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5" s="25">
        <v>26</v>
      </c>
    </row>
    <row r="176" spans="1:20" s="26" customFormat="1" x14ac:dyDescent="0.25">
      <c r="A176" s="16">
        <v>234638</v>
      </c>
      <c r="B176" s="30" t="s">
        <v>1335</v>
      </c>
      <c r="C176" s="20" t="s">
        <v>640</v>
      </c>
      <c r="D176" s="20" t="s">
        <v>701</v>
      </c>
      <c r="E176" s="20" t="s">
        <v>4092</v>
      </c>
      <c r="F176" s="20" t="s">
        <v>4093</v>
      </c>
      <c r="G176" s="21">
        <v>13.4</v>
      </c>
      <c r="H176" s="16">
        <v>26</v>
      </c>
      <c r="I176" s="16">
        <v>1</v>
      </c>
      <c r="J17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76" s="22"/>
      <c r="L176" s="23"/>
      <c r="M17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6" s="19">
        <f>Tabela17468101214223032268161925273133362421012141618242628303840248101214162022262830323436242681012142461012242624426262826268102628623668101214161820222424262830323438404244464850[[#This Row],[Total Acumulado]]-P176</f>
        <v>-67</v>
      </c>
      <c r="P17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7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6" s="25">
        <v>26</v>
      </c>
    </row>
    <row r="177" spans="1:20" s="26" customFormat="1" x14ac:dyDescent="0.25">
      <c r="A177" s="16">
        <v>234776</v>
      </c>
      <c r="B177" s="30" t="s">
        <v>1386</v>
      </c>
      <c r="C177" s="20" t="s">
        <v>640</v>
      </c>
      <c r="D177" s="20" t="s">
        <v>701</v>
      </c>
      <c r="E177" s="20" t="s">
        <v>4094</v>
      </c>
      <c r="F177" s="20" t="s">
        <v>4095</v>
      </c>
      <c r="G177" s="21">
        <v>13.4</v>
      </c>
      <c r="H177" s="16">
        <v>26</v>
      </c>
      <c r="I177" s="16"/>
      <c r="J17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77" s="22"/>
      <c r="L177" s="23"/>
      <c r="M17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7" s="19">
        <f>Tabela17468101214223032268161925273133362421012141618242628303840248101214162022262830323436242681012142461012242624426262826268102628623668101214161820222424262830323438404244464850[[#This Row],[Total Acumulado]]-P177</f>
        <v>-67</v>
      </c>
      <c r="P17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7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7" s="25">
        <v>26</v>
      </c>
    </row>
    <row r="178" spans="1:20" s="26" customFormat="1" x14ac:dyDescent="0.25">
      <c r="A178" s="16">
        <v>222717</v>
      </c>
      <c r="B178" s="30" t="s">
        <v>1537</v>
      </c>
      <c r="C178" s="20" t="s">
        <v>655</v>
      </c>
      <c r="D178" s="20" t="s">
        <v>713</v>
      </c>
      <c r="E178" s="20" t="s">
        <v>4096</v>
      </c>
      <c r="F178" s="20" t="s">
        <v>4097</v>
      </c>
      <c r="G178" s="21">
        <v>13.4</v>
      </c>
      <c r="H178" s="16">
        <v>26</v>
      </c>
      <c r="I178" s="16"/>
      <c r="J17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78" s="22"/>
      <c r="L178" s="23"/>
      <c r="M17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8" s="19">
        <f>Tabela17468101214223032268161925273133362421012141618242628303840248101214162022262830323436242681012142461012242624426262826268102628623668101214161820222424262830323438404244464850[[#This Row],[Total Acumulado]]-P178</f>
        <v>-67</v>
      </c>
      <c r="P17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7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8" s="25">
        <v>26</v>
      </c>
    </row>
    <row r="179" spans="1:20" s="26" customFormat="1" x14ac:dyDescent="0.25">
      <c r="A179" s="16">
        <v>230700</v>
      </c>
      <c r="B179" s="30" t="s">
        <v>606</v>
      </c>
      <c r="C179" s="20" t="s">
        <v>655</v>
      </c>
      <c r="D179" s="20" t="s">
        <v>733</v>
      </c>
      <c r="E179" s="20" t="s">
        <v>4098</v>
      </c>
      <c r="F179" s="20" t="s">
        <v>4099</v>
      </c>
      <c r="G179" s="21">
        <v>13.4</v>
      </c>
      <c r="H179" s="16">
        <v>26</v>
      </c>
      <c r="I179" s="16"/>
      <c r="J17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79" s="22"/>
      <c r="L179" s="23"/>
      <c r="M17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7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79" s="19">
        <f>Tabela17468101214223032268161925273133362421012141618242628303840248101214162022262830323436242681012142461012242624426262826268102628623668101214161820222424262830323438404244464850[[#This Row],[Total Acumulado]]-P179</f>
        <v>-67</v>
      </c>
      <c r="P17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7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7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7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79" s="25">
        <v>26</v>
      </c>
    </row>
    <row r="180" spans="1:20" s="26" customFormat="1" x14ac:dyDescent="0.25">
      <c r="A180" s="16">
        <v>230703</v>
      </c>
      <c r="B180" s="30" t="s">
        <v>540</v>
      </c>
      <c r="C180" s="20" t="s">
        <v>655</v>
      </c>
      <c r="D180" s="20" t="s">
        <v>734</v>
      </c>
      <c r="E180" s="20" t="s">
        <v>4100</v>
      </c>
      <c r="F180" s="20" t="s">
        <v>4101</v>
      </c>
      <c r="G180" s="21">
        <v>13.4</v>
      </c>
      <c r="H180" s="16">
        <v>26</v>
      </c>
      <c r="I180" s="16"/>
      <c r="J18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80" s="22"/>
      <c r="L180" s="23"/>
      <c r="M18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0" s="19">
        <f>Tabela17468101214223032268161925273133362421012141618242628303840248101214162022262830323436242681012142461012242624426262826268102628623668101214161820222424262830323438404244464850[[#This Row],[Total Acumulado]]-P180</f>
        <v>-67</v>
      </c>
      <c r="P18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8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0" s="25">
        <v>26</v>
      </c>
    </row>
    <row r="181" spans="1:20" s="26" customFormat="1" x14ac:dyDescent="0.25">
      <c r="A181" s="16">
        <v>230706</v>
      </c>
      <c r="B181" s="30" t="s">
        <v>607</v>
      </c>
      <c r="C181" s="20" t="s">
        <v>655</v>
      </c>
      <c r="D181" s="20" t="s">
        <v>713</v>
      </c>
      <c r="E181" s="20" t="s">
        <v>4102</v>
      </c>
      <c r="F181" s="20" t="s">
        <v>4103</v>
      </c>
      <c r="G181" s="21">
        <v>13.4</v>
      </c>
      <c r="H181" s="16">
        <v>26</v>
      </c>
      <c r="I181" s="16"/>
      <c r="J18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81" s="22"/>
      <c r="L181" s="23"/>
      <c r="M18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1" s="19">
        <f>Tabela17468101214223032268161925273133362421012141618242628303840248101214162022262830323436242681012142461012242624426262826268102628623668101214161820222424262830323438404244464850[[#This Row],[Total Acumulado]]-P181</f>
        <v>-67</v>
      </c>
      <c r="P18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8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1" s="25">
        <v>26</v>
      </c>
    </row>
    <row r="182" spans="1:20" s="26" customFormat="1" x14ac:dyDescent="0.25">
      <c r="A182" s="16">
        <v>230712</v>
      </c>
      <c r="B182" s="30" t="s">
        <v>1538</v>
      </c>
      <c r="C182" s="20" t="s">
        <v>655</v>
      </c>
      <c r="D182" s="20" t="s">
        <v>734</v>
      </c>
      <c r="E182" s="20" t="s">
        <v>4104</v>
      </c>
      <c r="F182" s="20" t="s">
        <v>4105</v>
      </c>
      <c r="G182" s="21">
        <v>13.4</v>
      </c>
      <c r="H182" s="16">
        <v>26</v>
      </c>
      <c r="I182" s="16"/>
      <c r="J18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82" s="22"/>
      <c r="L182" s="23"/>
      <c r="M18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2" s="19">
        <f>Tabela17468101214223032268161925273133362421012141618242628303840248101214162022262830323436242681012142461012242624426262826268102628623668101214161820222424262830323438404244464850[[#This Row],[Total Acumulado]]-P182</f>
        <v>-67</v>
      </c>
      <c r="P18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8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2" s="25">
        <v>26</v>
      </c>
    </row>
    <row r="183" spans="1:20" s="26" customFormat="1" x14ac:dyDescent="0.25">
      <c r="A183" s="16">
        <v>230733</v>
      </c>
      <c r="B183" s="30" t="s">
        <v>566</v>
      </c>
      <c r="C183" s="20" t="s">
        <v>655</v>
      </c>
      <c r="D183" s="20" t="s">
        <v>713</v>
      </c>
      <c r="E183" s="20" t="s">
        <v>4106</v>
      </c>
      <c r="F183" s="20" t="s">
        <v>4107</v>
      </c>
      <c r="G183" s="21">
        <v>15.4</v>
      </c>
      <c r="H183" s="16">
        <v>26</v>
      </c>
      <c r="I183" s="16"/>
      <c r="J18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400.40000000000003</v>
      </c>
      <c r="K183" s="22"/>
      <c r="L183" s="23"/>
      <c r="M18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3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183" s="19">
        <f>Tabela17468101214223032268161925273133362421012141618242628303840248101214162022262830323436242681012142461012242624426262826268102628623668101214161820222424262830323438404244464850[[#This Row],[Total Acumulado]]-P183</f>
        <v>-77</v>
      </c>
      <c r="P183" s="48">
        <f>Tabela17468101214223032268161925273133362421012141618242628303840248101214162022262830323436242681012142461012242624426262826268102628623668101214161820222424262830323438404244464850[[#This Row],[Uso diário]]*5</f>
        <v>77</v>
      </c>
      <c r="Q18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400.40000000000003</v>
      </c>
      <c r="S18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3" s="25">
        <v>26</v>
      </c>
    </row>
    <row r="184" spans="1:20" s="26" customFormat="1" x14ac:dyDescent="0.25">
      <c r="A184" s="16">
        <v>231004</v>
      </c>
      <c r="B184" s="30" t="s">
        <v>583</v>
      </c>
      <c r="C184" s="20" t="s">
        <v>655</v>
      </c>
      <c r="D184" s="20" t="s">
        <v>734</v>
      </c>
      <c r="E184" s="20" t="s">
        <v>4108</v>
      </c>
      <c r="F184" s="20" t="s">
        <v>4109</v>
      </c>
      <c r="G184" s="21">
        <v>15.4</v>
      </c>
      <c r="H184" s="16">
        <v>26</v>
      </c>
      <c r="I184" s="16"/>
      <c r="J18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400.40000000000003</v>
      </c>
      <c r="K184" s="22"/>
      <c r="L184" s="23"/>
      <c r="M18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4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184" s="19">
        <f>Tabela17468101214223032268161925273133362421012141618242628303840248101214162022262830323436242681012142461012242624426262826268102628623668101214161820222424262830323438404244464850[[#This Row],[Total Acumulado]]-P184</f>
        <v>-77</v>
      </c>
      <c r="P184" s="48">
        <f>Tabela17468101214223032268161925273133362421012141618242628303840248101214162022262830323436242681012142461012242624426262826268102628623668101214161820222424262830323438404244464850[[#This Row],[Uso diário]]*5</f>
        <v>77</v>
      </c>
      <c r="Q18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400.40000000000003</v>
      </c>
      <c r="S18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4" s="25">
        <v>26</v>
      </c>
    </row>
    <row r="185" spans="1:20" s="26" customFormat="1" x14ac:dyDescent="0.25">
      <c r="A185" s="16">
        <v>231611</v>
      </c>
      <c r="B185" s="30" t="s">
        <v>865</v>
      </c>
      <c r="C185" s="20" t="s">
        <v>655</v>
      </c>
      <c r="D185" s="20" t="s">
        <v>713</v>
      </c>
      <c r="E185" s="20" t="s">
        <v>4110</v>
      </c>
      <c r="F185" s="20" t="s">
        <v>4111</v>
      </c>
      <c r="G185" s="21">
        <v>13.4</v>
      </c>
      <c r="H185" s="16">
        <v>26</v>
      </c>
      <c r="I185" s="16">
        <v>1</v>
      </c>
      <c r="J18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85" s="22"/>
      <c r="L185" s="23"/>
      <c r="M18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5" s="19">
        <f>Tabela17468101214223032268161925273133362421012141618242628303840248101214162022262830323436242681012142461012242624426262826268102628623668101214161820222424262830323438404244464850[[#This Row],[Total Acumulado]]-P185</f>
        <v>-67</v>
      </c>
      <c r="P18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8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5" s="25">
        <v>26</v>
      </c>
    </row>
    <row r="186" spans="1:20" s="26" customFormat="1" x14ac:dyDescent="0.25">
      <c r="A186" s="16">
        <v>232585</v>
      </c>
      <c r="B186" s="30" t="s">
        <v>923</v>
      </c>
      <c r="C186" s="20" t="s">
        <v>655</v>
      </c>
      <c r="D186" s="20" t="s">
        <v>713</v>
      </c>
      <c r="E186" s="20" t="s">
        <v>4112</v>
      </c>
      <c r="F186" s="20" t="s">
        <v>4113</v>
      </c>
      <c r="G186" s="21">
        <v>13.4</v>
      </c>
      <c r="H186" s="16">
        <v>26</v>
      </c>
      <c r="I186" s="16">
        <v>1</v>
      </c>
      <c r="J18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186" s="22"/>
      <c r="L186" s="23"/>
      <c r="M18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6" s="19">
        <f>Tabela17468101214223032268161925273133362421012141618242628303840248101214162022262830323436242681012142461012242624426262826268102628623668101214161820222424262830323438404244464850[[#This Row],[Total Acumulado]]-P186</f>
        <v>-67</v>
      </c>
      <c r="P18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18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6" s="25">
        <v>26</v>
      </c>
    </row>
    <row r="187" spans="1:20" s="26" customFormat="1" x14ac:dyDescent="0.25">
      <c r="A187" s="16">
        <v>234659</v>
      </c>
      <c r="B187" s="30" t="s">
        <v>1336</v>
      </c>
      <c r="C187" s="20" t="s">
        <v>655</v>
      </c>
      <c r="D187" s="20" t="s">
        <v>734</v>
      </c>
      <c r="E187" s="20" t="s">
        <v>4114</v>
      </c>
      <c r="F187" s="20" t="s">
        <v>4115</v>
      </c>
      <c r="G187" s="21">
        <v>13.4</v>
      </c>
      <c r="H187" s="16">
        <v>26</v>
      </c>
      <c r="I187" s="16"/>
      <c r="J18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87" s="22"/>
      <c r="L187" s="23"/>
      <c r="M18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7" s="19">
        <f>Tabela17468101214223032268161925273133362421012141618242628303840248101214162022262830323436242681012142461012242624426262826268102628623668101214161820222424262830323438404244464850[[#This Row],[Total Acumulado]]-P187</f>
        <v>-67</v>
      </c>
      <c r="P18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8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7" s="25">
        <v>26</v>
      </c>
    </row>
    <row r="188" spans="1:20" s="26" customFormat="1" x14ac:dyDescent="0.25">
      <c r="A188" s="16">
        <v>213281</v>
      </c>
      <c r="B188" s="30" t="s">
        <v>306</v>
      </c>
      <c r="C188" s="20" t="s">
        <v>641</v>
      </c>
      <c r="D188" s="20" t="s">
        <v>735</v>
      </c>
      <c r="E188" s="20" t="s">
        <v>4116</v>
      </c>
      <c r="F188" s="20" t="s">
        <v>4117</v>
      </c>
      <c r="G188" s="21">
        <v>18.8</v>
      </c>
      <c r="H188" s="16">
        <v>26</v>
      </c>
      <c r="I188" s="16"/>
      <c r="J18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88" s="22"/>
      <c r="L188" s="23"/>
      <c r="M18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8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88" s="19">
        <f>Tabela17468101214223032268161925273133362421012141618242628303840248101214162022262830323436242681012142461012242624426262826268102628623668101214161820222424262830323438404244464850[[#This Row],[Total Acumulado]]-P188</f>
        <v>-94</v>
      </c>
      <c r="P188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8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8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8" s="25">
        <v>26</v>
      </c>
    </row>
    <row r="189" spans="1:20" s="26" customFormat="1" x14ac:dyDescent="0.25">
      <c r="A189" s="16">
        <v>214668</v>
      </c>
      <c r="B189" s="30" t="s">
        <v>1120</v>
      </c>
      <c r="C189" s="20" t="s">
        <v>641</v>
      </c>
      <c r="D189" s="20" t="s">
        <v>704</v>
      </c>
      <c r="E189" s="20" t="s">
        <v>4118</v>
      </c>
      <c r="F189" s="20" t="s">
        <v>4119</v>
      </c>
      <c r="G189" s="21">
        <v>13.4</v>
      </c>
      <c r="H189" s="16">
        <v>26</v>
      </c>
      <c r="I189" s="16"/>
      <c r="J18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89" s="22"/>
      <c r="L189" s="23"/>
      <c r="M18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8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89" s="19">
        <f>Tabela17468101214223032268161925273133362421012141618242628303840248101214162022262830323436242681012142461012242624426262826268102628623668101214161820222424262830323438404244464850[[#This Row],[Total Acumulado]]-P189</f>
        <v>-67</v>
      </c>
      <c r="P18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8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8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8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89" s="25">
        <v>26</v>
      </c>
    </row>
    <row r="190" spans="1:20" s="26" customFormat="1" x14ac:dyDescent="0.25">
      <c r="A190" s="16">
        <v>219911</v>
      </c>
      <c r="B190" s="30" t="s">
        <v>1539</v>
      </c>
      <c r="C190" s="20" t="s">
        <v>641</v>
      </c>
      <c r="D190" s="20" t="s">
        <v>704</v>
      </c>
      <c r="E190" s="20" t="s">
        <v>4120</v>
      </c>
      <c r="F190" s="20" t="s">
        <v>4121</v>
      </c>
      <c r="G190" s="21">
        <v>18.8</v>
      </c>
      <c r="H190" s="16">
        <v>26</v>
      </c>
      <c r="I190" s="16"/>
      <c r="J19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90" s="22"/>
      <c r="L190" s="23"/>
      <c r="M19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0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90" s="19">
        <f>Tabela17468101214223032268161925273133362421012141618242628303840248101214162022262830323436242681012142461012242624426262826268102628623668101214161820222424262830323438404244464850[[#This Row],[Total Acumulado]]-P190</f>
        <v>-94</v>
      </c>
      <c r="P190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9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9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0" s="25">
        <v>26</v>
      </c>
    </row>
    <row r="191" spans="1:20" s="26" customFormat="1" x14ac:dyDescent="0.25">
      <c r="A191" s="16">
        <v>223390</v>
      </c>
      <c r="B191" s="30" t="s">
        <v>1252</v>
      </c>
      <c r="C191" s="20" t="s">
        <v>641</v>
      </c>
      <c r="D191" s="20" t="s">
        <v>705</v>
      </c>
      <c r="E191" s="20" t="s">
        <v>4122</v>
      </c>
      <c r="F191" s="20" t="s">
        <v>4123</v>
      </c>
      <c r="G191" s="21">
        <v>13.4</v>
      </c>
      <c r="H191" s="16">
        <v>26</v>
      </c>
      <c r="I191" s="16"/>
      <c r="J19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91" s="22"/>
      <c r="L191" s="23"/>
      <c r="M19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1" s="19">
        <f>Tabela17468101214223032268161925273133362421012141618242628303840248101214162022262830323436242681012142461012242624426262826268102628623668101214161820222424262830323438404244464850[[#This Row],[Total Acumulado]]-P191</f>
        <v>-67</v>
      </c>
      <c r="P19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9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1" s="25">
        <v>26</v>
      </c>
    </row>
    <row r="192" spans="1:20" s="26" customFormat="1" x14ac:dyDescent="0.25">
      <c r="A192" s="16">
        <v>228642</v>
      </c>
      <c r="B192" s="30" t="s">
        <v>503</v>
      </c>
      <c r="C192" s="20" t="s">
        <v>641</v>
      </c>
      <c r="D192" s="20" t="s">
        <v>704</v>
      </c>
      <c r="E192" s="20" t="s">
        <v>4124</v>
      </c>
      <c r="F192" s="20" t="s">
        <v>4125</v>
      </c>
      <c r="G192" s="21">
        <v>15.4</v>
      </c>
      <c r="H192" s="16">
        <v>26</v>
      </c>
      <c r="I192" s="16"/>
      <c r="J19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400.40000000000003</v>
      </c>
      <c r="K192" s="22"/>
      <c r="L192" s="23"/>
      <c r="M19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2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192" s="19">
        <f>Tabela17468101214223032268161925273133362421012141618242628303840248101214162022262830323436242681012142461012242624426262826268102628623668101214161820222424262830323438404244464850[[#This Row],[Total Acumulado]]-P192</f>
        <v>-77</v>
      </c>
      <c r="P192" s="48">
        <f>Tabela17468101214223032268161925273133362421012141618242628303840248101214162022262830323436242681012142461012242624426262826268102628623668101214161820222424262830323438404244464850[[#This Row],[Uso diário]]*5</f>
        <v>77</v>
      </c>
      <c r="Q19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400.40000000000003</v>
      </c>
      <c r="S19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2" s="25">
        <v>26</v>
      </c>
    </row>
    <row r="193" spans="1:20" s="26" customFormat="1" x14ac:dyDescent="0.25">
      <c r="A193" s="16">
        <v>229385</v>
      </c>
      <c r="B193" s="30" t="s">
        <v>128</v>
      </c>
      <c r="C193" s="20" t="s">
        <v>641</v>
      </c>
      <c r="D193" s="20" t="s">
        <v>704</v>
      </c>
      <c r="E193" s="20" t="s">
        <v>4126</v>
      </c>
      <c r="F193" s="20" t="s">
        <v>4127</v>
      </c>
      <c r="G193" s="21">
        <v>18.8</v>
      </c>
      <c r="H193" s="16">
        <v>26</v>
      </c>
      <c r="I193" s="16"/>
      <c r="J19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488.8</v>
      </c>
      <c r="K193" s="22"/>
      <c r="L193" s="23"/>
      <c r="M19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3" s="19">
        <f>Tabela17468101214223032268161925273133362421012141618242628303840248101214162022262830323436242681012142461012242624426262826268102628623668101214161820222424262830323438404244464850[[#This Row],[Uso diário]]*2</f>
        <v>37.6</v>
      </c>
      <c r="O193" s="19">
        <f>Tabela17468101214223032268161925273133362421012141618242628303840248101214162022262830323436242681012142461012242624426262826268102628623668101214161820222424262830323438404244464850[[#This Row],[Total Acumulado]]-P193</f>
        <v>-94</v>
      </c>
      <c r="P193" s="48">
        <f>Tabela17468101214223032268161925273133362421012141618242628303840248101214162022262830323436242681012142461012242624426262826268102628623668101214161820222424262830323438404244464850[[#This Row],[Uso diário]]*5</f>
        <v>94</v>
      </c>
      <c r="Q19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488.8</v>
      </c>
      <c r="S19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3" s="25">
        <v>26</v>
      </c>
    </row>
    <row r="194" spans="1:20" s="26" customFormat="1" x14ac:dyDescent="0.25">
      <c r="A194" s="16">
        <v>229581</v>
      </c>
      <c r="B194" s="30" t="s">
        <v>455</v>
      </c>
      <c r="C194" s="20" t="s">
        <v>641</v>
      </c>
      <c r="D194" s="20" t="s">
        <v>704</v>
      </c>
      <c r="E194" s="20" t="s">
        <v>4128</v>
      </c>
      <c r="F194" s="20" t="s">
        <v>4129</v>
      </c>
      <c r="G194" s="21">
        <v>15.4</v>
      </c>
      <c r="H194" s="16">
        <v>26</v>
      </c>
      <c r="I194" s="16"/>
      <c r="J19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400.40000000000003</v>
      </c>
      <c r="K194" s="22"/>
      <c r="L194" s="23"/>
      <c r="M19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4" s="19">
        <f>Tabela17468101214223032268161925273133362421012141618242628303840248101214162022262830323436242681012142461012242624426262826268102628623668101214161820222424262830323438404244464850[[#This Row],[Uso diário]]*2</f>
        <v>30.8</v>
      </c>
      <c r="O194" s="19">
        <f>Tabela17468101214223032268161925273133362421012141618242628303840248101214162022262830323436242681012142461012242624426262826268102628623668101214161820222424262830323438404244464850[[#This Row],[Total Acumulado]]-P194</f>
        <v>-77</v>
      </c>
      <c r="P194" s="48">
        <f>Tabela17468101214223032268161925273133362421012141618242628303840248101214162022262830323436242681012142461012242624426262826268102628623668101214161820222424262830323438404244464850[[#This Row],[Uso diário]]*5</f>
        <v>77</v>
      </c>
      <c r="Q19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400.40000000000003</v>
      </c>
      <c r="S19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4" s="25">
        <v>26</v>
      </c>
    </row>
    <row r="195" spans="1:20" s="26" customFormat="1" x14ac:dyDescent="0.25">
      <c r="A195" s="16">
        <v>229692</v>
      </c>
      <c r="B195" s="30" t="s">
        <v>1540</v>
      </c>
      <c r="C195" s="20" t="s">
        <v>641</v>
      </c>
      <c r="D195" s="20" t="s">
        <v>704</v>
      </c>
      <c r="E195" s="20" t="s">
        <v>4130</v>
      </c>
      <c r="F195" s="20" t="s">
        <v>4131</v>
      </c>
      <c r="G195" s="21">
        <v>13.4</v>
      </c>
      <c r="H195" s="16">
        <v>26</v>
      </c>
      <c r="I195" s="16">
        <v>5</v>
      </c>
      <c r="J19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281.40000000000003</v>
      </c>
      <c r="K195" s="22"/>
      <c r="L195" s="23"/>
      <c r="M19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5" s="19">
        <f>Tabela17468101214223032268161925273133362421012141618242628303840248101214162022262830323436242681012142461012242624426262826268102628623668101214161820222424262830323438404244464850[[#This Row],[Total Acumulado]]-P195</f>
        <v>-67</v>
      </c>
      <c r="P19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281.40000000000003</v>
      </c>
      <c r="S19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5" s="25">
        <v>26</v>
      </c>
    </row>
    <row r="196" spans="1:20" s="26" customFormat="1" x14ac:dyDescent="0.25">
      <c r="A196" s="16">
        <v>230852</v>
      </c>
      <c r="B196" s="30" t="s">
        <v>1541</v>
      </c>
      <c r="C196" s="20" t="s">
        <v>641</v>
      </c>
      <c r="D196" s="20" t="s">
        <v>704</v>
      </c>
      <c r="E196" s="20" t="s">
        <v>4132</v>
      </c>
      <c r="F196" s="20" t="s">
        <v>4133</v>
      </c>
      <c r="G196" s="21">
        <v>13.4</v>
      </c>
      <c r="H196" s="16">
        <v>26</v>
      </c>
      <c r="I196" s="16"/>
      <c r="J19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96" s="22"/>
      <c r="L196" s="23"/>
      <c r="M19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6" s="19">
        <f>Tabela17468101214223032268161925273133362421012141618242628303840248101214162022262830323436242681012142461012242624426262826268102628623668101214161820222424262830323438404244464850[[#This Row],[Total Acumulado]]-P196</f>
        <v>-67</v>
      </c>
      <c r="P19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9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6" s="25">
        <v>26</v>
      </c>
    </row>
    <row r="197" spans="1:20" s="26" customFormat="1" x14ac:dyDescent="0.25">
      <c r="A197" s="16">
        <v>230853</v>
      </c>
      <c r="B197" s="30" t="s">
        <v>1542</v>
      </c>
      <c r="C197" s="20" t="s">
        <v>641</v>
      </c>
      <c r="D197" s="20" t="s">
        <v>704</v>
      </c>
      <c r="E197" s="20" t="s">
        <v>4134</v>
      </c>
      <c r="F197" s="20" t="s">
        <v>4135</v>
      </c>
      <c r="G197" s="21">
        <v>13.4</v>
      </c>
      <c r="H197" s="16">
        <v>26</v>
      </c>
      <c r="I197" s="16"/>
      <c r="J19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97" s="22"/>
      <c r="L197" s="23"/>
      <c r="M19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7" s="19">
        <f>Tabela17468101214223032268161925273133362421012141618242628303840248101214162022262830323436242681012142461012242624426262826268102628623668101214161820222424262830323438404244464850[[#This Row],[Total Acumulado]]-P197</f>
        <v>-67</v>
      </c>
      <c r="P19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9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7" s="25">
        <v>26</v>
      </c>
    </row>
    <row r="198" spans="1:20" s="26" customFormat="1" x14ac:dyDescent="0.25">
      <c r="A198" s="16" t="s">
        <v>4191</v>
      </c>
      <c r="B198" s="30" t="s">
        <v>610</v>
      </c>
      <c r="C198" s="20" t="s">
        <v>641</v>
      </c>
      <c r="D198" s="20" t="s">
        <v>704</v>
      </c>
      <c r="E198" s="20" t="s">
        <v>4189</v>
      </c>
      <c r="F198" s="20" t="s">
        <v>4190</v>
      </c>
      <c r="G198" s="21">
        <v>13.4</v>
      </c>
      <c r="H198" s="16">
        <v>26</v>
      </c>
      <c r="I198" s="16">
        <v>4</v>
      </c>
      <c r="J19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294.8</v>
      </c>
      <c r="K198" s="22"/>
      <c r="L198" s="23"/>
      <c r="M19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8" s="19">
        <f>Tabela17468101214223032268161925273133362421012141618242628303840248101214162022262830323436242681012142461012242624426262826268102628623668101214161820222424262830323438404244464850[[#This Row],[Total Acumulado]]-P198</f>
        <v>-67</v>
      </c>
      <c r="P19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294.8</v>
      </c>
      <c r="S19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8" s="25">
        <v>26</v>
      </c>
    </row>
    <row r="199" spans="1:20" s="26" customFormat="1" x14ac:dyDescent="0.25">
      <c r="A199" s="16">
        <v>230871</v>
      </c>
      <c r="B199" s="30" t="s">
        <v>612</v>
      </c>
      <c r="C199" s="20" t="s">
        <v>641</v>
      </c>
      <c r="D199" s="20" t="s">
        <v>743</v>
      </c>
      <c r="E199" s="20" t="s">
        <v>4136</v>
      </c>
      <c r="F199" s="20" t="s">
        <v>4137</v>
      </c>
      <c r="G199" s="21">
        <v>13.4</v>
      </c>
      <c r="H199" s="16">
        <v>26</v>
      </c>
      <c r="I199" s="16"/>
      <c r="J19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199" s="22"/>
      <c r="L199" s="23"/>
      <c r="M19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19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199" s="19">
        <f>Tabela17468101214223032268161925273133362421012141618242628303840248101214162022262830323436242681012142461012242624426262826268102628623668101214161820222424262830323438404244464850[[#This Row],[Total Acumulado]]-P199</f>
        <v>-67</v>
      </c>
      <c r="P19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19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19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19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199" s="25">
        <v>26</v>
      </c>
    </row>
    <row r="200" spans="1:20" s="26" customFormat="1" x14ac:dyDescent="0.25">
      <c r="A200" s="16">
        <v>230996</v>
      </c>
      <c r="B200" s="30" t="s">
        <v>613</v>
      </c>
      <c r="C200" s="20" t="s">
        <v>641</v>
      </c>
      <c r="D200" s="20" t="s">
        <v>704</v>
      </c>
      <c r="E200" s="20" t="s">
        <v>4138</v>
      </c>
      <c r="F200" s="20" t="s">
        <v>4139</v>
      </c>
      <c r="G200" s="21">
        <v>13.4</v>
      </c>
      <c r="H200" s="16">
        <v>26</v>
      </c>
      <c r="I200" s="16"/>
      <c r="J20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00" s="22"/>
      <c r="L200" s="23"/>
      <c r="M20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0" s="19">
        <f>Tabela17468101214223032268161925273133362421012141618242628303840248101214162022262830323436242681012142461012242624426262826268102628623668101214161820222424262830323438404244464850[[#This Row],[Total Acumulado]]-P200</f>
        <v>-67</v>
      </c>
      <c r="P20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0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0" s="25">
        <v>26</v>
      </c>
    </row>
    <row r="201" spans="1:20" s="26" customFormat="1" x14ac:dyDescent="0.25">
      <c r="A201" s="16">
        <v>231055</v>
      </c>
      <c r="B201" s="30" t="s">
        <v>614</v>
      </c>
      <c r="C201" s="20" t="s">
        <v>641</v>
      </c>
      <c r="D201" s="20" t="s">
        <v>744</v>
      </c>
      <c r="E201" s="20" t="s">
        <v>4140</v>
      </c>
      <c r="F201" s="20" t="s">
        <v>4141</v>
      </c>
      <c r="G201" s="21">
        <v>13.4</v>
      </c>
      <c r="H201" s="16">
        <v>26</v>
      </c>
      <c r="I201" s="16">
        <v>8</v>
      </c>
      <c r="J20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241.20000000000002</v>
      </c>
      <c r="K201" s="22"/>
      <c r="L201" s="23"/>
      <c r="M20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1" s="19">
        <f>Tabela17468101214223032268161925273133362421012141618242628303840248101214162022262830323436242681012142461012242624426262826268102628623668101214161820222424262830323438404244464850[[#This Row],[Total Acumulado]]-P201</f>
        <v>-67</v>
      </c>
      <c r="P20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241.20000000000002</v>
      </c>
      <c r="S20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1" s="25">
        <v>26</v>
      </c>
    </row>
    <row r="202" spans="1:20" s="26" customFormat="1" x14ac:dyDescent="0.25">
      <c r="A202" s="16">
        <v>231064</v>
      </c>
      <c r="B202" s="30" t="s">
        <v>778</v>
      </c>
      <c r="C202" s="20" t="s">
        <v>641</v>
      </c>
      <c r="D202" s="20" t="s">
        <v>705</v>
      </c>
      <c r="E202" s="20" t="s">
        <v>4142</v>
      </c>
      <c r="F202" s="20" t="s">
        <v>4143</v>
      </c>
      <c r="G202" s="21">
        <v>13.4</v>
      </c>
      <c r="H202" s="16">
        <v>26</v>
      </c>
      <c r="I202" s="16"/>
      <c r="J20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02" s="22"/>
      <c r="L202" s="23"/>
      <c r="M20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2" s="19">
        <f>Tabela17468101214223032268161925273133362421012141618242628303840248101214162022262830323436242681012142461012242624426262826268102628623668101214161820222424262830323438404244464850[[#This Row],[Total Acumulado]]-P202</f>
        <v>-67</v>
      </c>
      <c r="P20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0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2" s="25">
        <v>26</v>
      </c>
    </row>
    <row r="203" spans="1:20" s="26" customFormat="1" x14ac:dyDescent="0.25">
      <c r="A203" s="16">
        <v>231740</v>
      </c>
      <c r="B203" s="30" t="s">
        <v>879</v>
      </c>
      <c r="C203" s="20" t="s">
        <v>641</v>
      </c>
      <c r="D203" s="20" t="s">
        <v>704</v>
      </c>
      <c r="E203" s="20" t="s">
        <v>4144</v>
      </c>
      <c r="F203" s="20" t="s">
        <v>4145</v>
      </c>
      <c r="G203" s="21">
        <v>13.4</v>
      </c>
      <c r="H203" s="16">
        <v>26</v>
      </c>
      <c r="I203" s="16"/>
      <c r="J20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03" s="22"/>
      <c r="L203" s="23"/>
      <c r="M20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3" s="19">
        <f>Tabela17468101214223032268161925273133362421012141618242628303840248101214162022262830323436242681012142461012242624426262826268102628623668101214161820222424262830323438404244464850[[#This Row],[Total Acumulado]]-P203</f>
        <v>-67</v>
      </c>
      <c r="P20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0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3" s="25">
        <v>26</v>
      </c>
    </row>
    <row r="204" spans="1:20" s="26" customFormat="1" x14ac:dyDescent="0.25">
      <c r="A204" s="16">
        <v>232584</v>
      </c>
      <c r="B204" s="30" t="s">
        <v>924</v>
      </c>
      <c r="C204" s="20" t="s">
        <v>641</v>
      </c>
      <c r="D204" s="20" t="s">
        <v>704</v>
      </c>
      <c r="E204" s="20" t="s">
        <v>4146</v>
      </c>
      <c r="F204" s="20" t="s">
        <v>4147</v>
      </c>
      <c r="G204" s="21">
        <v>13.4</v>
      </c>
      <c r="H204" s="16">
        <v>26</v>
      </c>
      <c r="I204" s="16">
        <v>1</v>
      </c>
      <c r="J20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204" s="22"/>
      <c r="L204" s="23"/>
      <c r="M20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4" s="19">
        <f>Tabela17468101214223032268161925273133362421012141618242628303840248101214162022262830323436242681012142461012242624426262826268102628623668101214161820222424262830323438404244464850[[#This Row],[Total Acumulado]]-P204</f>
        <v>-67</v>
      </c>
      <c r="P20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20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4" s="25">
        <v>26</v>
      </c>
    </row>
    <row r="205" spans="1:20" s="26" customFormat="1" x14ac:dyDescent="0.25">
      <c r="A205" s="16">
        <v>233307</v>
      </c>
      <c r="B205" s="30" t="s">
        <v>1121</v>
      </c>
      <c r="C205" s="20" t="s">
        <v>641</v>
      </c>
      <c r="D205" s="20" t="s">
        <v>743</v>
      </c>
      <c r="E205" s="20" t="s">
        <v>4148</v>
      </c>
      <c r="F205" s="20" t="s">
        <v>4149</v>
      </c>
      <c r="G205" s="21">
        <v>13.4</v>
      </c>
      <c r="H205" s="16">
        <v>26</v>
      </c>
      <c r="I205" s="16"/>
      <c r="J20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05" s="22"/>
      <c r="L205" s="23"/>
      <c r="M20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5" s="19">
        <f>Tabela17468101214223032268161925273133362421012141618242628303840248101214162022262830323436242681012142461012242624426262826268102628623668101214161820222424262830323438404244464850[[#This Row],[Total Acumulado]]-P205</f>
        <v>-67</v>
      </c>
      <c r="P20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0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5" s="25">
        <v>26</v>
      </c>
    </row>
    <row r="206" spans="1:20" s="26" customFormat="1" x14ac:dyDescent="0.25">
      <c r="A206" s="16">
        <v>233520</v>
      </c>
      <c r="B206" s="30" t="s">
        <v>1122</v>
      </c>
      <c r="C206" s="20" t="s">
        <v>641</v>
      </c>
      <c r="D206" s="20" t="s">
        <v>704</v>
      </c>
      <c r="E206" s="20" t="s">
        <v>4150</v>
      </c>
      <c r="F206" s="20" t="s">
        <v>4151</v>
      </c>
      <c r="G206" s="21">
        <v>13.4</v>
      </c>
      <c r="H206" s="16">
        <v>26</v>
      </c>
      <c r="I206" s="16">
        <v>2</v>
      </c>
      <c r="J20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321.60000000000002</v>
      </c>
      <c r="K206" s="22"/>
      <c r="L206" s="23"/>
      <c r="M20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6" s="19">
        <f>Tabela17468101214223032268161925273133362421012141618242628303840248101214162022262830323436242681012142461012242624426262826268102628623668101214161820222424262830323438404244464850[[#This Row],[Total Acumulado]]-P206</f>
        <v>-67</v>
      </c>
      <c r="P20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321.60000000000002</v>
      </c>
      <c r="S20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6" s="25">
        <v>26</v>
      </c>
    </row>
    <row r="207" spans="1:20" s="26" customFormat="1" x14ac:dyDescent="0.25">
      <c r="A207" s="16">
        <v>234075</v>
      </c>
      <c r="B207" s="30" t="s">
        <v>1253</v>
      </c>
      <c r="C207" s="20" t="s">
        <v>641</v>
      </c>
      <c r="D207" s="20" t="s">
        <v>704</v>
      </c>
      <c r="E207" s="20" t="s">
        <v>4152</v>
      </c>
      <c r="F207" s="20" t="s">
        <v>4153</v>
      </c>
      <c r="G207" s="21">
        <v>13.4</v>
      </c>
      <c r="H207" s="16">
        <v>26</v>
      </c>
      <c r="I207" s="16">
        <v>1</v>
      </c>
      <c r="J20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207" s="22"/>
      <c r="L207" s="23"/>
      <c r="M20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7" s="19">
        <f>Tabela17468101214223032268161925273133362421012141618242628303840248101214162022262830323436242681012142461012242624426262826268102628623668101214161820222424262830323438404244464850[[#This Row],[Total Acumulado]]-P207</f>
        <v>-67</v>
      </c>
      <c r="P20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20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7" s="25">
        <v>26</v>
      </c>
    </row>
    <row r="208" spans="1:20" s="26" customFormat="1" x14ac:dyDescent="0.25">
      <c r="A208" s="16">
        <v>234077</v>
      </c>
      <c r="B208" s="30" t="s">
        <v>1254</v>
      </c>
      <c r="C208" s="20" t="s">
        <v>641</v>
      </c>
      <c r="D208" s="20" t="s">
        <v>704</v>
      </c>
      <c r="E208" s="20" t="s">
        <v>4154</v>
      </c>
      <c r="F208" s="20" t="s">
        <v>4155</v>
      </c>
      <c r="G208" s="21">
        <v>13.4</v>
      </c>
      <c r="H208" s="16">
        <v>26</v>
      </c>
      <c r="I208" s="16"/>
      <c r="J20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08" s="22"/>
      <c r="L208" s="23">
        <v>47.6</v>
      </c>
      <c r="M208" s="23">
        <f>SUM(Tabela17468101214223032268161925273133362421012141618242628303840248101214162022262830323436242681012142461012242624426262826268102628623668101214161820222424262830323438404244464850[[#This Row],[Saldo no cartão]:[Recarga Pendente]])</f>
        <v>47.6</v>
      </c>
      <c r="N20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8" s="19">
        <f>Tabela17468101214223032268161925273133362421012141618242628303840248101214162022262830323436242681012142461012242624426262826268102628623668101214161820222424262830323438404244464850[[#This Row],[Total Acumulado]]-P208</f>
        <v>-19.399999999999999</v>
      </c>
      <c r="P20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0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8" s="25">
        <v>26</v>
      </c>
    </row>
    <row r="209" spans="1:20" s="26" customFormat="1" x14ac:dyDescent="0.25">
      <c r="A209" s="16">
        <v>234155</v>
      </c>
      <c r="B209" s="30" t="s">
        <v>1255</v>
      </c>
      <c r="C209" s="20" t="s">
        <v>641</v>
      </c>
      <c r="D209" s="20" t="s">
        <v>704</v>
      </c>
      <c r="E209" s="20" t="s">
        <v>4156</v>
      </c>
      <c r="F209" s="20" t="s">
        <v>4157</v>
      </c>
      <c r="G209" s="21">
        <v>13.4</v>
      </c>
      <c r="H209" s="16">
        <v>26</v>
      </c>
      <c r="I209" s="16">
        <v>1</v>
      </c>
      <c r="J20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335</v>
      </c>
      <c r="K209" s="22"/>
      <c r="L209" s="23"/>
      <c r="M20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0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09" s="19">
        <f>Tabela17468101214223032268161925273133362421012141618242628303840248101214162022262830323436242681012142461012242624426262826268102628623668101214161820222424262830323438404244464850[[#This Row],[Total Acumulado]]-P209</f>
        <v>-67</v>
      </c>
      <c r="P20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0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0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335</v>
      </c>
      <c r="S20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09" s="25">
        <v>26</v>
      </c>
    </row>
    <row r="210" spans="1:20" s="26" customFormat="1" x14ac:dyDescent="0.25">
      <c r="A210" s="16">
        <v>234881</v>
      </c>
      <c r="B210" s="30" t="s">
        <v>1543</v>
      </c>
      <c r="C210" s="20" t="s">
        <v>641</v>
      </c>
      <c r="D210" s="20" t="s">
        <v>743</v>
      </c>
      <c r="E210" s="20" t="s">
        <v>4158</v>
      </c>
      <c r="F210" s="20" t="s">
        <v>4159</v>
      </c>
      <c r="G210" s="21">
        <v>13.4</v>
      </c>
      <c r="H210" s="16">
        <v>26</v>
      </c>
      <c r="I210" s="16"/>
      <c r="J21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0" s="22"/>
      <c r="L210" s="23">
        <v>59.5</v>
      </c>
      <c r="M210" s="23">
        <f>SUM(Tabela17468101214223032268161925273133362421012141618242628303840248101214162022262830323436242681012142461012242624426262826268102628623668101214161820222424262830323438404244464850[[#This Row],[Saldo no cartão]:[Recarga Pendente]])</f>
        <v>59.5</v>
      </c>
      <c r="N21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0" s="19">
        <f>Tabela17468101214223032268161925273133362421012141618242628303840248101214162022262830323436242681012142461012242624426262826268102628623668101214161820222424262830323438404244464850[[#This Row],[Total Acumulado]]-P210</f>
        <v>-7.5</v>
      </c>
      <c r="P21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0" s="25">
        <v>26</v>
      </c>
    </row>
    <row r="211" spans="1:20" s="26" customFormat="1" x14ac:dyDescent="0.25">
      <c r="A211" s="16">
        <v>230708</v>
      </c>
      <c r="B211" s="30" t="s">
        <v>1544</v>
      </c>
      <c r="C211" s="20" t="s">
        <v>645</v>
      </c>
      <c r="D211" s="20" t="s">
        <v>711</v>
      </c>
      <c r="E211" s="20" t="s">
        <v>4160</v>
      </c>
      <c r="F211" s="20" t="s">
        <v>4161</v>
      </c>
      <c r="G211" s="21">
        <v>13.4</v>
      </c>
      <c r="H211" s="16">
        <v>26</v>
      </c>
      <c r="I211" s="16"/>
      <c r="J211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1" s="22"/>
      <c r="L211" s="23"/>
      <c r="M211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1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1" s="19">
        <f>Tabela17468101214223032268161925273133362421012141618242628303840248101214162022262830323436242681012142461012242624426262826268102628623668101214161820222424262830323438404244464850[[#This Row],[Total Acumulado]]-P211</f>
        <v>-67</v>
      </c>
      <c r="P211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1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1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1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1" s="25">
        <v>26</v>
      </c>
    </row>
    <row r="212" spans="1:20" s="26" customFormat="1" x14ac:dyDescent="0.25">
      <c r="A212" s="16">
        <v>230776</v>
      </c>
      <c r="B212" s="30" t="s">
        <v>615</v>
      </c>
      <c r="C212" s="20" t="s">
        <v>645</v>
      </c>
      <c r="D212" s="20" t="s">
        <v>711</v>
      </c>
      <c r="E212" s="20" t="s">
        <v>4162</v>
      </c>
      <c r="F212" s="20" t="s">
        <v>4163</v>
      </c>
      <c r="G212" s="21">
        <v>13.4</v>
      </c>
      <c r="H212" s="16">
        <v>26</v>
      </c>
      <c r="I212" s="16"/>
      <c r="J212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2" s="22"/>
      <c r="L212" s="23"/>
      <c r="M212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2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2" s="19">
        <f>Tabela17468101214223032268161925273133362421012141618242628303840248101214162022262830323436242681012142461012242624426262826268102628623668101214161820222424262830323438404244464850[[#This Row],[Total Acumulado]]-P212</f>
        <v>-67</v>
      </c>
      <c r="P212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2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2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2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2" s="25">
        <v>26</v>
      </c>
    </row>
    <row r="213" spans="1:20" s="26" customFormat="1" x14ac:dyDescent="0.25">
      <c r="A213" s="16">
        <v>230829</v>
      </c>
      <c r="B213" s="30" t="s">
        <v>616</v>
      </c>
      <c r="C213" s="20" t="s">
        <v>645</v>
      </c>
      <c r="D213" s="20" t="s">
        <v>711</v>
      </c>
      <c r="E213" s="20" t="s">
        <v>4164</v>
      </c>
      <c r="F213" s="20" t="s">
        <v>4165</v>
      </c>
      <c r="G213" s="21">
        <v>13.4</v>
      </c>
      <c r="H213" s="16">
        <v>26</v>
      </c>
      <c r="I213" s="16"/>
      <c r="J213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3" s="22"/>
      <c r="L213" s="23"/>
      <c r="M213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3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3" s="19">
        <f>Tabela17468101214223032268161925273133362421012141618242628303840248101214162022262830323436242681012142461012242624426262826268102628623668101214161820222424262830323438404244464850[[#This Row],[Total Acumulado]]-P213</f>
        <v>-67</v>
      </c>
      <c r="P213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3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3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3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3" s="25">
        <v>26</v>
      </c>
    </row>
    <row r="214" spans="1:20" s="26" customFormat="1" x14ac:dyDescent="0.25">
      <c r="A214" s="16">
        <v>231057</v>
      </c>
      <c r="B214" s="30" t="s">
        <v>617</v>
      </c>
      <c r="C214" s="20" t="s">
        <v>645</v>
      </c>
      <c r="D214" s="20" t="s">
        <v>711</v>
      </c>
      <c r="E214" s="20" t="s">
        <v>4166</v>
      </c>
      <c r="F214" s="20" t="s">
        <v>4167</v>
      </c>
      <c r="G214" s="21">
        <v>13.4</v>
      </c>
      <c r="H214" s="16">
        <v>26</v>
      </c>
      <c r="I214" s="16"/>
      <c r="J214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4" s="22"/>
      <c r="L214" s="23"/>
      <c r="M214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4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4" s="19">
        <f>Tabela17468101214223032268161925273133362421012141618242628303840248101214162022262830323436242681012142461012242624426262826268102628623668101214161820222424262830323438404244464850[[#This Row],[Total Acumulado]]-P214</f>
        <v>-67</v>
      </c>
      <c r="P214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4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4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4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4" s="25">
        <v>26</v>
      </c>
    </row>
    <row r="215" spans="1:20" s="26" customFormat="1" x14ac:dyDescent="0.25">
      <c r="A215" s="16">
        <v>231695</v>
      </c>
      <c r="B215" s="30" t="s">
        <v>881</v>
      </c>
      <c r="C215" s="20" t="s">
        <v>645</v>
      </c>
      <c r="D215" s="20" t="s">
        <v>711</v>
      </c>
      <c r="E215" s="20" t="s">
        <v>4168</v>
      </c>
      <c r="F215" s="20" t="s">
        <v>4169</v>
      </c>
      <c r="G215" s="21">
        <v>13.4</v>
      </c>
      <c r="H215" s="16">
        <v>26</v>
      </c>
      <c r="I215" s="16"/>
      <c r="J215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5" s="22"/>
      <c r="L215" s="23"/>
      <c r="M215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5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5" s="19">
        <f>Tabela17468101214223032268161925273133362421012141618242628303840248101214162022262830323436242681012142461012242624426262826268102628623668101214161820222424262830323438404244464850[[#This Row],[Total Acumulado]]-P215</f>
        <v>-67</v>
      </c>
      <c r="P215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5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5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5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5" s="25">
        <v>26</v>
      </c>
    </row>
    <row r="216" spans="1:20" s="26" customFormat="1" x14ac:dyDescent="0.25">
      <c r="A216" s="16">
        <v>232753</v>
      </c>
      <c r="B216" s="30" t="s">
        <v>955</v>
      </c>
      <c r="C216" s="20" t="s">
        <v>645</v>
      </c>
      <c r="D216" s="20" t="s">
        <v>711</v>
      </c>
      <c r="E216" s="20" t="s">
        <v>4170</v>
      </c>
      <c r="F216" s="20" t="s">
        <v>4171</v>
      </c>
      <c r="G216" s="21">
        <v>13.4</v>
      </c>
      <c r="H216" s="16">
        <v>26</v>
      </c>
      <c r="I216" s="16"/>
      <c r="J216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6" s="22"/>
      <c r="L216" s="23"/>
      <c r="M216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6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6" s="19">
        <f>Tabela17468101214223032268161925273133362421012141618242628303840248101214162022262830323436242681012142461012242624426262826268102628623668101214161820222424262830323438404244464850[[#This Row],[Total Acumulado]]-P216</f>
        <v>-67</v>
      </c>
      <c r="P216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6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6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6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6" s="25">
        <v>26</v>
      </c>
    </row>
    <row r="217" spans="1:20" s="26" customFormat="1" x14ac:dyDescent="0.25">
      <c r="A217" s="16">
        <v>232822</v>
      </c>
      <c r="B217" s="30" t="s">
        <v>956</v>
      </c>
      <c r="C217" s="20" t="s">
        <v>645</v>
      </c>
      <c r="D217" s="20" t="s">
        <v>711</v>
      </c>
      <c r="E217" s="20" t="s">
        <v>4172</v>
      </c>
      <c r="F217" s="20" t="s">
        <v>4173</v>
      </c>
      <c r="G217" s="21">
        <v>13.4</v>
      </c>
      <c r="H217" s="16">
        <v>26</v>
      </c>
      <c r="I217" s="16"/>
      <c r="J217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7" s="22"/>
      <c r="L217" s="23"/>
      <c r="M217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7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7" s="19">
        <f>Tabela17468101214223032268161925273133362421012141618242628303840248101214162022262830323436242681012142461012242624426262826268102628623668101214161820222424262830323438404244464850[[#This Row],[Total Acumulado]]-P217</f>
        <v>-67</v>
      </c>
      <c r="P217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7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7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7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7" s="25">
        <v>26</v>
      </c>
    </row>
    <row r="218" spans="1:20" s="26" customFormat="1" x14ac:dyDescent="0.25">
      <c r="A218" s="16">
        <v>234045</v>
      </c>
      <c r="B218" s="30" t="s">
        <v>1256</v>
      </c>
      <c r="C218" s="20" t="s">
        <v>645</v>
      </c>
      <c r="D218" s="20" t="s">
        <v>711</v>
      </c>
      <c r="E218" s="20" t="s">
        <v>4174</v>
      </c>
      <c r="F218" s="20" t="s">
        <v>4175</v>
      </c>
      <c r="G218" s="21">
        <v>13.4</v>
      </c>
      <c r="H218" s="16">
        <v>26</v>
      </c>
      <c r="I218" s="16"/>
      <c r="J218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8" s="22"/>
      <c r="L218" s="23"/>
      <c r="M218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8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8" s="19">
        <f>Tabela17468101214223032268161925273133362421012141618242628303840248101214162022262830323436242681012142461012242624426262826268102628623668101214161820222424262830323438404244464850[[#This Row],[Total Acumulado]]-P218</f>
        <v>-67</v>
      </c>
      <c r="P218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8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8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8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8" s="25">
        <v>26</v>
      </c>
    </row>
    <row r="219" spans="1:20" s="26" customFormat="1" x14ac:dyDescent="0.25">
      <c r="A219" s="16">
        <v>234560</v>
      </c>
      <c r="B219" s="30" t="s">
        <v>1337</v>
      </c>
      <c r="C219" s="20" t="s">
        <v>645</v>
      </c>
      <c r="D219" s="20" t="s">
        <v>711</v>
      </c>
      <c r="E219" s="20" t="s">
        <v>4176</v>
      </c>
      <c r="F219" s="20" t="s">
        <v>4177</v>
      </c>
      <c r="G219" s="21">
        <v>13.4</v>
      </c>
      <c r="H219" s="16">
        <v>26</v>
      </c>
      <c r="I219" s="16"/>
      <c r="J219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19" s="22"/>
      <c r="L219" s="23"/>
      <c r="M219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19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19" s="19">
        <f>Tabela17468101214223032268161925273133362421012141618242628303840248101214162022262830323436242681012142461012242624426262826268102628623668101214161820222424262830323438404244464850[[#This Row],[Total Acumulado]]-P219</f>
        <v>-67</v>
      </c>
      <c r="P219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19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19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19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19" s="25">
        <v>26</v>
      </c>
    </row>
    <row r="220" spans="1:20" s="26" customFormat="1" x14ac:dyDescent="0.25">
      <c r="A220" s="16">
        <v>234688</v>
      </c>
      <c r="B220" s="30" t="s">
        <v>1387</v>
      </c>
      <c r="C220" s="20" t="s">
        <v>645</v>
      </c>
      <c r="D220" s="20" t="s">
        <v>711</v>
      </c>
      <c r="E220" s="20" t="s">
        <v>4178</v>
      </c>
      <c r="F220" s="20" t="s">
        <v>4179</v>
      </c>
      <c r="G220" s="21">
        <v>13.4</v>
      </c>
      <c r="H220" s="16">
        <v>26</v>
      </c>
      <c r="I220" s="16"/>
      <c r="J220" s="17">
        <f>(Tabela17468101214223032268161925273133362421012141618242628303840248101214162022262830323436242681012142461012242624426262826268102628623668101214161820222424262830323438404244464850[[#This Row],[D]]-Tabela17468101214223032268161925273133362421012141618242628303840248101214162022262830323436242681012142461012242624426262826268102628623668101214161820222424262830323438404244464850[[#This Row],[F]])*Tabela17468101214223032268161925273133362421012141618242628303840248101214162022262830323436242681012142461012242624426262826268102628623668101214161820222424262830323438404244464850[[#This Row],[Uso diário]]</f>
        <v>348.40000000000003</v>
      </c>
      <c r="K220" s="22"/>
      <c r="L220" s="23"/>
      <c r="M220" s="23">
        <f>SUM(Tabela17468101214223032268161925273133362421012141618242628303840248101214162022262830323436242681012142461012242624426262826268102628623668101214161820222424262830323438404244464850[[#This Row],[Saldo no cartão]:[Recarga Pendente]])</f>
        <v>0</v>
      </c>
      <c r="N220" s="19">
        <f>Tabela17468101214223032268161925273133362421012141618242628303840248101214162022262830323436242681012142461012242624426262826268102628623668101214161820222424262830323438404244464850[[#This Row],[Uso diário]]*2</f>
        <v>26.8</v>
      </c>
      <c r="O220" s="19">
        <f>Tabela17468101214223032268161925273133362421012141618242628303840248101214162022262830323436242681012142461012242624426262826268102628623668101214161820222424262830323438404244464850[[#This Row],[Total Acumulado]]-P220</f>
        <v>-67</v>
      </c>
      <c r="P220" s="48">
        <f>Tabela17468101214223032268161925273133362421012141618242628303840248101214162022262830323436242681012142461012242624426262826268102628623668101214161820222424262830323438404244464850[[#This Row],[Uso diário]]*5</f>
        <v>67</v>
      </c>
      <c r="Q220" s="17">
        <f>IF(Tabela17468101214223032268161925273133362421012141618242628303840248101214162022262830323436242681012142461012242624426262826268102628623668101214161820222424262830323438404244464850[[#This Row],[acumulo]]&lt;Tabela17468101214223032268161925273133362421012141618242628303840248101214162022262830323436242681012142461012242624426262826268102628623668101214161820222424262830323438404244464850[[#This Row],[acumulo minimo]],0,Tabela17468101214223032268161925273133362421012141618242628303840248101214162022262830323436242681012142461012242624426262826268102628623668101214161820222424262830323438404244464850[[#This Row],[acumulo]])</f>
        <v>0</v>
      </c>
      <c r="R220" s="24">
        <f>IF(Tabela17468101214223032268161925273133362421012141618242628303840248101214162022262830323436242681012142461012242624426262826268102628623668101214161820222424262830323438404244464850[[#This Row],[Valor economizado]]&gt;Tabela17468101214223032268161925273133362421012141618242628303840248101214162022262830323436242681012142461012242624426262826268102628623668101214161820222424262830323438404244464850[[#This Row],[Pedido Inicial]],0,Tabela17468101214223032268161925273133362421012141618242628303840248101214162022262830323436242681012142461012242624426262826268102628623668101214161820222424262830323438404244464850[[#This Row],[Pedido Inicial]]-Tabela17468101214223032268161925273133362421012141618242628303840248101214162022262830323436242681012142461012242624426262826268102628623668101214161820222424262830323438404244464850[[#This Row],[Valor economizado]])</f>
        <v>348.40000000000003</v>
      </c>
      <c r="S220" s="18" t="str">
        <f>IF(Tabela17468101214223032268161925273133362421012141618242628303840248101214162022262830323436242681012142461012242624426262826268102628623668101214161820222424262830323438404244464850[[#This Row],[Pedido Final]]=0,"NÃO EFETUAR RECARGA","RECARGA NORMAL")</f>
        <v>RECARGA NORMAL</v>
      </c>
      <c r="T220" s="25">
        <v>26</v>
      </c>
    </row>
    <row r="221" spans="1:20" s="8" customFormat="1" x14ac:dyDescent="0.25">
      <c r="A221" s="13" t="s">
        <v>13</v>
      </c>
      <c r="B221" s="13"/>
      <c r="C221" s="13"/>
      <c r="D221" s="13"/>
      <c r="E221" s="20"/>
      <c r="F221" s="20"/>
      <c r="G221" s="33"/>
      <c r="H221" s="13"/>
      <c r="I221" s="13"/>
      <c r="J221" s="14">
        <f>SUBTOTAL(109,Tabela17468101214223032268161925273133362421012141618242628303840248101214162022262830323436242681012142461012242624426262826268102628623668101214161820222424262830323438404244464850[Pedido Inicial])</f>
        <v>67541.800000000134</v>
      </c>
      <c r="K221" s="15"/>
      <c r="L221" s="15"/>
      <c r="M221" s="15"/>
      <c r="N221" s="15"/>
      <c r="O221" s="15"/>
      <c r="P221" s="15"/>
      <c r="Q221" s="15"/>
      <c r="R221" s="14">
        <f>SUBTOTAL(109,Tabela17468101214223032268161925273133362421012141618242628303840248101214162022262830323436242681012142461012242624426262826268102628623668101214161820222424262830323438404244464850[Pedido Final])</f>
        <v>67238.700000000143</v>
      </c>
      <c r="S221" s="31">
        <f>SUBTOTAL(103,Tabela17468101214223032268161925273133362421012141618242628303840248101214162022262830323436242681012142461012242624426262826268102628623668101214161820222424262830323438404244464850[Status])</f>
        <v>217</v>
      </c>
      <c r="T221" s="13"/>
    </row>
    <row r="222" spans="1:20" s="8" customFormat="1" x14ac:dyDescent="0.25">
      <c r="A222" s="13"/>
      <c r="B222" s="13"/>
      <c r="C222" s="13"/>
      <c r="D222" s="13"/>
      <c r="E222" s="20"/>
      <c r="F222" s="20"/>
      <c r="G222" s="33"/>
      <c r="H222" s="13"/>
      <c r="I222" s="13"/>
      <c r="J222" s="14"/>
      <c r="K222" s="15"/>
      <c r="L222" s="15"/>
      <c r="M222" s="15"/>
      <c r="N222" s="15"/>
      <c r="O222" s="15"/>
      <c r="P222" s="15"/>
      <c r="Q222" s="15"/>
      <c r="R222" s="14"/>
      <c r="S222" s="31"/>
      <c r="T222" s="13"/>
    </row>
    <row r="223" spans="1:20" s="8" customFormat="1" x14ac:dyDescent="0.25">
      <c r="A223" s="13"/>
      <c r="B223" s="13"/>
      <c r="C223" s="13"/>
      <c r="D223" s="13"/>
      <c r="E223" s="20"/>
      <c r="F223" s="20"/>
      <c r="G223" s="33"/>
      <c r="H223" s="13"/>
      <c r="I223" s="13"/>
      <c r="J223" s="14"/>
      <c r="K223" s="15"/>
      <c r="L223" s="15"/>
      <c r="M223" s="15"/>
      <c r="N223" s="15"/>
      <c r="O223" s="15"/>
      <c r="P223" s="15"/>
      <c r="Q223" s="15"/>
      <c r="R223" s="14"/>
      <c r="S223" s="31"/>
      <c r="T223" s="13"/>
    </row>
    <row r="224" spans="1:20" s="8" customFormat="1" x14ac:dyDescent="0.25">
      <c r="A224" s="1"/>
      <c r="B224" s="54" t="s">
        <v>14</v>
      </c>
      <c r="C224" s="55"/>
      <c r="D224" s="13"/>
      <c r="F224" s="37"/>
      <c r="G224" s="37"/>
      <c r="H224" s="37"/>
      <c r="I224" s="37"/>
      <c r="J224" s="28"/>
      <c r="K224" s="3"/>
      <c r="L224" s="1"/>
      <c r="M224" s="1"/>
      <c r="N224" s="1"/>
      <c r="O224" s="1"/>
      <c r="P224" s="1"/>
      <c r="Q224" s="1"/>
      <c r="R224" s="4" t="s">
        <v>26</v>
      </c>
      <c r="S224" s="39" t="s">
        <v>15</v>
      </c>
    </row>
    <row r="225" spans="1:20" s="8" customFormat="1" x14ac:dyDescent="0.25">
      <c r="A225" s="1"/>
      <c r="B225" s="50" t="s">
        <v>24</v>
      </c>
      <c r="C225" s="45">
        <f>Tabela17468101214223032268161925273133362421012141618242628303840248101214162022262830323436242681012142461012242624426262826268102628623668101214161820222424262830323438404244464850[[#Totals],[Pedido Inicial]]</f>
        <v>67541.800000000134</v>
      </c>
      <c r="D225" s="13"/>
      <c r="F225" s="41"/>
      <c r="G225" s="41"/>
      <c r="H225" s="34"/>
      <c r="I225" s="34"/>
      <c r="J225" s="34"/>
      <c r="K225" s="5"/>
      <c r="L225" s="1"/>
      <c r="M225" s="1"/>
      <c r="N225" s="1"/>
      <c r="O225" s="1"/>
      <c r="P225" s="1"/>
      <c r="Q225" s="1"/>
      <c r="R225" s="58" t="s">
        <v>28</v>
      </c>
      <c r="S225" s="59">
        <f>COUNTIF(Tabela17468101214223032268161925273133362421012141618242628303840248101214162022262830323436242681012142461012242624426262826268102628623668101214161820222424262830323438404244464850[Status],Tabela2579111315233133379172026283234373531113151719252729313941359111315172123272931333537353791113153571113353734537373937379113739733779111315171921232535272931333539414345474951[[#This Row],[STATUS]])</f>
        <v>214</v>
      </c>
    </row>
    <row r="226" spans="1:20" s="8" customFormat="1" x14ac:dyDescent="0.25">
      <c r="A226" s="1"/>
      <c r="B226" s="50" t="s">
        <v>25</v>
      </c>
      <c r="C226" s="45">
        <f>Tabela17468101214223032268161925273133362421012141618242628303840248101214162022262830323436242681012142461012242624426262826268102628623668101214161820222424262830323438404244464850[[#Totals],[Pedido Final]]</f>
        <v>67238.700000000143</v>
      </c>
      <c r="D226" s="13"/>
      <c r="F226" s="41"/>
      <c r="G226" s="41"/>
      <c r="H226" s="34"/>
      <c r="I226" s="34"/>
      <c r="J226" s="34"/>
      <c r="K226" s="5"/>
      <c r="L226" s="1"/>
      <c r="M226" s="1"/>
      <c r="N226" s="1"/>
      <c r="O226" s="1"/>
      <c r="P226" s="1"/>
      <c r="R226" s="58" t="s">
        <v>11</v>
      </c>
      <c r="S226" s="59">
        <f>COUNTIF(Tabela17468101214223032268161925273133362421012141618242628303840248101214162022262830323436242681012142461012242624426262826268102628623668101214161820222424262830323438404244464850[Status],Tabela2579111315233133379172026283234373531113151719252729313941359111315172123272931333537353791113153571113353734537373937379113739733779111315171921232535272931333539414345474951[[#This Row],[STATUS]])</f>
        <v>3</v>
      </c>
    </row>
    <row r="227" spans="1:20" s="8" customFormat="1" x14ac:dyDescent="0.25">
      <c r="A227" s="1"/>
      <c r="B227" s="51" t="str">
        <f>_xlfn.CONCAT("ECONOMIA"," ",ROUND(C227/C225,2)*100,"%")</f>
        <v>ECONOMIA 0%</v>
      </c>
      <c r="C227" s="46">
        <f>SUM(C225-C226)</f>
        <v>303.09999999999127</v>
      </c>
      <c r="D227" s="13"/>
      <c r="F227" s="41"/>
      <c r="G227" s="41"/>
      <c r="H227" s="36"/>
      <c r="I227" s="36"/>
      <c r="J227" s="38"/>
      <c r="K227" s="36"/>
      <c r="L227" s="1"/>
      <c r="M227" s="1"/>
      <c r="N227" s="1"/>
      <c r="O227" s="1"/>
      <c r="P227" s="1"/>
      <c r="Q227" s="35"/>
      <c r="R227" s="58" t="s">
        <v>12</v>
      </c>
      <c r="S227" s="59">
        <f>COUNTIF(Tabela17468101214223032268161925273133362421012141618242628303840248101214162022262830323436242681012142461012242624426262826268102628623668101214161820222424262830323438404244464850[Status],Tabela2579111315233133379172026283234373531113151719252729313941359111315172123272931333537353791113153571113353734537373937379113739733779111315171921232535272931333539414345474951[[#This Row],[STATUS]])</f>
        <v>0</v>
      </c>
    </row>
    <row r="228" spans="1:20" s="8" customFormat="1" x14ac:dyDescent="0.25">
      <c r="A228" s="1"/>
      <c r="B228" s="51" t="str">
        <f>_xlfn.CONCAT("HPOD"," ",ROUND(C228/C227,2)*100,"%")</f>
        <v>HPOD 12%</v>
      </c>
      <c r="C228" s="46">
        <f>C227*12%</f>
        <v>36.371999999998948</v>
      </c>
      <c r="D228" s="13"/>
      <c r="F228" s="41"/>
      <c r="G228" s="41"/>
      <c r="H228" s="36"/>
      <c r="I228" s="36"/>
      <c r="J228" s="38"/>
      <c r="K228" s="36"/>
      <c r="L228" s="1"/>
      <c r="M228" s="1"/>
      <c r="N228" s="1"/>
      <c r="O228" s="1"/>
      <c r="P228" s="1"/>
      <c r="Q228" s="1"/>
      <c r="R228" s="6" t="s">
        <v>27</v>
      </c>
      <c r="S228" s="40">
        <f>SUBTOTAL(109,Tabela2579111315233133379172026283234373531113151719252729313941359111315172123272931333537353791113153571113353734537373937379113739733779111315171921232535272931333539414345474951[Coluna1])</f>
        <v>217</v>
      </c>
    </row>
    <row r="229" spans="1:20" s="8" customFormat="1" x14ac:dyDescent="0.25">
      <c r="A229" s="1"/>
      <c r="B229" s="3"/>
      <c r="C229" s="47"/>
      <c r="D229" s="1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6"/>
    </row>
    <row r="230" spans="1:20" s="8" customFormat="1" x14ac:dyDescent="0.25">
      <c r="A230" s="1"/>
      <c r="B230" s="3"/>
      <c r="C230" s="3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5"/>
      <c r="P230" s="1"/>
      <c r="Q230" s="1"/>
      <c r="R230" s="1"/>
      <c r="S230" s="1"/>
      <c r="T230" s="1"/>
    </row>
    <row r="231" spans="1:20" s="8" customFormat="1" x14ac:dyDescent="0.25">
      <c r="A231" s="26"/>
      <c r="B231" s="12"/>
      <c r="C231" s="12"/>
      <c r="D231" s="12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1"/>
    </row>
    <row r="232" spans="1:20" s="8" customFormat="1" x14ac:dyDescent="0.25">
      <c r="A232" s="26"/>
      <c r="B232" s="12"/>
      <c r="C232" s="12"/>
      <c r="D232" s="12"/>
      <c r="E232" s="27"/>
      <c r="F232" s="27"/>
      <c r="G232" s="27"/>
      <c r="H232" s="27"/>
      <c r="I232" s="27"/>
      <c r="J232" s="27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 spans="1:20" s="8" customFormat="1" x14ac:dyDescent="0.25">
      <c r="A233" s="26"/>
      <c r="B233" s="12"/>
      <c r="C233" s="12"/>
      <c r="D233" s="12"/>
      <c r="E233" s="28"/>
      <c r="F233" s="28"/>
      <c r="G233" s="28"/>
      <c r="H233" s="28"/>
      <c r="I233" s="28"/>
      <c r="J233" s="28"/>
      <c r="K233" s="27"/>
      <c r="L233" s="26"/>
      <c r="M233" s="26"/>
      <c r="N233" s="26"/>
      <c r="O233" s="26"/>
      <c r="P233" s="26"/>
      <c r="Q233" s="26"/>
      <c r="R233" s="26"/>
      <c r="S233" s="26"/>
      <c r="T233" s="26"/>
    </row>
    <row r="234" spans="1:20" s="8" customFormat="1" x14ac:dyDescent="0.25">
      <c r="A234" s="26"/>
      <c r="B234" s="12"/>
      <c r="C234" s="12"/>
      <c r="D234" s="12"/>
      <c r="E234" s="28"/>
      <c r="F234" s="28"/>
      <c r="G234" s="28"/>
      <c r="H234" s="28"/>
      <c r="I234" s="28"/>
      <c r="J234" s="28"/>
      <c r="K234" s="27"/>
      <c r="L234" s="26"/>
      <c r="M234" s="26"/>
      <c r="N234" s="26"/>
      <c r="O234" s="26"/>
      <c r="P234" s="26"/>
      <c r="Q234" s="26"/>
      <c r="R234" s="26"/>
      <c r="S234" s="26"/>
      <c r="T234" s="26"/>
    </row>
    <row r="235" spans="1:20" s="8" customFormat="1" x14ac:dyDescent="0.25">
      <c r="A235" s="26"/>
      <c r="B235" s="12"/>
      <c r="C235" s="12"/>
      <c r="D235" s="12"/>
      <c r="E235" s="28"/>
      <c r="F235" s="28"/>
      <c r="G235" s="28"/>
      <c r="H235" s="28"/>
      <c r="I235" s="28"/>
      <c r="J235" s="28"/>
      <c r="K235" s="27"/>
      <c r="L235" s="26"/>
      <c r="M235" s="26"/>
      <c r="N235" s="26"/>
      <c r="O235" s="26"/>
      <c r="P235" s="29"/>
      <c r="Q235" s="26"/>
      <c r="R235" s="26"/>
      <c r="S235" s="26"/>
      <c r="T235" s="26"/>
    </row>
    <row r="236" spans="1:20" s="8" customFormat="1" x14ac:dyDescent="0.25">
      <c r="A236" s="26"/>
      <c r="B236" s="12"/>
      <c r="C236" s="12"/>
      <c r="D236" s="12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6"/>
      <c r="Q236" s="26"/>
      <c r="R236" s="26"/>
      <c r="S236" s="26"/>
      <c r="T236" s="26"/>
    </row>
    <row r="237" spans="1:20" s="8" customFormat="1" x14ac:dyDescent="0.25">
      <c r="A237" s="26"/>
      <c r="B237" s="12"/>
      <c r="C237" s="12"/>
      <c r="D237" s="12"/>
      <c r="E237" s="28"/>
      <c r="F237" s="28"/>
      <c r="G237" s="28"/>
      <c r="H237" s="28"/>
      <c r="I237" s="28"/>
      <c r="J237" s="28"/>
      <c r="K237" s="29"/>
      <c r="L237" s="26"/>
      <c r="M237" s="26"/>
      <c r="N237" s="26"/>
      <c r="O237" s="26"/>
      <c r="P237" s="26"/>
      <c r="Q237" s="26"/>
      <c r="R237" s="26"/>
      <c r="S237" s="26"/>
      <c r="T237" s="26"/>
    </row>
    <row r="238" spans="1:20" s="8" customFormat="1" x14ac:dyDescent="0.25">
      <c r="A238" s="26"/>
      <c r="B238" s="12"/>
      <c r="C238" s="12"/>
      <c r="D238" s="12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 spans="1:20" s="8" customFormat="1" x14ac:dyDescent="0.25">
      <c r="A239" s="26"/>
      <c r="B239" s="12"/>
      <c r="C239" s="12"/>
      <c r="D239" s="12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9"/>
    </row>
    <row r="240" spans="1:20" s="8" customFormat="1" x14ac:dyDescent="0.25">
      <c r="A240" s="26"/>
      <c r="B240" s="12"/>
      <c r="C240" s="12"/>
      <c r="D240" s="12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 spans="1:20" s="8" customFormat="1" x14ac:dyDescent="0.25">
      <c r="A241" s="26"/>
      <c r="B241" s="12"/>
      <c r="C241" s="12"/>
      <c r="D241" s="12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 spans="1:20" s="8" customFormat="1" x14ac:dyDescent="0.25">
      <c r="A242" s="26"/>
      <c r="B242" s="12"/>
      <c r="C242" s="12"/>
      <c r="D242" s="12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 spans="1:20" s="8" customFormat="1" x14ac:dyDescent="0.25">
      <c r="A243" s="26"/>
      <c r="B243" s="12"/>
      <c r="C243" s="12"/>
      <c r="D243" s="12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 spans="1:20" s="8" customFormat="1" x14ac:dyDescent="0.25">
      <c r="A244" s="26"/>
      <c r="B244" s="12"/>
      <c r="C244" s="12"/>
      <c r="D244" s="12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 spans="1:20" s="8" customFormat="1" x14ac:dyDescent="0.25">
      <c r="A245" s="1"/>
      <c r="B245" s="3"/>
      <c r="C245" s="3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6"/>
    </row>
    <row r="246" spans="1:20" s="8" customFormat="1" x14ac:dyDescent="0.25">
      <c r="A246" s="1"/>
      <c r="B246" s="3"/>
      <c r="C246" s="3"/>
      <c r="D246" s="3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s="8" customFormat="1" x14ac:dyDescent="0.25">
      <c r="A247" s="1"/>
      <c r="B247" s="3"/>
      <c r="C247" s="3"/>
      <c r="D247" s="3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</row>
  </sheetData>
  <mergeCells count="1">
    <mergeCell ref="A2:T2"/>
  </mergeCells>
  <conditionalFormatting sqref="A1:A1048576">
    <cfRule type="duplicateValues" dxfId="2" priority="4"/>
    <cfRule type="duplicateValues" dxfId="1" priority="5"/>
  </conditionalFormatting>
  <conditionalFormatting sqref="B1:B1048576">
    <cfRule type="duplicateValues" dxfId="0" priority="6"/>
  </conditionalFormatting>
  <conditionalFormatting sqref="B225:C2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{495760CE-5CA2-44E6-BC51-EEEB64AEB05B}</x14:id>
        </ext>
      </extLst>
    </cfRule>
  </conditionalFormatting>
  <conditionalFormatting sqref="H225:J226 F225:G2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{EB876C85-87EC-412F-A86C-AA57ECB54EB7}</x14:id>
        </ext>
      </extLst>
    </cfRule>
  </conditionalFormatting>
  <conditionalFormatting sqref="R225:S2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{F1C9D9AB-1CF0-4CE7-AAE3-4103E716E74B}</x14:id>
        </ext>
      </extLst>
    </cfRule>
  </conditionalFormatting>
  <printOptions horizontalCentered="1"/>
  <pageMargins left="0.23611111111111099" right="0.23611111111111099" top="0.74791666666666701" bottom="0.74861111111111101" header="0.51180555555555496" footer="0.31527777777777799"/>
  <pageSetup paperSize="9" scale="66" firstPageNumber="0" fitToHeight="0" orientation="landscape" horizontalDpi="300" verticalDpi="300" r:id="rId1"/>
  <headerFooter>
    <oddFooter>&amp;C&amp;A&amp;RPágina &amp;P de &amp;N</oddFooter>
  </headerFooter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760CE-5CA2-44E6-BC51-EEEB64AEB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B225:C228</xm:sqref>
        </x14:conditionalFormatting>
        <x14:conditionalFormatting xmlns:xm="http://schemas.microsoft.com/office/excel/2006/main">
          <x14:cfRule type="dataBar" id="{EB876C85-87EC-412F-A86C-AA57ECB54EB7}">
            <x14:dataBar gradient="0">
              <x14:cfvo type="autoMin"/>
              <x14:cfvo type="autoMax"/>
              <x14:negativeFillColor rgb="FFFF0000"/>
              <x14:axisColor rgb="FF000000"/>
            </x14:dataBar>
          </x14:cfRule>
          <xm:sqref>H225:J226 F225:G228</xm:sqref>
        </x14:conditionalFormatting>
        <x14:conditionalFormatting xmlns:xm="http://schemas.microsoft.com/office/excel/2006/main">
          <x14:cfRule type="dataBar" id="{F1C9D9AB-1CF0-4CE7-AAE3-4103E716E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R225:S227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52</vt:i4>
      </vt:variant>
    </vt:vector>
  </HeadingPairs>
  <TitlesOfParts>
    <vt:vector size="78" baseType="lpstr">
      <vt:lpstr>GERAL</vt:lpstr>
      <vt:lpstr>CONSOLIDADO</vt:lpstr>
      <vt:lpstr>FL01</vt:lpstr>
      <vt:lpstr>FL02</vt:lpstr>
      <vt:lpstr>FL03</vt:lpstr>
      <vt:lpstr>FL04</vt:lpstr>
      <vt:lpstr>FL05</vt:lpstr>
      <vt:lpstr>FL06</vt:lpstr>
      <vt:lpstr>FL07</vt:lpstr>
      <vt:lpstr>FL08</vt:lpstr>
      <vt:lpstr>FL09</vt:lpstr>
      <vt:lpstr>FL10</vt:lpstr>
      <vt:lpstr>FL11</vt:lpstr>
      <vt:lpstr>FL12</vt:lpstr>
      <vt:lpstr>FL13</vt:lpstr>
      <vt:lpstr>FL15</vt:lpstr>
      <vt:lpstr>FL16</vt:lpstr>
      <vt:lpstr>FL17</vt:lpstr>
      <vt:lpstr>FL18</vt:lpstr>
      <vt:lpstr>FL19</vt:lpstr>
      <vt:lpstr>FL20</vt:lpstr>
      <vt:lpstr>FL21</vt:lpstr>
      <vt:lpstr>FL22</vt:lpstr>
      <vt:lpstr>FL23</vt:lpstr>
      <vt:lpstr>FL25</vt:lpstr>
      <vt:lpstr>FL26</vt:lpstr>
      <vt:lpstr>CONSOLIDADO!Area_de_impressao</vt:lpstr>
      <vt:lpstr>'FL01'!Area_de_impressao</vt:lpstr>
      <vt:lpstr>'FL02'!Area_de_impressao</vt:lpstr>
      <vt:lpstr>'FL03'!Area_de_impressao</vt:lpstr>
      <vt:lpstr>'FL04'!Area_de_impressao</vt:lpstr>
      <vt:lpstr>'FL05'!Area_de_impressao</vt:lpstr>
      <vt:lpstr>'FL06'!Area_de_impressao</vt:lpstr>
      <vt:lpstr>'FL07'!Area_de_impressao</vt:lpstr>
      <vt:lpstr>'FL08'!Area_de_impressao</vt:lpstr>
      <vt:lpstr>'FL09'!Area_de_impressao</vt:lpstr>
      <vt:lpstr>'FL10'!Area_de_impressao</vt:lpstr>
      <vt:lpstr>'FL11'!Area_de_impressao</vt:lpstr>
      <vt:lpstr>'FL12'!Area_de_impressao</vt:lpstr>
      <vt:lpstr>'FL13'!Area_de_impressao</vt:lpstr>
      <vt:lpstr>'FL15'!Area_de_impressao</vt:lpstr>
      <vt:lpstr>'FL16'!Area_de_impressao</vt:lpstr>
      <vt:lpstr>'FL17'!Area_de_impressao</vt:lpstr>
      <vt:lpstr>'FL18'!Area_de_impressao</vt:lpstr>
      <vt:lpstr>'FL19'!Area_de_impressao</vt:lpstr>
      <vt:lpstr>'FL20'!Area_de_impressao</vt:lpstr>
      <vt:lpstr>'FL21'!Area_de_impressao</vt:lpstr>
      <vt:lpstr>'FL22'!Area_de_impressao</vt:lpstr>
      <vt:lpstr>'FL23'!Area_de_impressao</vt:lpstr>
      <vt:lpstr>'FL25'!Area_de_impressao</vt:lpstr>
      <vt:lpstr>'FL26'!Area_de_impressao</vt:lpstr>
      <vt:lpstr>GERAL!Area_de_impressao</vt:lpstr>
      <vt:lpstr>CONSOLIDADO!Titulos_de_impressao</vt:lpstr>
      <vt:lpstr>'FL01'!Titulos_de_impressao</vt:lpstr>
      <vt:lpstr>'FL02'!Titulos_de_impressao</vt:lpstr>
      <vt:lpstr>'FL03'!Titulos_de_impressao</vt:lpstr>
      <vt:lpstr>'FL04'!Titulos_de_impressao</vt:lpstr>
      <vt:lpstr>'FL05'!Titulos_de_impressao</vt:lpstr>
      <vt:lpstr>'FL06'!Titulos_de_impressao</vt:lpstr>
      <vt:lpstr>'FL07'!Titulos_de_impressao</vt:lpstr>
      <vt:lpstr>'FL08'!Titulos_de_impressao</vt:lpstr>
      <vt:lpstr>'FL09'!Titulos_de_impressao</vt:lpstr>
      <vt:lpstr>'FL10'!Titulos_de_impressao</vt:lpstr>
      <vt:lpstr>'FL11'!Titulos_de_impressao</vt:lpstr>
      <vt:lpstr>'FL12'!Titulos_de_impressao</vt:lpstr>
      <vt:lpstr>'FL13'!Titulos_de_impressao</vt:lpstr>
      <vt:lpstr>'FL15'!Titulos_de_impressao</vt:lpstr>
      <vt:lpstr>'FL16'!Titulos_de_impressao</vt:lpstr>
      <vt:lpstr>'FL17'!Titulos_de_impressao</vt:lpstr>
      <vt:lpstr>'FL18'!Titulos_de_impressao</vt:lpstr>
      <vt:lpstr>'FL19'!Titulos_de_impressao</vt:lpstr>
      <vt:lpstr>'FL20'!Titulos_de_impressao</vt:lpstr>
      <vt:lpstr>'FL21'!Titulos_de_impressao</vt:lpstr>
      <vt:lpstr>'FL22'!Titulos_de_impressao</vt:lpstr>
      <vt:lpstr>'FL23'!Titulos_de_impressao</vt:lpstr>
      <vt:lpstr>'FL25'!Titulos_de_impressao</vt:lpstr>
      <vt:lpstr>'FL26'!Titulos_de_impressao</vt:lpstr>
      <vt:lpstr>GERAL!Titulos_de_impressao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Helcio Pereira</dc:creator>
  <cp:lastModifiedBy>Helcio Pereira</cp:lastModifiedBy>
  <cp:revision>2</cp:revision>
  <cp:lastPrinted>2025-07-09T19:51:00Z</cp:lastPrinted>
  <dcterms:created xsi:type="dcterms:W3CDTF">2017-09-14T02:43:02Z</dcterms:created>
  <dcterms:modified xsi:type="dcterms:W3CDTF">2026-03-16T15:16:43Z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