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oshpd\shared\HID\HIRC\Staff_Folders\JNeeley_I\Data Documentation\"/>
    </mc:Choice>
  </mc:AlternateContent>
  <xr:revisionPtr revIDLastSave="0" documentId="13_ncr:1_{4FB12FD2-A3AB-441E-B543-55FA346397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2876 &amp; PUF Data set file size" sheetId="1" r:id="rId1"/>
    <sheet name="Full SAS Data set file siz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24" i="2"/>
  <c r="J25" i="2"/>
  <c r="J26" i="2"/>
  <c r="I18" i="2"/>
  <c r="I19" i="2"/>
  <c r="I20" i="2"/>
  <c r="I21" i="2"/>
  <c r="I22" i="2"/>
  <c r="I23" i="2"/>
  <c r="I24" i="2"/>
  <c r="I25" i="2"/>
  <c r="I26" i="2"/>
  <c r="H18" i="2"/>
  <c r="H19" i="2"/>
  <c r="H20" i="2"/>
  <c r="H21" i="2"/>
  <c r="H22" i="2"/>
  <c r="H23" i="2"/>
  <c r="H24" i="2"/>
  <c r="H25" i="2"/>
  <c r="H26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D16" i="2"/>
  <c r="D17" i="2"/>
  <c r="D18" i="2"/>
  <c r="D19" i="2"/>
  <c r="D20" i="2"/>
  <c r="D21" i="2"/>
  <c r="D22" i="2"/>
  <c r="D23" i="2"/>
  <c r="D24" i="2"/>
  <c r="D25" i="2"/>
  <c r="D26" i="2"/>
  <c r="C16" i="2"/>
  <c r="C17" i="2"/>
  <c r="C18" i="2"/>
  <c r="C19" i="2"/>
  <c r="C20" i="2"/>
  <c r="C21" i="2"/>
  <c r="C22" i="2"/>
  <c r="C23" i="2"/>
  <c r="C24" i="2"/>
  <c r="C25" i="2"/>
  <c r="C26" i="2"/>
  <c r="B48" i="2" l="1"/>
  <c r="B47" i="2"/>
  <c r="B46" i="2"/>
  <c r="B45" i="2"/>
  <c r="B44" i="2"/>
  <c r="B43" i="2"/>
  <c r="B42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</calcChain>
</file>

<file path=xl/sharedStrings.xml><?xml version="1.0" encoding="utf-8"?>
<sst xmlns="http://schemas.openxmlformats.org/spreadsheetml/2006/main" count="56" uniqueCount="26">
  <si>
    <t>YEAR</t>
  </si>
  <si>
    <t>HOSPITAL INPATIENT (PDD)</t>
  </si>
  <si>
    <t>EMERGENCY DEPARTMENT (ED)</t>
  </si>
  <si>
    <t>AMBULATORY SURGERY (AS)</t>
  </si>
  <si>
    <t>Public Use File</t>
  </si>
  <si>
    <t>OSHPD Patient-Level SAS Data - Size of Files by Type of File (PDD, ED, AS) and Year</t>
  </si>
  <si>
    <t>AB2876 Model Data Set</t>
  </si>
  <si>
    <t>File Sizes by Year</t>
  </si>
  <si>
    <t>The total file size is listed in megabytes (MB).</t>
  </si>
  <si>
    <t>The total file size is listed in megabytes (MB). A blank field indicates the file is not yet available. A grayed out field indicates the file was not available in that year.</t>
  </si>
  <si>
    <t>Linked Birth</t>
  </si>
  <si>
    <t>Linked Death Version A</t>
  </si>
  <si>
    <t>Linked Death Version B</t>
  </si>
  <si>
    <t>Linked Death PDD</t>
  </si>
  <si>
    <t>Linked Death ED</t>
  </si>
  <si>
    <t>Linked Death AS</t>
  </si>
  <si>
    <t>N/A</t>
  </si>
  <si>
    <t>v. 07/08/2021</t>
  </si>
  <si>
    <t>HCAI Patient-Level Data Sets</t>
  </si>
  <si>
    <t>v. 08/26/2022</t>
  </si>
  <si>
    <r>
      <t xml:space="preserve">The following table lists the sizes of </t>
    </r>
    <r>
      <rPr>
        <b/>
        <i/>
        <sz val="14"/>
        <color indexed="8"/>
        <rFont val="Calibri"/>
        <family val="2"/>
      </rPr>
      <t>full</t>
    </r>
    <r>
      <rPr>
        <sz val="14"/>
        <color indexed="8"/>
        <rFont val="Calibri"/>
        <family val="2"/>
      </rPr>
      <t xml:space="preserve"> HCAI patient-level SAS data sets. Files provided to requestors are generally a subset of this data.</t>
    </r>
  </si>
  <si>
    <t>HCAI Patient-Level SAS Data - Size of Files by Type of File (PDD, ED, AS) and Year</t>
  </si>
  <si>
    <t>HCAI Linked Death PDD</t>
  </si>
  <si>
    <t>HCAI Linked Death ED</t>
  </si>
  <si>
    <t>The following table lists the sizes of HCAI patient-level files*:</t>
  </si>
  <si>
    <t>*Although HCAI releases multiple versions of the Limited Model Data Set, the file size reported above is for the statewide "Healthcare Operations" SAS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</si>
</sst>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8"/>
      <name val="Calibri"/>
      <family val="2"/>
    </font>
    <font>
      <b/>
      <i/>
      <sz val="14"/>
      <color indexed="8"/>
      <name val="Calibri"/>
      <family val="2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3" borderId="20" applyNumberFormat="0" applyAlignment="0" applyProtection="0"/>
  </cellStyleXfs>
  <cellXfs count="118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/>
    <xf numFmtId="0" fontId="4" fillId="0" borderId="0" xfId="0" applyFont="1" applyBorder="1"/>
    <xf numFmtId="0" fontId="0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Continuous"/>
    </xf>
    <xf numFmtId="0" fontId="0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4" fillId="0" borderId="0" xfId="0" applyFont="1"/>
    <xf numFmtId="0" fontId="4" fillId="0" borderId="0" xfId="0" applyFont="1" applyBorder="1" applyAlignme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2" fillId="0" borderId="0" xfId="1" applyNumberFormat="1" applyFont="1" applyAlignment="1">
      <alignment horizontal="right"/>
    </xf>
    <xf numFmtId="3" fontId="2" fillId="0" borderId="0" xfId="0" applyNumberFormat="1" applyFont="1"/>
    <xf numFmtId="3" fontId="6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3" fontId="4" fillId="0" borderId="0" xfId="0" applyNumberFormat="1" applyFont="1"/>
    <xf numFmtId="3" fontId="2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3" fontId="0" fillId="0" borderId="0" xfId="0" applyNumberFormat="1" applyFont="1"/>
    <xf numFmtId="3" fontId="5" fillId="0" borderId="8" xfId="0" applyNumberFormat="1" applyFont="1" applyBorder="1" applyAlignment="1">
      <alignment horizontal="right" wrapText="1"/>
    </xf>
    <xf numFmtId="3" fontId="5" fillId="0" borderId="9" xfId="0" applyNumberFormat="1" applyFont="1" applyBorder="1" applyAlignment="1">
      <alignment horizontal="right" wrapText="1"/>
    </xf>
    <xf numFmtId="164" fontId="5" fillId="0" borderId="8" xfId="1" applyNumberFormat="1" applyFont="1" applyBorder="1" applyAlignment="1">
      <alignment horizontal="right" wrapText="1"/>
    </xf>
    <xf numFmtId="164" fontId="5" fillId="0" borderId="9" xfId="1" applyNumberFormat="1" applyFont="1" applyBorder="1" applyAlignment="1">
      <alignment horizontal="right" wrapText="1"/>
    </xf>
    <xf numFmtId="3" fontId="1" fillId="0" borderId="7" xfId="0" applyNumberFormat="1" applyFont="1" applyBorder="1" applyAlignment="1">
      <alignment horizontal="right"/>
    </xf>
    <xf numFmtId="3" fontId="1" fillId="0" borderId="1" xfId="1" applyNumberFormat="1" applyFont="1" applyBorder="1" applyAlignment="1">
      <alignment horizontal="right"/>
    </xf>
    <xf numFmtId="3" fontId="0" fillId="0" borderId="1" xfId="1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3" fontId="0" fillId="0" borderId="1" xfId="0" applyNumberFormat="1" applyFont="1" applyBorder="1"/>
    <xf numFmtId="3" fontId="0" fillId="0" borderId="1" xfId="1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3" fontId="2" fillId="0" borderId="1" xfId="0" applyNumberFormat="1" applyFont="1" applyBorder="1"/>
    <xf numFmtId="3" fontId="2" fillId="2" borderId="11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164" fontId="2" fillId="0" borderId="13" xfId="1" applyNumberFormat="1" applyFont="1" applyBorder="1" applyAlignment="1">
      <alignment horizontal="right"/>
    </xf>
    <xf numFmtId="3" fontId="2" fillId="2" borderId="15" xfId="0" applyNumberFormat="1" applyFont="1" applyFill="1" applyBorder="1" applyAlignment="1">
      <alignment horizontal="right"/>
    </xf>
    <xf numFmtId="3" fontId="2" fillId="2" borderId="16" xfId="0" applyNumberFormat="1" applyFont="1" applyFill="1" applyBorder="1" applyAlignment="1">
      <alignment horizontal="right"/>
    </xf>
    <xf numFmtId="164" fontId="2" fillId="0" borderId="10" xfId="1" applyNumberFormat="1" applyFont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164" fontId="2" fillId="2" borderId="12" xfId="1" applyNumberFormat="1" applyFont="1" applyFill="1" applyBorder="1" applyAlignment="1">
      <alignment horizontal="right"/>
    </xf>
    <xf numFmtId="164" fontId="2" fillId="2" borderId="0" xfId="1" applyNumberFormat="1" applyFont="1" applyFill="1" applyBorder="1" applyAlignment="1">
      <alignment horizontal="right"/>
    </xf>
    <xf numFmtId="164" fontId="2" fillId="2" borderId="14" xfId="1" applyNumberFormat="1" applyFont="1" applyFill="1" applyBorder="1" applyAlignment="1">
      <alignment horizontal="right"/>
    </xf>
    <xf numFmtId="3" fontId="2" fillId="2" borderId="17" xfId="0" applyNumberFormat="1" applyFont="1" applyFill="1" applyBorder="1" applyAlignment="1">
      <alignment horizontal="right"/>
    </xf>
    <xf numFmtId="3" fontId="2" fillId="2" borderId="3" xfId="0" applyNumberFormat="1" applyFont="1" applyFill="1" applyBorder="1" applyAlignment="1">
      <alignment horizontal="right"/>
    </xf>
    <xf numFmtId="164" fontId="2" fillId="2" borderId="3" xfId="1" applyNumberFormat="1" applyFont="1" applyFill="1" applyBorder="1" applyAlignment="1">
      <alignment horizontal="right"/>
    </xf>
    <xf numFmtId="164" fontId="11" fillId="4" borderId="20" xfId="2" applyNumberFormat="1" applyFill="1" applyAlignment="1">
      <alignment horizontal="right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1" fillId="4" borderId="22" xfId="2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1" xfId="0" applyFont="1" applyBorder="1" applyAlignment="1">
      <alignment horizontal="right" wrapText="1"/>
    </xf>
    <xf numFmtId="0" fontId="5" fillId="0" borderId="23" xfId="0" applyFont="1" applyBorder="1" applyAlignment="1">
      <alignment horizontal="center" wrapText="1"/>
    </xf>
    <xf numFmtId="3" fontId="1" fillId="0" borderId="18" xfId="0" applyNumberFormat="1" applyFont="1" applyBorder="1" applyAlignment="1">
      <alignment horizontal="right" wrapText="1"/>
    </xf>
    <xf numFmtId="3" fontId="1" fillId="0" borderId="7" xfId="0" applyNumberFormat="1" applyFont="1" applyBorder="1" applyAlignment="1">
      <alignment horizontal="right" wrapText="1"/>
    </xf>
    <xf numFmtId="0" fontId="5" fillId="0" borderId="4" xfId="0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11" fillId="4" borderId="22" xfId="1" applyNumberFormat="1" applyFont="1" applyFill="1" applyBorder="1" applyAlignment="1">
      <alignment horizontal="right"/>
    </xf>
    <xf numFmtId="164" fontId="5" fillId="0" borderId="12" xfId="1" applyNumberFormat="1" applyFont="1" applyBorder="1" applyAlignment="1">
      <alignment horizontal="center"/>
    </xf>
    <xf numFmtId="164" fontId="5" fillId="0" borderId="2" xfId="1" applyNumberFormat="1" applyFont="1" applyBorder="1" applyAlignment="1">
      <alignment horizontal="right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4" xfId="0" applyFont="1" applyBorder="1" applyAlignment="1">
      <alignment horizontal="right"/>
    </xf>
    <xf numFmtId="3" fontId="1" fillId="0" borderId="19" xfId="0" applyNumberFormat="1" applyFont="1" applyBorder="1" applyAlignment="1">
      <alignment horizontal="right" wrapText="1"/>
    </xf>
    <xf numFmtId="3" fontId="5" fillId="5" borderId="1" xfId="0" applyNumberFormat="1" applyFont="1" applyFill="1" applyBorder="1" applyAlignment="1">
      <alignment horizontal="right" wrapText="1"/>
    </xf>
    <xf numFmtId="0" fontId="5" fillId="5" borderId="26" xfId="0" applyFont="1" applyFill="1" applyBorder="1" applyAlignment="1">
      <alignment horizontal="center"/>
    </xf>
    <xf numFmtId="3" fontId="1" fillId="0" borderId="27" xfId="0" applyNumberFormat="1" applyFont="1" applyBorder="1" applyAlignment="1">
      <alignment horizontal="right" wrapText="1"/>
    </xf>
    <xf numFmtId="164" fontId="0" fillId="0" borderId="1" xfId="1" applyNumberFormat="1" applyFont="1" applyBorder="1"/>
    <xf numFmtId="164" fontId="5" fillId="0" borderId="12" xfId="1" applyNumberFormat="1" applyFont="1" applyBorder="1" applyAlignment="1">
      <alignment horizontal="right"/>
    </xf>
    <xf numFmtId="164" fontId="5" fillId="0" borderId="10" xfId="1" applyNumberFormat="1" applyFont="1" applyBorder="1" applyAlignment="1"/>
    <xf numFmtId="3" fontId="1" fillId="0" borderId="29" xfId="0" applyNumberFormat="1" applyFont="1" applyBorder="1" applyAlignment="1">
      <alignment horizontal="right" wrapText="1"/>
    </xf>
    <xf numFmtId="0" fontId="5" fillId="0" borderId="0" xfId="0" applyFont="1" applyFill="1"/>
    <xf numFmtId="0" fontId="5" fillId="0" borderId="7" xfId="0" applyFont="1" applyFill="1" applyBorder="1" applyAlignment="1">
      <alignment horizontal="right"/>
    </xf>
    <xf numFmtId="0" fontId="5" fillId="0" borderId="30" xfId="0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right"/>
    </xf>
    <xf numFmtId="3" fontId="0" fillId="0" borderId="13" xfId="1" applyNumberFormat="1" applyFont="1" applyFill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3" fontId="5" fillId="6" borderId="14" xfId="0" applyNumberFormat="1" applyFont="1" applyFill="1" applyBorder="1" applyAlignment="1">
      <alignment horizontal="right" wrapText="1"/>
    </xf>
    <xf numFmtId="3" fontId="5" fillId="6" borderId="12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3" fontId="2" fillId="2" borderId="15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3" fontId="2" fillId="2" borderId="16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18" xfId="0" applyNumberFormat="1" applyFont="1" applyFill="1" applyBorder="1" applyAlignment="1">
      <alignment horizontal="center"/>
    </xf>
    <xf numFmtId="0" fontId="0" fillId="0" borderId="0" xfId="0" applyBorder="1" applyAlignment="1"/>
    <xf numFmtId="4" fontId="8" fillId="0" borderId="0" xfId="0" applyNumberFormat="1" applyFont="1" applyBorder="1" applyAlignment="1">
      <alignment horizontal="center"/>
    </xf>
    <xf numFmtId="0" fontId="0" fillId="0" borderId="0" xfId="0" applyAlignment="1"/>
    <xf numFmtId="164" fontId="0" fillId="6" borderId="0" xfId="1" applyNumberFormat="1" applyFont="1" applyFill="1" applyBorder="1" applyAlignment="1">
      <alignment horizontal="center"/>
    </xf>
    <xf numFmtId="164" fontId="1" fillId="2" borderId="28" xfId="1" applyNumberFormat="1" applyFont="1" applyFill="1" applyBorder="1" applyAlignment="1">
      <alignment horizontal="center" wrapText="1"/>
    </xf>
    <xf numFmtId="164" fontId="1" fillId="2" borderId="0" xfId="1" applyNumberFormat="1" applyFont="1" applyFill="1" applyBorder="1" applyAlignment="1">
      <alignment horizontal="center" wrapText="1"/>
    </xf>
    <xf numFmtId="164" fontId="5" fillId="6" borderId="28" xfId="1" applyNumberFormat="1" applyFont="1" applyFill="1" applyBorder="1" applyAlignment="1">
      <alignment horizontal="center" wrapText="1"/>
    </xf>
    <xf numFmtId="164" fontId="5" fillId="6" borderId="0" xfId="1" applyNumberFormat="1" applyFont="1" applyFill="1" applyBorder="1" applyAlignment="1">
      <alignment horizontal="center" wrapText="1"/>
    </xf>
    <xf numFmtId="164" fontId="5" fillId="6" borderId="3" xfId="1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C0C0C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G28"/>
  <sheetViews>
    <sheetView tabSelected="1" zoomScaleNormal="100" workbookViewId="0">
      <selection activeCell="A25" sqref="A25:G25"/>
    </sheetView>
  </sheetViews>
  <sheetFormatPr defaultColWidth="9.140625" defaultRowHeight="12.75" x14ac:dyDescent="0.2"/>
  <cols>
    <col min="1" max="1" width="10.42578125" style="2" customWidth="1"/>
    <col min="2" max="2" width="27.140625" style="1" customWidth="1"/>
    <col min="3" max="3" width="18" style="1" customWidth="1"/>
    <col min="4" max="4" width="27.140625" style="1" customWidth="1"/>
    <col min="5" max="5" width="18" style="1" customWidth="1"/>
    <col min="6" max="6" width="27.140625" style="1" customWidth="1"/>
    <col min="7" max="7" width="18" style="1" customWidth="1"/>
    <col min="8" max="8" width="10" style="1" bestFit="1" customWidth="1"/>
    <col min="9" max="16384" width="9.140625" style="1"/>
  </cols>
  <sheetData>
    <row r="1" spans="1:7" ht="20.45" customHeight="1" x14ac:dyDescent="0.25">
      <c r="A1" s="94" t="s">
        <v>7</v>
      </c>
      <c r="B1" s="94"/>
      <c r="C1" s="94"/>
      <c r="D1" s="94"/>
      <c r="E1" s="94"/>
      <c r="F1" s="94"/>
      <c r="G1" s="94"/>
    </row>
    <row r="2" spans="1:7" ht="20.45" customHeight="1" x14ac:dyDescent="0.25">
      <c r="A2" s="94" t="s">
        <v>18</v>
      </c>
      <c r="B2" s="94"/>
      <c r="C2" s="94"/>
      <c r="D2" s="94"/>
      <c r="E2" s="94"/>
      <c r="F2" s="94"/>
      <c r="G2" s="94"/>
    </row>
    <row r="3" spans="1:7" ht="20.45" customHeight="1" x14ac:dyDescent="0.25">
      <c r="A3" s="93" t="s">
        <v>17</v>
      </c>
      <c r="B3" s="93"/>
      <c r="C3" s="93"/>
      <c r="D3" s="93"/>
      <c r="E3" s="93"/>
      <c r="F3" s="93"/>
      <c r="G3" s="93"/>
    </row>
    <row r="4" spans="1:7" ht="20.45" customHeight="1" x14ac:dyDescent="0.25">
      <c r="A4" s="15"/>
      <c r="B4" s="15"/>
      <c r="C4" s="15"/>
      <c r="D4" s="15"/>
      <c r="E4" s="15"/>
      <c r="F4" s="15"/>
      <c r="G4" s="15"/>
    </row>
    <row r="5" spans="1:7" ht="20.25" x14ac:dyDescent="0.3">
      <c r="A5" s="9"/>
      <c r="B5" s="9"/>
      <c r="C5" s="9"/>
      <c r="D5" s="9"/>
      <c r="E5" s="9"/>
      <c r="F5" s="9"/>
      <c r="G5" s="9"/>
    </row>
    <row r="6" spans="1:7" s="11" customFormat="1" ht="18.75" x14ac:dyDescent="0.3">
      <c r="A6" s="12" t="s">
        <v>24</v>
      </c>
      <c r="B6" s="4"/>
    </row>
    <row r="7" spans="1:7" s="11" customFormat="1" ht="18.75" x14ac:dyDescent="0.3">
      <c r="A7" s="12" t="s">
        <v>8</v>
      </c>
      <c r="B7" s="4"/>
    </row>
    <row r="9" spans="1:7" s="5" customFormat="1" ht="18.75" x14ac:dyDescent="0.3">
      <c r="A9" s="3" t="s">
        <v>5</v>
      </c>
    </row>
    <row r="10" spans="1:7" s="6" customFormat="1" ht="21.75" customHeight="1" x14ac:dyDescent="0.25">
      <c r="A10" s="91" t="s">
        <v>0</v>
      </c>
      <c r="B10" s="10" t="s">
        <v>1</v>
      </c>
      <c r="C10" s="7"/>
      <c r="D10" s="7" t="s">
        <v>2</v>
      </c>
      <c r="E10" s="7"/>
      <c r="F10" s="7" t="s">
        <v>3</v>
      </c>
      <c r="G10" s="7"/>
    </row>
    <row r="11" spans="1:7" s="6" customFormat="1" ht="15.75" thickBot="1" x14ac:dyDescent="0.3">
      <c r="A11" s="92"/>
      <c r="B11" s="69" t="s">
        <v>6</v>
      </c>
      <c r="C11" s="74" t="s">
        <v>4</v>
      </c>
      <c r="D11" s="70" t="s">
        <v>6</v>
      </c>
      <c r="E11" s="74" t="s">
        <v>4</v>
      </c>
      <c r="F11" s="70" t="s">
        <v>6</v>
      </c>
      <c r="G11" s="74" t="s">
        <v>4</v>
      </c>
    </row>
    <row r="12" spans="1:7" s="6" customFormat="1" ht="15.75" thickTop="1" x14ac:dyDescent="0.25">
      <c r="A12" s="82">
        <v>2021</v>
      </c>
      <c r="B12" s="77">
        <v>1189</v>
      </c>
      <c r="C12" s="81" t="s">
        <v>16</v>
      </c>
      <c r="D12" s="64">
        <v>1393</v>
      </c>
      <c r="E12" s="81" t="s">
        <v>16</v>
      </c>
      <c r="F12" s="78">
        <v>300</v>
      </c>
      <c r="G12" s="81" t="s">
        <v>16</v>
      </c>
    </row>
    <row r="13" spans="1:7" s="80" customFormat="1" ht="15" x14ac:dyDescent="0.25">
      <c r="A13" s="63">
        <v>2020</v>
      </c>
      <c r="B13" s="77">
        <v>1164</v>
      </c>
      <c r="C13" s="81" t="s">
        <v>16</v>
      </c>
      <c r="D13" s="64">
        <v>1268</v>
      </c>
      <c r="E13" s="81" t="s">
        <v>16</v>
      </c>
      <c r="F13" s="78">
        <v>257</v>
      </c>
      <c r="G13" s="81" t="s">
        <v>16</v>
      </c>
    </row>
    <row r="14" spans="1:7" s="6" customFormat="1" ht="15" x14ac:dyDescent="0.25">
      <c r="A14" s="63">
        <v>2019</v>
      </c>
      <c r="B14" s="77">
        <v>1271</v>
      </c>
      <c r="C14" s="71" t="s">
        <v>16</v>
      </c>
      <c r="D14" s="64">
        <v>1560</v>
      </c>
      <c r="E14" s="71" t="s">
        <v>16</v>
      </c>
      <c r="F14" s="78">
        <v>300</v>
      </c>
      <c r="G14" s="71" t="s">
        <v>16</v>
      </c>
    </row>
    <row r="15" spans="1:7" s="6" customFormat="1" ht="15" x14ac:dyDescent="0.25">
      <c r="A15" s="63">
        <v>2018</v>
      </c>
      <c r="B15" s="67">
        <v>1177</v>
      </c>
      <c r="C15" s="71" t="s">
        <v>16</v>
      </c>
      <c r="D15" s="64">
        <v>1622</v>
      </c>
      <c r="E15" s="71" t="s">
        <v>16</v>
      </c>
      <c r="F15" s="64">
        <v>303</v>
      </c>
      <c r="G15" s="71" t="s">
        <v>16</v>
      </c>
    </row>
    <row r="16" spans="1:7" s="6" customFormat="1" ht="15" x14ac:dyDescent="0.25">
      <c r="A16" s="63">
        <v>2017</v>
      </c>
      <c r="B16" s="67">
        <v>1146</v>
      </c>
      <c r="C16" s="58" t="s">
        <v>16</v>
      </c>
      <c r="D16" s="64">
        <v>1599</v>
      </c>
      <c r="E16" s="58" t="s">
        <v>16</v>
      </c>
      <c r="F16" s="64">
        <v>286</v>
      </c>
      <c r="G16" s="58" t="s">
        <v>16</v>
      </c>
    </row>
    <row r="17" spans="1:7" s="6" customFormat="1" ht="15" x14ac:dyDescent="0.25">
      <c r="A17" s="63">
        <v>2016</v>
      </c>
      <c r="B17" s="68">
        <v>1123</v>
      </c>
      <c r="C17" s="58" t="s">
        <v>16</v>
      </c>
      <c r="D17" s="65">
        <v>1593</v>
      </c>
      <c r="E17" s="58" t="s">
        <v>16</v>
      </c>
      <c r="F17" s="65">
        <v>279</v>
      </c>
      <c r="G17" s="58" t="s">
        <v>16</v>
      </c>
    </row>
    <row r="18" spans="1:7" s="6" customFormat="1" ht="15" x14ac:dyDescent="0.25">
      <c r="A18" s="55">
        <v>2015</v>
      </c>
      <c r="B18" s="66">
        <v>1104</v>
      </c>
      <c r="C18" s="57" t="s">
        <v>16</v>
      </c>
      <c r="D18" s="66">
        <v>1509</v>
      </c>
      <c r="E18" s="57" t="s">
        <v>16</v>
      </c>
      <c r="F18" s="66">
        <v>269</v>
      </c>
      <c r="G18" s="57" t="s">
        <v>16</v>
      </c>
    </row>
    <row r="19" spans="1:7" s="5" customFormat="1" ht="15" x14ac:dyDescent="0.25">
      <c r="A19" s="13">
        <v>2014</v>
      </c>
      <c r="B19" s="54">
        <v>1078</v>
      </c>
      <c r="C19" s="54">
        <v>1026</v>
      </c>
      <c r="D19" s="54">
        <v>1468</v>
      </c>
      <c r="E19" s="54">
        <v>1219</v>
      </c>
      <c r="F19" s="54">
        <v>258</v>
      </c>
      <c r="G19" s="54">
        <v>227</v>
      </c>
    </row>
    <row r="20" spans="1:7" s="5" customFormat="1" ht="15" x14ac:dyDescent="0.25">
      <c r="A20" s="13">
        <v>2013</v>
      </c>
      <c r="B20" s="54">
        <v>1067</v>
      </c>
      <c r="C20" s="54">
        <v>995</v>
      </c>
      <c r="D20" s="54">
        <v>1244</v>
      </c>
      <c r="E20" s="54">
        <v>1039</v>
      </c>
      <c r="F20" s="54">
        <v>247</v>
      </c>
      <c r="G20" s="54">
        <v>209</v>
      </c>
    </row>
    <row r="21" spans="1:7" s="5" customFormat="1" ht="15" x14ac:dyDescent="0.25">
      <c r="A21" s="14">
        <v>2012</v>
      </c>
      <c r="B21" s="54">
        <v>1026</v>
      </c>
      <c r="C21" s="54">
        <v>829</v>
      </c>
      <c r="D21" s="54">
        <v>1203</v>
      </c>
      <c r="E21" s="54">
        <v>1042</v>
      </c>
      <c r="F21" s="54">
        <v>231</v>
      </c>
      <c r="G21" s="54">
        <v>201</v>
      </c>
    </row>
    <row r="22" spans="1:7" s="5" customFormat="1" ht="15" x14ac:dyDescent="0.25">
      <c r="A22" s="14">
        <v>2011</v>
      </c>
      <c r="B22" s="54">
        <v>1031</v>
      </c>
      <c r="C22" s="54">
        <v>982</v>
      </c>
      <c r="D22" s="54">
        <v>1140</v>
      </c>
      <c r="E22" s="54">
        <v>985</v>
      </c>
      <c r="F22" s="54">
        <v>242</v>
      </c>
      <c r="G22" s="54">
        <v>210</v>
      </c>
    </row>
    <row r="23" spans="1:7" s="5" customFormat="1" ht="15" x14ac:dyDescent="0.25">
      <c r="A23" s="14">
        <v>2010</v>
      </c>
      <c r="B23" s="54">
        <v>1036</v>
      </c>
      <c r="C23" s="54">
        <v>1191</v>
      </c>
      <c r="D23" s="54">
        <v>1053</v>
      </c>
      <c r="E23" s="54">
        <v>935</v>
      </c>
      <c r="F23" s="54">
        <v>244</v>
      </c>
      <c r="G23" s="54">
        <v>217</v>
      </c>
    </row>
    <row r="24" spans="1:7" s="5" customFormat="1" ht="15" x14ac:dyDescent="0.25">
      <c r="A24" s="8"/>
    </row>
    <row r="25" spans="1:7" s="5" customFormat="1" ht="15" x14ac:dyDescent="0.25">
      <c r="A25" s="89" t="s">
        <v>25</v>
      </c>
      <c r="B25" s="90"/>
      <c r="C25" s="90"/>
      <c r="D25" s="90"/>
      <c r="E25" s="90"/>
      <c r="F25" s="90"/>
      <c r="G25" s="90"/>
    </row>
    <row r="27" spans="1:7" ht="14.25" customHeight="1" x14ac:dyDescent="0.2"/>
    <row r="28" spans="1:7" x14ac:dyDescent="0.2">
      <c r="B28" s="2"/>
    </row>
  </sheetData>
  <mergeCells count="5">
    <mergeCell ref="A25:G25"/>
    <mergeCell ref="A10:A11"/>
    <mergeCell ref="A3:G3"/>
    <mergeCell ref="A2:G2"/>
    <mergeCell ref="A1:G1"/>
  </mergeCells>
  <phoneticPr fontId="9" type="noConversion"/>
  <printOptions horizontalCentered="1"/>
  <pageMargins left="0.25" right="0.25" top="0.5" bottom="1" header="0.3" footer="0.3"/>
  <pageSetup scale="91" orientation="landscape" r:id="rId1"/>
  <headerFooter scaleWithDoc="0">
    <oddFooter>&amp;L&amp;"Arial,Regular"&amp;9Office of Statewide Health Planning and Development&amp;C&amp;"Arial,Regular"&amp;12&amp;P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topLeftCell="A7" zoomScaleNormal="100" workbookViewId="0">
      <selection activeCell="B10" sqref="B10"/>
    </sheetView>
  </sheetViews>
  <sheetFormatPr defaultRowHeight="15" x14ac:dyDescent="0.25"/>
  <cols>
    <col min="1" max="1" width="10.42578125" customWidth="1"/>
    <col min="2" max="2" width="27.140625" customWidth="1"/>
    <col min="3" max="3" width="30.5703125" customWidth="1"/>
    <col min="4" max="4" width="27.140625" customWidth="1"/>
    <col min="5" max="5" width="11" bestFit="1" customWidth="1"/>
    <col min="6" max="7" width="13.5703125" bestFit="1" customWidth="1"/>
    <col min="8" max="8" width="12.140625" customWidth="1"/>
    <col min="9" max="9" width="12.42578125" customWidth="1"/>
    <col min="10" max="10" width="11.85546875" customWidth="1"/>
    <col min="11" max="11" width="9.140625" bestFit="1" customWidth="1"/>
    <col min="12" max="12" width="9" bestFit="1" customWidth="1"/>
  </cols>
  <sheetData>
    <row r="1" spans="1:12" ht="18" x14ac:dyDescent="0.25">
      <c r="A1" s="94" t="s">
        <v>7</v>
      </c>
      <c r="B1" s="94"/>
      <c r="C1" s="94"/>
      <c r="D1" s="94"/>
      <c r="E1" s="109"/>
      <c r="F1" s="109"/>
      <c r="G1" s="109"/>
      <c r="H1" s="109"/>
      <c r="I1" s="109"/>
      <c r="J1" s="109"/>
    </row>
    <row r="2" spans="1:12" ht="18" x14ac:dyDescent="0.25">
      <c r="A2" s="94" t="s">
        <v>18</v>
      </c>
      <c r="B2" s="94"/>
      <c r="C2" s="94"/>
      <c r="D2" s="94"/>
      <c r="E2" s="111"/>
      <c r="F2" s="111"/>
      <c r="G2" s="111"/>
      <c r="H2" s="111"/>
      <c r="I2" s="111"/>
      <c r="J2" s="111"/>
    </row>
    <row r="3" spans="1:12" ht="18" x14ac:dyDescent="0.25">
      <c r="A3" s="110" t="s">
        <v>19</v>
      </c>
      <c r="B3" s="110"/>
      <c r="C3" s="110"/>
      <c r="D3" s="110"/>
      <c r="E3" s="111"/>
      <c r="F3" s="111"/>
      <c r="G3" s="111"/>
      <c r="H3" s="111"/>
      <c r="I3" s="111"/>
      <c r="J3" s="111"/>
    </row>
    <row r="4" spans="1:12" ht="20.25" x14ac:dyDescent="0.3">
      <c r="A4" s="9"/>
      <c r="B4" s="18"/>
      <c r="C4" s="18"/>
      <c r="D4" s="18"/>
      <c r="E4" s="16"/>
      <c r="F4" s="16"/>
      <c r="G4" s="16"/>
      <c r="H4" s="17"/>
      <c r="I4" s="17"/>
      <c r="J4" s="17"/>
    </row>
    <row r="5" spans="1:12" ht="18.75" x14ac:dyDescent="0.3">
      <c r="A5" s="12" t="s">
        <v>20</v>
      </c>
      <c r="B5" s="19"/>
      <c r="C5" s="20"/>
      <c r="D5" s="20"/>
      <c r="E5" s="21"/>
      <c r="F5" s="21"/>
      <c r="G5" s="21"/>
      <c r="H5" s="22"/>
      <c r="I5" s="22"/>
      <c r="J5" s="22"/>
    </row>
    <row r="6" spans="1:12" ht="18.75" x14ac:dyDescent="0.3">
      <c r="A6" s="12" t="s">
        <v>9</v>
      </c>
      <c r="B6" s="19"/>
      <c r="C6" s="20"/>
      <c r="D6" s="20"/>
      <c r="E6" s="21"/>
      <c r="F6" s="21"/>
      <c r="G6" s="21"/>
      <c r="H6" s="22"/>
      <c r="I6" s="22"/>
      <c r="J6" s="22"/>
    </row>
    <row r="7" spans="1:12" x14ac:dyDescent="0.25">
      <c r="A7" s="2"/>
      <c r="B7" s="23"/>
      <c r="C7" s="23"/>
      <c r="D7" s="23"/>
      <c r="E7" s="16"/>
      <c r="F7" s="16"/>
      <c r="G7" s="16"/>
      <c r="H7" s="17"/>
      <c r="I7" s="17"/>
      <c r="J7" s="17"/>
    </row>
    <row r="8" spans="1:12" ht="18.75" x14ac:dyDescent="0.3">
      <c r="A8" s="3" t="s">
        <v>21</v>
      </c>
      <c r="B8" s="24"/>
      <c r="C8" s="24"/>
      <c r="D8" s="24"/>
      <c r="E8" s="25"/>
      <c r="F8" s="25"/>
      <c r="G8" s="25"/>
      <c r="H8" s="26"/>
      <c r="I8" s="26"/>
      <c r="J8" s="26"/>
    </row>
    <row r="9" spans="1:12" ht="60.75" thickBot="1" x14ac:dyDescent="0.3">
      <c r="A9" s="59" t="s">
        <v>0</v>
      </c>
      <c r="B9" s="27" t="s">
        <v>1</v>
      </c>
      <c r="C9" s="28" t="s">
        <v>2</v>
      </c>
      <c r="D9" s="28" t="s">
        <v>3</v>
      </c>
      <c r="E9" s="29" t="s">
        <v>10</v>
      </c>
      <c r="F9" s="30" t="s">
        <v>11</v>
      </c>
      <c r="G9" s="30" t="s">
        <v>12</v>
      </c>
      <c r="H9" s="28" t="s">
        <v>13</v>
      </c>
      <c r="I9" s="28" t="s">
        <v>14</v>
      </c>
      <c r="J9" s="28" t="s">
        <v>15</v>
      </c>
      <c r="K9" s="73" t="s">
        <v>22</v>
      </c>
      <c r="L9" s="73" t="s">
        <v>23</v>
      </c>
    </row>
    <row r="10" spans="1:12" x14ac:dyDescent="0.25">
      <c r="A10" s="60">
        <v>2021</v>
      </c>
      <c r="B10" s="75">
        <v>4165</v>
      </c>
      <c r="C10" s="72">
        <v>6713</v>
      </c>
      <c r="D10" s="72">
        <v>1314</v>
      </c>
      <c r="E10" s="113"/>
      <c r="F10" s="115"/>
      <c r="G10" s="115"/>
      <c r="H10" s="115"/>
      <c r="I10" s="115"/>
      <c r="J10" s="115"/>
      <c r="K10" s="87"/>
      <c r="L10" s="88"/>
    </row>
    <row r="11" spans="1:12" x14ac:dyDescent="0.25">
      <c r="A11" s="56">
        <v>2020</v>
      </c>
      <c r="B11" s="79">
        <v>5103</v>
      </c>
      <c r="C11" s="62">
        <v>9179</v>
      </c>
      <c r="D11" s="62">
        <v>1705</v>
      </c>
      <c r="E11" s="114"/>
      <c r="F11" s="116"/>
      <c r="G11" s="116"/>
      <c r="H11" s="116"/>
      <c r="I11" s="116"/>
      <c r="J11" s="116"/>
      <c r="K11" s="112"/>
      <c r="L11" s="112"/>
    </row>
    <row r="12" spans="1:12" x14ac:dyDescent="0.25">
      <c r="A12" s="56">
        <v>2019</v>
      </c>
      <c r="B12" s="79">
        <v>4784</v>
      </c>
      <c r="C12" s="62">
        <v>8747</v>
      </c>
      <c r="D12" s="62">
        <v>1519</v>
      </c>
      <c r="E12" s="114"/>
      <c r="F12" s="116"/>
      <c r="G12" s="116"/>
      <c r="H12" s="116"/>
      <c r="I12" s="116"/>
      <c r="J12" s="116"/>
      <c r="K12" s="76">
        <v>1328</v>
      </c>
      <c r="L12" s="76">
        <v>814</v>
      </c>
    </row>
    <row r="13" spans="1:12" x14ac:dyDescent="0.25">
      <c r="A13" s="56">
        <v>2018</v>
      </c>
      <c r="B13" s="61">
        <v>4099</v>
      </c>
      <c r="C13" s="62">
        <v>7046</v>
      </c>
      <c r="D13" s="62">
        <v>1220</v>
      </c>
      <c r="E13" s="114"/>
      <c r="F13" s="116"/>
      <c r="G13" s="116"/>
      <c r="H13" s="116"/>
      <c r="I13" s="116"/>
      <c r="J13" s="116"/>
      <c r="K13" s="76">
        <v>1268</v>
      </c>
      <c r="L13" s="76">
        <v>737</v>
      </c>
    </row>
    <row r="14" spans="1:12" x14ac:dyDescent="0.25">
      <c r="A14" s="56">
        <v>2017</v>
      </c>
      <c r="B14" s="61">
        <v>4041</v>
      </c>
      <c r="C14" s="62">
        <v>7525</v>
      </c>
      <c r="D14" s="62">
        <v>1264</v>
      </c>
      <c r="E14" s="114"/>
      <c r="F14" s="116"/>
      <c r="G14" s="116"/>
      <c r="H14" s="116"/>
      <c r="I14" s="116"/>
      <c r="J14" s="116"/>
      <c r="K14" s="76">
        <v>1273</v>
      </c>
      <c r="L14" s="76">
        <v>764</v>
      </c>
    </row>
    <row r="15" spans="1:12" x14ac:dyDescent="0.25">
      <c r="A15" s="56">
        <v>2016</v>
      </c>
      <c r="B15" s="61">
        <v>4027</v>
      </c>
      <c r="C15" s="62">
        <v>7424</v>
      </c>
      <c r="D15" s="62">
        <v>1236</v>
      </c>
      <c r="E15" s="114"/>
      <c r="F15" s="116"/>
      <c r="G15" s="116"/>
      <c r="H15" s="116"/>
      <c r="I15" s="116"/>
      <c r="J15" s="116"/>
      <c r="K15" s="76">
        <v>1254</v>
      </c>
      <c r="L15" s="76">
        <v>714</v>
      </c>
    </row>
    <row r="16" spans="1:12" x14ac:dyDescent="0.25">
      <c r="A16" s="56">
        <v>2015</v>
      </c>
      <c r="B16" s="31">
        <f>4164424/1024</f>
        <v>4066.8203125</v>
      </c>
      <c r="C16" s="31">
        <f>7611008/1024</f>
        <v>7432.625</v>
      </c>
      <c r="D16" s="31">
        <f>1082688/1024</f>
        <v>1057.3125</v>
      </c>
      <c r="E16" s="114"/>
      <c r="F16" s="116"/>
      <c r="G16" s="116"/>
      <c r="H16" s="116"/>
      <c r="I16" s="116"/>
      <c r="J16" s="116"/>
      <c r="K16" s="76">
        <v>1267</v>
      </c>
      <c r="L16" s="76">
        <v>693</v>
      </c>
    </row>
    <row r="17" spans="1:12" x14ac:dyDescent="0.25">
      <c r="A17" s="14">
        <v>2014</v>
      </c>
      <c r="B17" s="31">
        <f>4122272/1024</f>
        <v>4025.65625</v>
      </c>
      <c r="C17" s="31">
        <f>7184576/1024</f>
        <v>7016.1875</v>
      </c>
      <c r="D17" s="83">
        <f>1063680/1024</f>
        <v>1038.75</v>
      </c>
      <c r="E17" s="114"/>
      <c r="F17" s="117"/>
      <c r="G17" s="117"/>
      <c r="H17" s="117"/>
      <c r="I17" s="117"/>
      <c r="J17" s="117"/>
      <c r="K17" s="76">
        <v>1206</v>
      </c>
      <c r="L17" s="76">
        <v>633</v>
      </c>
    </row>
    <row r="18" spans="1:12" x14ac:dyDescent="0.25">
      <c r="A18" s="14">
        <v>2013</v>
      </c>
      <c r="B18" s="32">
        <f>4136088/1024</f>
        <v>4039.1484375</v>
      </c>
      <c r="C18" s="33">
        <f>6771584/1024</f>
        <v>6612.875</v>
      </c>
      <c r="D18" s="84">
        <f>1030656/1024</f>
        <v>1006.5</v>
      </c>
      <c r="E18" s="114"/>
      <c r="F18" s="85">
        <f>234484/1024</f>
        <v>228.98828125</v>
      </c>
      <c r="G18" s="34">
        <f>232252/1024</f>
        <v>226.80859375</v>
      </c>
      <c r="H18" s="35">
        <f>445320/1024</f>
        <v>434.8828125</v>
      </c>
      <c r="I18" s="35">
        <f>171920/1024</f>
        <v>167.890625</v>
      </c>
      <c r="J18" s="35">
        <f>31680/1024</f>
        <v>30.9375</v>
      </c>
      <c r="K18" s="95"/>
      <c r="L18" s="96"/>
    </row>
    <row r="19" spans="1:12" x14ac:dyDescent="0.25">
      <c r="A19" s="14">
        <v>2012</v>
      </c>
      <c r="B19" s="36">
        <f>4228224/1024</f>
        <v>4129.125</v>
      </c>
      <c r="C19" s="33">
        <f>6567488/1024</f>
        <v>6413.5625</v>
      </c>
      <c r="D19" s="33">
        <f>1014784/1024</f>
        <v>991</v>
      </c>
      <c r="E19" s="86">
        <f>1571857/1024</f>
        <v>1535.0166015625</v>
      </c>
      <c r="F19" s="34">
        <f>274412/1024</f>
        <v>267.98046875</v>
      </c>
      <c r="G19" s="34">
        <f>272304/1024</f>
        <v>265.921875</v>
      </c>
      <c r="H19" s="35">
        <f>747960/1024</f>
        <v>730.4296875</v>
      </c>
      <c r="I19" s="35">
        <f>362960/1024</f>
        <v>354.453125</v>
      </c>
      <c r="J19" s="35">
        <f>78192/1024</f>
        <v>76.359375</v>
      </c>
      <c r="K19" s="97"/>
      <c r="L19" s="98"/>
    </row>
    <row r="20" spans="1:12" x14ac:dyDescent="0.25">
      <c r="A20" s="14">
        <v>2011</v>
      </c>
      <c r="B20" s="36">
        <f>4273280/1024</f>
        <v>4173.125</v>
      </c>
      <c r="C20" s="36">
        <f>6285568/1024</f>
        <v>6138.25</v>
      </c>
      <c r="D20" s="36">
        <f>1088000/1024</f>
        <v>1062.5</v>
      </c>
      <c r="E20" s="34">
        <f>3550001/1024</f>
        <v>3466.7978515625</v>
      </c>
      <c r="F20" s="34">
        <f>259168/1024</f>
        <v>253.09375</v>
      </c>
      <c r="G20" s="34">
        <f>257040/1024</f>
        <v>251.015625</v>
      </c>
      <c r="H20" s="35">
        <f>867564/1024</f>
        <v>847.23046875</v>
      </c>
      <c r="I20" s="35">
        <f>458720/1024</f>
        <v>447.96875</v>
      </c>
      <c r="J20" s="35">
        <f>111600/1024</f>
        <v>108.984375</v>
      </c>
      <c r="K20" s="97"/>
      <c r="L20" s="98"/>
    </row>
    <row r="21" spans="1:12" x14ac:dyDescent="0.25">
      <c r="A21" s="14">
        <v>2010</v>
      </c>
      <c r="B21" s="36">
        <f>4314288/1024</f>
        <v>4213.171875</v>
      </c>
      <c r="C21" s="36">
        <f>6046208/1024</f>
        <v>5904.5</v>
      </c>
      <c r="D21" s="36">
        <f>1123008/1024</f>
        <v>1096.6875</v>
      </c>
      <c r="E21" s="34">
        <f>1492497/1024</f>
        <v>1457.5166015625</v>
      </c>
      <c r="F21" s="34">
        <f>245336/1024</f>
        <v>239.5859375</v>
      </c>
      <c r="G21" s="34">
        <f>243464/1024</f>
        <v>237.7578125</v>
      </c>
      <c r="H21" s="35">
        <f>948800/1024</f>
        <v>926.5625</v>
      </c>
      <c r="I21" s="35">
        <f>502128/1024</f>
        <v>490.359375</v>
      </c>
      <c r="J21" s="35">
        <f>152352/1024</f>
        <v>148.78125</v>
      </c>
      <c r="K21" s="97"/>
      <c r="L21" s="98"/>
    </row>
    <row r="22" spans="1:12" x14ac:dyDescent="0.25">
      <c r="A22" s="14">
        <v>2009</v>
      </c>
      <c r="B22" s="37">
        <f>4329688/1024</f>
        <v>4228.2109375</v>
      </c>
      <c r="C22" s="37">
        <f>5794688/1024</f>
        <v>5658.875</v>
      </c>
      <c r="D22" s="37">
        <f>1178816/1024</f>
        <v>1151.1875</v>
      </c>
      <c r="E22" s="34">
        <f>3690385/1024</f>
        <v>3603.8916015625</v>
      </c>
      <c r="F22" s="34">
        <f>242500/1024</f>
        <v>236.81640625</v>
      </c>
      <c r="G22" s="34">
        <f>240700/1024</f>
        <v>235.05859375</v>
      </c>
      <c r="H22" s="35">
        <f>902592/1024</f>
        <v>881.4375</v>
      </c>
      <c r="I22" s="35">
        <f>469728/1024</f>
        <v>458.71875</v>
      </c>
      <c r="J22" s="35">
        <f>154296/1024</f>
        <v>150.6796875</v>
      </c>
      <c r="K22" s="97"/>
      <c r="L22" s="98"/>
    </row>
    <row r="23" spans="1:12" x14ac:dyDescent="0.25">
      <c r="A23" s="14">
        <v>2008</v>
      </c>
      <c r="B23" s="37">
        <f>4260168/1024</f>
        <v>4160.3203125</v>
      </c>
      <c r="C23" s="37">
        <f>5251968/1024</f>
        <v>5128.875</v>
      </c>
      <c r="D23" s="37">
        <f>1362368/1024</f>
        <v>1330.4375</v>
      </c>
      <c r="E23" s="34">
        <f>3805921/1024</f>
        <v>3716.7197265625</v>
      </c>
      <c r="F23" s="34">
        <f>240900/1024</f>
        <v>235.25390625</v>
      </c>
      <c r="G23" s="34">
        <f>238800/1024</f>
        <v>233.203125</v>
      </c>
      <c r="H23" s="35">
        <f>867836/1024</f>
        <v>847.49609375</v>
      </c>
      <c r="I23" s="35">
        <f>432276/1024</f>
        <v>422.14453125</v>
      </c>
      <c r="J23" s="35">
        <f>164424/1024</f>
        <v>160.5703125</v>
      </c>
      <c r="K23" s="97"/>
      <c r="L23" s="98"/>
    </row>
    <row r="24" spans="1:12" x14ac:dyDescent="0.25">
      <c r="A24" s="14">
        <v>2007</v>
      </c>
      <c r="B24" s="38">
        <f>4213524/1024</f>
        <v>4114.76953125</v>
      </c>
      <c r="C24" s="38">
        <f>5112128/1024</f>
        <v>4992.3125</v>
      </c>
      <c r="D24" s="38">
        <f>1432384/1024</f>
        <v>1398.8125</v>
      </c>
      <c r="E24" s="39">
        <f>3752289/1024</f>
        <v>3664.3447265625</v>
      </c>
      <c r="F24" s="39">
        <f>242100/1024</f>
        <v>236.42578125</v>
      </c>
      <c r="G24" s="39">
        <f>240000/1024</f>
        <v>234.375</v>
      </c>
      <c r="H24" s="40">
        <f>879360/1024</f>
        <v>858.75</v>
      </c>
      <c r="I24" s="40">
        <f>410380/1024</f>
        <v>400.76171875</v>
      </c>
      <c r="J24" s="40">
        <f>167076/1024</f>
        <v>163.16015625</v>
      </c>
      <c r="K24" s="97"/>
      <c r="L24" s="98"/>
    </row>
    <row r="25" spans="1:12" x14ac:dyDescent="0.25">
      <c r="A25" s="14">
        <v>2006</v>
      </c>
      <c r="B25" s="38">
        <f>4197228/1024</f>
        <v>4098.85546875</v>
      </c>
      <c r="C25" s="38">
        <f>4960320/1024</f>
        <v>4844.0625</v>
      </c>
      <c r="D25" s="38">
        <f>1373248/1024</f>
        <v>1341.0625</v>
      </c>
      <c r="E25" s="39">
        <f>1502497/1024</f>
        <v>1467.2822265625</v>
      </c>
      <c r="F25" s="39">
        <f>245300/1024</f>
        <v>239.55078125</v>
      </c>
      <c r="G25" s="39">
        <f>243300/1024</f>
        <v>237.59765625</v>
      </c>
      <c r="H25" s="40">
        <f>874272/1024</f>
        <v>853.78125</v>
      </c>
      <c r="I25" s="40">
        <f>407524/1024</f>
        <v>397.97265625</v>
      </c>
      <c r="J25" s="40">
        <f>162792/1024</f>
        <v>158.9765625</v>
      </c>
      <c r="K25" s="97"/>
      <c r="L25" s="98"/>
    </row>
    <row r="26" spans="1:12" x14ac:dyDescent="0.25">
      <c r="A26" s="14">
        <v>2005</v>
      </c>
      <c r="B26" s="38">
        <f>4189920/1024</f>
        <v>4091.71875</v>
      </c>
      <c r="C26" s="38">
        <f>4978560/1024</f>
        <v>4861.875</v>
      </c>
      <c r="D26" s="38">
        <f>1333184/1024</f>
        <v>1301.9375</v>
      </c>
      <c r="E26" s="39">
        <f>1377697/1024</f>
        <v>1345.4072265625</v>
      </c>
      <c r="F26" s="39">
        <f>249300/1024</f>
        <v>243.45703125</v>
      </c>
      <c r="G26" s="39">
        <f>246900/1024</f>
        <v>241.11328125</v>
      </c>
      <c r="H26" s="40">
        <f>880608/1024</f>
        <v>859.96875</v>
      </c>
      <c r="I26" s="40">
        <f>404192/1024</f>
        <v>394.71875</v>
      </c>
      <c r="J26" s="40">
        <f>164492/1024</f>
        <v>160.63671875</v>
      </c>
      <c r="K26" s="97"/>
      <c r="L26" s="98"/>
    </row>
    <row r="27" spans="1:12" x14ac:dyDescent="0.25">
      <c r="A27" s="14">
        <v>2004</v>
      </c>
      <c r="B27" s="38">
        <f>3814720/1024</f>
        <v>3725.3125</v>
      </c>
      <c r="C27" s="41"/>
      <c r="D27" s="42"/>
      <c r="E27" s="39">
        <f>729617/1024</f>
        <v>712.5166015625</v>
      </c>
      <c r="F27" s="39">
        <f>248976/1024</f>
        <v>243.140625</v>
      </c>
      <c r="G27" s="43">
        <f>246272/1024</f>
        <v>240.5</v>
      </c>
      <c r="H27" s="101"/>
      <c r="I27" s="102"/>
      <c r="J27" s="103"/>
      <c r="K27" s="97"/>
      <c r="L27" s="98"/>
    </row>
    <row r="28" spans="1:12" x14ac:dyDescent="0.25">
      <c r="A28" s="14">
        <v>2003</v>
      </c>
      <c r="B28" s="38">
        <f>3835920/1024</f>
        <v>3746.015625</v>
      </c>
      <c r="C28" s="44"/>
      <c r="D28" s="45"/>
      <c r="E28" s="39">
        <f>739025/1024</f>
        <v>721.7041015625</v>
      </c>
      <c r="F28" s="39">
        <f>257504/1024</f>
        <v>251.46875</v>
      </c>
      <c r="G28" s="43">
        <f>255008/1024</f>
        <v>249.03125</v>
      </c>
      <c r="H28" s="104"/>
      <c r="I28" s="105"/>
      <c r="J28" s="106"/>
      <c r="K28" s="97"/>
      <c r="L28" s="98"/>
    </row>
    <row r="29" spans="1:12" x14ac:dyDescent="0.25">
      <c r="A29" s="14">
        <v>2002</v>
      </c>
      <c r="B29" s="38">
        <f>3720656/1024</f>
        <v>3633.453125</v>
      </c>
      <c r="C29" s="44"/>
      <c r="D29" s="45"/>
      <c r="E29" s="39">
        <f>739929/1024</f>
        <v>722.5869140625</v>
      </c>
      <c r="F29" s="39">
        <f>245100/1024</f>
        <v>239.35546875</v>
      </c>
      <c r="G29" s="43">
        <f>242700/1024</f>
        <v>237.01171875</v>
      </c>
      <c r="H29" s="104"/>
      <c r="I29" s="105"/>
      <c r="J29" s="106"/>
      <c r="K29" s="97"/>
      <c r="L29" s="98"/>
    </row>
    <row r="30" spans="1:12" x14ac:dyDescent="0.25">
      <c r="A30" s="14">
        <v>2001</v>
      </c>
      <c r="B30" s="38">
        <f>3671028/1024</f>
        <v>3584.98828125</v>
      </c>
      <c r="C30" s="44"/>
      <c r="D30" s="45"/>
      <c r="E30" s="39">
        <f>711505/1024</f>
        <v>694.8291015625</v>
      </c>
      <c r="F30" s="39">
        <f>244500/1024</f>
        <v>238.76953125</v>
      </c>
      <c r="G30" s="43">
        <f>241700/1024</f>
        <v>236.03515625</v>
      </c>
      <c r="H30" s="104"/>
      <c r="I30" s="105"/>
      <c r="J30" s="106"/>
      <c r="K30" s="97"/>
      <c r="L30" s="98"/>
    </row>
    <row r="31" spans="1:12" x14ac:dyDescent="0.25">
      <c r="A31" s="14">
        <v>2000</v>
      </c>
      <c r="B31" s="38">
        <f>3435336/1024</f>
        <v>3354.8203125</v>
      </c>
      <c r="C31" s="44"/>
      <c r="D31" s="45"/>
      <c r="E31" s="39">
        <f>725329/1024</f>
        <v>708.3291015625</v>
      </c>
      <c r="F31" s="39">
        <f>242200/1024</f>
        <v>236.5234375</v>
      </c>
      <c r="G31" s="43">
        <f>239800/1024</f>
        <v>234.1796875</v>
      </c>
      <c r="H31" s="104"/>
      <c r="I31" s="105"/>
      <c r="J31" s="106"/>
      <c r="K31" s="97"/>
      <c r="L31" s="98"/>
    </row>
    <row r="32" spans="1:12" x14ac:dyDescent="0.25">
      <c r="A32" s="14">
        <v>1999</v>
      </c>
      <c r="B32" s="38">
        <f>2876753/1024</f>
        <v>2809.3291015625</v>
      </c>
      <c r="C32" s="44"/>
      <c r="D32" s="45"/>
      <c r="E32" s="39">
        <f>707201/1024</f>
        <v>690.6259765625</v>
      </c>
      <c r="F32" s="39">
        <f>242700/1024</f>
        <v>237.01171875</v>
      </c>
      <c r="G32" s="43">
        <f>240100/1024</f>
        <v>234.47265625</v>
      </c>
      <c r="H32" s="104"/>
      <c r="I32" s="105"/>
      <c r="J32" s="106"/>
      <c r="K32" s="97"/>
      <c r="L32" s="98"/>
    </row>
    <row r="33" spans="1:12" x14ac:dyDescent="0.25">
      <c r="A33" s="14">
        <v>1998</v>
      </c>
      <c r="B33" s="38">
        <f>2838449/1024</f>
        <v>2771.9228515625</v>
      </c>
      <c r="C33" s="44"/>
      <c r="D33" s="45"/>
      <c r="E33" s="39">
        <f>714305/1024</f>
        <v>697.5634765625</v>
      </c>
      <c r="F33" s="39">
        <f>243400/1024</f>
        <v>237.6953125</v>
      </c>
      <c r="G33" s="43">
        <f>240500/1024</f>
        <v>234.86328125</v>
      </c>
      <c r="H33" s="104"/>
      <c r="I33" s="105"/>
      <c r="J33" s="106"/>
      <c r="K33" s="97"/>
      <c r="L33" s="98"/>
    </row>
    <row r="34" spans="1:12" x14ac:dyDescent="0.25">
      <c r="A34" s="14">
        <v>1997</v>
      </c>
      <c r="B34" s="38">
        <f>2808193/1024</f>
        <v>2742.3759765625</v>
      </c>
      <c r="C34" s="44"/>
      <c r="D34" s="45"/>
      <c r="E34" s="39">
        <f>725377/1024</f>
        <v>708.3759765625</v>
      </c>
      <c r="F34" s="39">
        <f>237000/1024</f>
        <v>231.4453125</v>
      </c>
      <c r="G34" s="43">
        <f>234900/1024</f>
        <v>229.39453125</v>
      </c>
      <c r="H34" s="104"/>
      <c r="I34" s="105"/>
      <c r="J34" s="106"/>
      <c r="K34" s="97"/>
      <c r="L34" s="98"/>
    </row>
    <row r="35" spans="1:12" x14ac:dyDescent="0.25">
      <c r="A35" s="14">
        <v>1996</v>
      </c>
      <c r="B35" s="38">
        <f>2767393/1024</f>
        <v>2702.5322265625</v>
      </c>
      <c r="C35" s="44"/>
      <c r="D35" s="45"/>
      <c r="E35" s="39">
        <f>739953/1024</f>
        <v>722.6103515625</v>
      </c>
      <c r="F35" s="39">
        <f>230900/1024</f>
        <v>225.48828125</v>
      </c>
      <c r="G35" s="43">
        <f>230600/1024</f>
        <v>225.1953125</v>
      </c>
      <c r="H35" s="104"/>
      <c r="I35" s="105"/>
      <c r="J35" s="106"/>
      <c r="K35" s="97"/>
      <c r="L35" s="98"/>
    </row>
    <row r="36" spans="1:12" x14ac:dyDescent="0.25">
      <c r="A36" s="14">
        <v>1995</v>
      </c>
      <c r="B36" s="38">
        <f>2765217/1024</f>
        <v>2700.4072265625</v>
      </c>
      <c r="C36" s="44"/>
      <c r="D36" s="45"/>
      <c r="E36" s="39">
        <f>757041/1024</f>
        <v>739.2978515625</v>
      </c>
      <c r="F36" s="39">
        <f>225300/1024</f>
        <v>220.01953125</v>
      </c>
      <c r="G36" s="43">
        <f>224600/1024</f>
        <v>219.3359375</v>
      </c>
      <c r="H36" s="104"/>
      <c r="I36" s="105"/>
      <c r="J36" s="106"/>
      <c r="K36" s="97"/>
      <c r="L36" s="98"/>
    </row>
    <row r="37" spans="1:12" x14ac:dyDescent="0.25">
      <c r="A37" s="14">
        <v>1994</v>
      </c>
      <c r="B37" s="38">
        <f>2636737/1024</f>
        <v>2574.9384765625</v>
      </c>
      <c r="C37" s="44"/>
      <c r="D37" s="45"/>
      <c r="E37" s="39">
        <f>789841/1024</f>
        <v>771.3291015625</v>
      </c>
      <c r="F37" s="39">
        <f>222816/1024</f>
        <v>217.59375</v>
      </c>
      <c r="G37" s="43">
        <f>222528/1024</f>
        <v>217.3125</v>
      </c>
      <c r="H37" s="104"/>
      <c r="I37" s="105"/>
      <c r="J37" s="106"/>
      <c r="K37" s="97"/>
      <c r="L37" s="98"/>
    </row>
    <row r="38" spans="1:12" x14ac:dyDescent="0.25">
      <c r="A38" s="14">
        <v>1993</v>
      </c>
      <c r="B38" s="38">
        <f>2665217/1024</f>
        <v>2602.7509765625</v>
      </c>
      <c r="C38" s="44"/>
      <c r="D38" s="45"/>
      <c r="E38" s="39">
        <f>788369/1024</f>
        <v>769.8916015625</v>
      </c>
      <c r="F38" s="39">
        <f>222912/1024</f>
        <v>217.6875</v>
      </c>
      <c r="G38" s="43">
        <f>222240/1024</f>
        <v>217.03125</v>
      </c>
      <c r="H38" s="104"/>
      <c r="I38" s="105"/>
      <c r="J38" s="106"/>
      <c r="K38" s="97"/>
      <c r="L38" s="98"/>
    </row>
    <row r="39" spans="1:12" x14ac:dyDescent="0.25">
      <c r="A39" s="14">
        <v>1992</v>
      </c>
      <c r="B39" s="38">
        <f>2699697/1024</f>
        <v>2636.4228515625</v>
      </c>
      <c r="C39" s="44"/>
      <c r="D39" s="45"/>
      <c r="E39" s="39">
        <f>810001/1024</f>
        <v>791.0166015625</v>
      </c>
      <c r="F39" s="39">
        <f>218496/1024</f>
        <v>213.375</v>
      </c>
      <c r="G39" s="43">
        <f>217536/1024</f>
        <v>212.4375</v>
      </c>
      <c r="H39" s="104"/>
      <c r="I39" s="105"/>
      <c r="J39" s="106"/>
      <c r="K39" s="97"/>
      <c r="L39" s="98"/>
    </row>
    <row r="40" spans="1:12" x14ac:dyDescent="0.25">
      <c r="A40" s="14">
        <v>1991</v>
      </c>
      <c r="B40" s="38">
        <f>2709153/1024</f>
        <v>2645.6572265625</v>
      </c>
      <c r="C40" s="44"/>
      <c r="D40" s="45"/>
      <c r="E40" s="46">
        <f>814241/1024</f>
        <v>795.1572265625</v>
      </c>
      <c r="F40" s="39">
        <f>216480/1024</f>
        <v>211.40625</v>
      </c>
      <c r="G40" s="43">
        <f>215808/1024</f>
        <v>210.75</v>
      </c>
      <c r="H40" s="104"/>
      <c r="I40" s="105"/>
      <c r="J40" s="106"/>
      <c r="K40" s="97"/>
      <c r="L40" s="98"/>
    </row>
    <row r="41" spans="1:12" x14ac:dyDescent="0.25">
      <c r="A41" s="14">
        <v>1990</v>
      </c>
      <c r="B41" s="38">
        <f>2582145/1024</f>
        <v>2521.6259765625</v>
      </c>
      <c r="C41" s="44"/>
      <c r="D41" s="47"/>
      <c r="E41" s="48"/>
      <c r="F41" s="39">
        <f>103392/1024</f>
        <v>100.96875</v>
      </c>
      <c r="G41" s="43">
        <f>102816/1024</f>
        <v>100.40625</v>
      </c>
      <c r="H41" s="104"/>
      <c r="I41" s="105"/>
      <c r="J41" s="106"/>
      <c r="K41" s="97"/>
      <c r="L41" s="98"/>
    </row>
    <row r="42" spans="1:12" x14ac:dyDescent="0.25">
      <c r="A42" s="14">
        <v>1989</v>
      </c>
      <c r="B42" s="38">
        <f>939953/1024</f>
        <v>917.9228515625</v>
      </c>
      <c r="C42" s="44"/>
      <c r="D42" s="47"/>
      <c r="E42" s="49"/>
      <c r="F42" s="50"/>
      <c r="G42" s="50"/>
      <c r="H42" s="105"/>
      <c r="I42" s="105"/>
      <c r="J42" s="106"/>
      <c r="K42" s="97"/>
      <c r="L42" s="98"/>
    </row>
    <row r="43" spans="1:12" x14ac:dyDescent="0.25">
      <c r="A43" s="14">
        <v>1988</v>
      </c>
      <c r="B43" s="38">
        <f>929089/1024</f>
        <v>907.3134765625</v>
      </c>
      <c r="C43" s="44"/>
      <c r="D43" s="47"/>
      <c r="E43" s="49"/>
      <c r="F43" s="49"/>
      <c r="G43" s="49"/>
      <c r="H43" s="105"/>
      <c r="I43" s="105"/>
      <c r="J43" s="106"/>
      <c r="K43" s="97"/>
      <c r="L43" s="98"/>
    </row>
    <row r="44" spans="1:12" x14ac:dyDescent="0.25">
      <c r="A44" s="14">
        <v>1987</v>
      </c>
      <c r="B44" s="38">
        <f>914033/1024</f>
        <v>892.6103515625</v>
      </c>
      <c r="C44" s="44"/>
      <c r="D44" s="47"/>
      <c r="E44" s="49"/>
      <c r="F44" s="49"/>
      <c r="G44" s="49"/>
      <c r="H44" s="105"/>
      <c r="I44" s="105"/>
      <c r="J44" s="106"/>
      <c r="K44" s="97"/>
      <c r="L44" s="98"/>
    </row>
    <row r="45" spans="1:12" x14ac:dyDescent="0.25">
      <c r="A45" s="14">
        <v>1986</v>
      </c>
      <c r="B45" s="38">
        <f>902577/1024</f>
        <v>881.4228515625</v>
      </c>
      <c r="C45" s="44"/>
      <c r="D45" s="47"/>
      <c r="E45" s="49"/>
      <c r="F45" s="49"/>
      <c r="G45" s="49"/>
      <c r="H45" s="105"/>
      <c r="I45" s="105"/>
      <c r="J45" s="106"/>
      <c r="K45" s="97"/>
      <c r="L45" s="98"/>
    </row>
    <row r="46" spans="1:12" x14ac:dyDescent="0.25">
      <c r="A46" s="14">
        <v>1985</v>
      </c>
      <c r="B46" s="38">
        <f>900897/1024</f>
        <v>879.7822265625</v>
      </c>
      <c r="C46" s="44"/>
      <c r="D46" s="47"/>
      <c r="E46" s="49"/>
      <c r="F46" s="49"/>
      <c r="G46" s="49"/>
      <c r="H46" s="105"/>
      <c r="I46" s="105"/>
      <c r="J46" s="106"/>
      <c r="K46" s="97"/>
      <c r="L46" s="98"/>
    </row>
    <row r="47" spans="1:12" x14ac:dyDescent="0.25">
      <c r="A47" s="14">
        <v>1984</v>
      </c>
      <c r="B47" s="38">
        <f>904705/1024</f>
        <v>883.5009765625</v>
      </c>
      <c r="C47" s="44"/>
      <c r="D47" s="47"/>
      <c r="E47" s="49"/>
      <c r="F47" s="49"/>
      <c r="G47" s="49"/>
      <c r="H47" s="105"/>
      <c r="I47" s="105"/>
      <c r="J47" s="106"/>
      <c r="K47" s="97"/>
      <c r="L47" s="98"/>
    </row>
    <row r="48" spans="1:12" x14ac:dyDescent="0.25">
      <c r="A48" s="14">
        <v>1983</v>
      </c>
      <c r="B48" s="38">
        <f>903617/1024</f>
        <v>882.4384765625</v>
      </c>
      <c r="C48" s="51"/>
      <c r="D48" s="52"/>
      <c r="E48" s="53"/>
      <c r="F48" s="53"/>
      <c r="G48" s="53"/>
      <c r="H48" s="107"/>
      <c r="I48" s="107"/>
      <c r="J48" s="108"/>
      <c r="K48" s="99"/>
      <c r="L48" s="100"/>
    </row>
  </sheetData>
  <mergeCells count="9">
    <mergeCell ref="K18:L48"/>
    <mergeCell ref="H27:J48"/>
    <mergeCell ref="A1:J1"/>
    <mergeCell ref="A3:J3"/>
    <mergeCell ref="A2:J2"/>
    <mergeCell ref="K11:L11"/>
    <mergeCell ref="E10:E16"/>
    <mergeCell ref="E17:E18"/>
    <mergeCell ref="F10:J17"/>
  </mergeCells>
  <pageMargins left="0.25" right="0.25" top="0.5" bottom="1" header="0.3" footer="0.3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C6D0BB7634BB51CF3CE68C5B16D" ma:contentTypeVersion="16" ma:contentTypeDescription="Create a new document." ma:contentTypeScope="" ma:versionID="67ed3524ae65f094deb093a7d4270568">
  <xsd:schema xmlns:xsd="http://www.w3.org/2001/XMLSchema" xmlns:xs="http://www.w3.org/2001/XMLSchema" xmlns:p="http://schemas.microsoft.com/office/2006/metadata/properties" xmlns:ns1="http://schemas.microsoft.com/sharepoint/v3" xmlns:ns2="de12b8b4-6dc7-4dca-8d6a-36bee453234d" xmlns:ns3="12cb83fd-8f6f-420e-9520-f76c36d279c3" targetNamespace="http://schemas.microsoft.com/office/2006/metadata/properties" ma:root="true" ma:fieldsID="0b54e11b54c798bdd681a7c759c44fb3" ns1:_="" ns2:_="" ns3:_="">
    <xsd:import namespace="http://schemas.microsoft.com/sharepoint/v3"/>
    <xsd:import namespace="de12b8b4-6dc7-4dca-8d6a-36bee453234d"/>
    <xsd:import namespace="12cb83fd-8f6f-420e-9520-f76c36d279c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9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0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2b8b4-6dc7-4dca-8d6a-36bee453234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description="Enter the year the report was compiled." ma:internalName="Year" ma:readOnly="false">
      <xsd:simpleType>
        <xsd:restriction base="dms:Text">
          <xsd:maxLength value="255"/>
        </xsd:restriction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b83fd-8f6f-420e-9520-f76c36d27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Year xmlns="de12b8b4-6dc7-4dca-8d6a-36bee453234d" xsi:nil="true"/>
  </documentManagement>
</p:properties>
</file>

<file path=customXml/itemProps1.xml><?xml version="1.0" encoding="utf-8"?>
<ds:datastoreItem xmlns:ds="http://schemas.openxmlformats.org/officeDocument/2006/customXml" ds:itemID="{8CB9B309-8CB3-42E3-BFF8-413715FF6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e12b8b4-6dc7-4dca-8d6a-36bee453234d"/>
    <ds:schemaRef ds:uri="12cb83fd-8f6f-420e-9520-f76c36d27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6C5ED6-8011-46A0-A924-2D1951C172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11AAA9-2CD6-4E0A-93B4-0083B69B233A}">
  <ds:schemaRefs>
    <ds:schemaRef ds:uri="http://schemas.openxmlformats.org/package/2006/metadata/core-properties"/>
    <ds:schemaRef ds:uri="de12b8b4-6dc7-4dca-8d6a-36bee453234d"/>
    <ds:schemaRef ds:uri="http://schemas.microsoft.com/sharepoint/v3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12cb83fd-8f6f-420e-9520-f76c36d279c3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AB2876 &amp; PUF Data set file size</vt:lpstr>
      <vt:lpstr>Full SAS Data set file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File Sizes</dc:title>
  <dc:subject>Table of file sizes of OSHPD patient-level data sets</dc:subject>
  <dc:creator>OSHPD/HID/HIRC/DAU</dc:creator>
  <cp:keywords>Patient-level, discharge, inpatient, emergency department, ambulatory surgery, AB2876, IPA, public, file size</cp:keywords>
  <dc:description>If you need assistance with this document, please email DataandReports@oshpd.ca.gov or call us at (916) 326-3802</dc:description>
  <cp:lastModifiedBy>Neeley, Jasmine@OSHPD</cp:lastModifiedBy>
  <cp:lastPrinted>2016-06-30T16:28:40Z</cp:lastPrinted>
  <dcterms:created xsi:type="dcterms:W3CDTF">2012-04-26T20:12:36Z</dcterms:created>
  <dcterms:modified xsi:type="dcterms:W3CDTF">2022-08-29T21:49:41Z</dcterms:modified>
  <cp:category>If you need assistance with this document, please email DataandReports@oshpd.ca.gov or call us at (916) 326-3802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0x0101000B8E0C6D0BB7634BB51CF3CE68C5B16D</vt:lpwstr>
  </property>
</Properties>
</file>