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855" yWindow="30" windowWidth="11505" windowHeight="9630"/>
  </bookViews>
  <sheets>
    <sheet name="CR5 final" sheetId="1" r:id="rId1"/>
  </sheets>
  <definedNames>
    <definedName name="_xlnm.Print_Area" localSheetId="0">'CR5 final'!$B$1:$B$2</definedName>
  </definedNames>
  <calcPr calcId="125725"/>
</workbook>
</file>

<file path=xl/calcChain.xml><?xml version="1.0" encoding="utf-8"?>
<calcChain xmlns="http://schemas.openxmlformats.org/spreadsheetml/2006/main">
  <c r="U16" i="1"/>
  <c r="U15"/>
  <c r="U14"/>
  <c r="U13"/>
  <c r="U12"/>
  <c r="U11"/>
  <c r="U10"/>
  <c r="U9"/>
  <c r="U8"/>
  <c r="U7"/>
  <c r="U5"/>
  <c r="U4"/>
  <c r="U3"/>
  <c r="U6"/>
  <c r="S5"/>
  <c r="I16"/>
  <c r="I15"/>
  <c r="I14"/>
  <c r="I13"/>
  <c r="I12"/>
  <c r="I11"/>
  <c r="I10"/>
  <c r="I9"/>
  <c r="I8"/>
  <c r="I7"/>
  <c r="I6"/>
  <c r="I4"/>
  <c r="I5"/>
  <c r="P16"/>
  <c r="P15"/>
  <c r="P14"/>
  <c r="P13"/>
  <c r="P12"/>
  <c r="P11"/>
  <c r="P10"/>
  <c r="P9"/>
  <c r="P8"/>
  <c r="P7"/>
  <c r="P6"/>
  <c r="P4"/>
  <c r="P3"/>
  <c r="P5"/>
  <c r="G5"/>
  <c r="G16"/>
  <c r="G15"/>
  <c r="G14"/>
  <c r="G13"/>
  <c r="G12"/>
  <c r="G11"/>
  <c r="G10"/>
  <c r="G9"/>
  <c r="G8"/>
  <c r="G7"/>
  <c r="G6"/>
  <c r="G4"/>
  <c r="G3" l="1"/>
  <c r="K16"/>
  <c r="M16" s="1"/>
  <c r="K15"/>
  <c r="M15" s="1"/>
  <c r="O16" l="1"/>
  <c r="Q16" s="1"/>
  <c r="O15"/>
  <c r="Q15" s="1"/>
  <c r="K14"/>
  <c r="M14" s="1"/>
  <c r="K13"/>
  <c r="M13" s="1"/>
  <c r="K12"/>
  <c r="M12" s="1"/>
  <c r="K11"/>
  <c r="M11" s="1"/>
  <c r="K10"/>
  <c r="M10" s="1"/>
  <c r="K9"/>
  <c r="M9" s="1"/>
  <c r="K8"/>
  <c r="M8" s="1"/>
  <c r="K7"/>
  <c r="M7" s="1"/>
  <c r="K6"/>
  <c r="M6" s="1"/>
  <c r="T16" l="1"/>
  <c r="S16"/>
  <c r="T15"/>
  <c r="S15"/>
  <c r="O14"/>
  <c r="Q14" s="1"/>
  <c r="O13"/>
  <c r="Q13" s="1"/>
  <c r="O12"/>
  <c r="Q12" s="1"/>
  <c r="O11"/>
  <c r="Q11" s="1"/>
  <c r="O10"/>
  <c r="Q10" s="1"/>
  <c r="O9"/>
  <c r="Q9" s="1"/>
  <c r="O8"/>
  <c r="Q8" s="1"/>
  <c r="O7"/>
  <c r="Q7" s="1"/>
  <c r="O6"/>
  <c r="Q6" s="1"/>
  <c r="K5"/>
  <c r="M5" s="1"/>
  <c r="I3"/>
  <c r="K4"/>
  <c r="M4" s="1"/>
  <c r="S11" l="1"/>
  <c r="T14"/>
  <c r="S14"/>
  <c r="S13"/>
  <c r="T13"/>
  <c r="T12"/>
  <c r="S12"/>
  <c r="T11"/>
  <c r="T10"/>
  <c r="S10"/>
  <c r="T9"/>
  <c r="S9"/>
  <c r="S8"/>
  <c r="T8"/>
  <c r="T7"/>
  <c r="S7"/>
  <c r="T6"/>
  <c r="S6"/>
  <c r="O5"/>
  <c r="K3"/>
  <c r="Q5" l="1"/>
  <c r="T5"/>
  <c r="M3"/>
  <c r="O4"/>
  <c r="Q4" s="1"/>
  <c r="O3" l="1"/>
  <c r="Q3" s="1"/>
  <c r="S4"/>
  <c r="T4"/>
  <c r="T3" l="1"/>
  <c r="S3"/>
  <c r="L1"/>
</calcChain>
</file>

<file path=xl/sharedStrings.xml><?xml version="1.0" encoding="utf-8"?>
<sst xmlns="http://schemas.openxmlformats.org/spreadsheetml/2006/main" count="49" uniqueCount="49">
  <si>
    <t>Number of returns</t>
  </si>
  <si>
    <t>Total receipts</t>
  </si>
  <si>
    <t>Net income, less deficit (real)</t>
  </si>
  <si>
    <t>Net income, less deficit (proposed)</t>
  </si>
  <si>
    <t>Income subject to tax (proposed)</t>
  </si>
  <si>
    <t>Income subject to tax (real)</t>
  </si>
  <si>
    <t>Total income tax before credits (real)</t>
  </si>
  <si>
    <t>Size of Receipts</t>
  </si>
  <si>
    <t>ALL</t>
  </si>
  <si>
    <t>$100,000 - $250,000</t>
  </si>
  <si>
    <t>$250,000 - $500,000</t>
  </si>
  <si>
    <t>$500,000 - $1,000,000</t>
  </si>
  <si>
    <t xml:space="preserve"> $5,000,000 - $10,000,000</t>
  </si>
  <si>
    <t>$10,000,000 - $50,000,000</t>
  </si>
  <si>
    <t xml:space="preserve"> $50,000,000 - $100,000,000</t>
  </si>
  <si>
    <t xml:space="preserve"> $100,000,000 - $250,000,000</t>
  </si>
  <si>
    <t>$25,000 - $100,000</t>
  </si>
  <si>
    <t>Under $25,000</t>
  </si>
  <si>
    <t>Proposed universal tax rate:</t>
  </si>
  <si>
    <t>Net Gain/Loss in taxes:</t>
  </si>
  <si>
    <t>Income tax after credits (real)</t>
  </si>
  <si>
    <t>Income tax before credits (proposed)</t>
  </si>
  <si>
    <t>Income tax after credits (proposed)</t>
  </si>
  <si>
    <t>Avg tax change per corporation (dollars)</t>
  </si>
  <si>
    <t>Avg tax change per corporation (percentage)</t>
  </si>
  <si>
    <t>Avg effective net income change per corporation (percentage)</t>
  </si>
  <si>
    <t>Proposed Deduction per active corporation:</t>
  </si>
  <si>
    <t>Tax Items, Tax Year 2015</t>
  </si>
  <si>
    <t xml:space="preserve">Notes: </t>
  </si>
  <si>
    <t>* Estimate should be used with caution because of the small number of sample returns on which it is based.</t>
  </si>
  <si>
    <t>d - To avoid disclosure of information for specific corporations, these data have been deleted.  Data are included in appropriate totals.</t>
  </si>
  <si>
    <t>Detail may not add to total because of rounding.  See "Explanation of Terms" and "Description of the Sample and Limitations of the Data."</t>
  </si>
  <si>
    <t>[1] Size of total receipts was used in lieu of size of business receipts to classify statistics for corporations in “Finance and Insurance,” and “Management of Companies (Holding Companies)” sectors.</t>
  </si>
  <si>
    <t>[2] This amount includes returns with zero receipts and receipts not reported.</t>
  </si>
  <si>
    <t>[3]  Includes deductions specific to Form 1120-PC and Form 1120-RIC, which are not shown separately.</t>
  </si>
  <si>
    <t>[4] Deductions includes "Cost of goods sold", which includes death benefits filed by 1120-L returns, and losses incurred filed by 1120-PC returns, which are shown separately in Table 12.</t>
  </si>
  <si>
    <t xml:space="preserve"> $250,000,000 - $500,000,000</t>
  </si>
  <si>
    <t xml:space="preserve"> $500,000,000 - $1,000,000,000</t>
  </si>
  <si>
    <t>$1,000,000 - $5,000,000</t>
  </si>
  <si>
    <t>$1,000,000,000 or more</t>
  </si>
  <si>
    <t>Source: IRS, Statistics of Income Division: 2015 Publication 16, November 2019.</t>
  </si>
  <si>
    <t>Avg Effective Tax Rate (real)</t>
  </si>
  <si>
    <t>Avg Effective Tax    Rate (proposed)</t>
  </si>
  <si>
    <t>Total pass-through deductions [3] [4] (proposed)</t>
  </si>
  <si>
    <t>Other Deductions not included in proposal</t>
  </si>
  <si>
    <t>[5]  Proposed Deductions includes Cost of goods sold, salaries and wages, employee benefit programs, and charitable donations</t>
  </si>
  <si>
    <t>Deductions included in proposal [3] [4] [5]</t>
  </si>
  <si>
    <t xml:space="preserve">Total pass-through deductions [3] [4] (real) </t>
  </si>
  <si>
    <t>CHANGE CELLS H1 &amp; J1  ------&gt;&gt;&gt;</t>
  </si>
</sst>
</file>

<file path=xl/styles.xml><?xml version="1.0" encoding="utf-8"?>
<styleSheet xmlns="http://schemas.openxmlformats.org/spreadsheetml/2006/main">
  <numFmts count="2">
    <numFmt numFmtId="164" formatCode="\(#,##0\)"/>
    <numFmt numFmtId="165" formatCode="&quot;$&quot;#,##0"/>
  </numFmts>
  <fonts count="13">
    <font>
      <sz val="10"/>
      <name val="Arial"/>
    </font>
    <font>
      <b/>
      <sz val="10"/>
      <name val="Helvetica"/>
      <family val="2"/>
    </font>
    <font>
      <sz val="7"/>
      <name val="Helvetica"/>
      <family val="2"/>
    </font>
    <font>
      <sz val="6.5"/>
      <name val="Arial"/>
      <family val="2"/>
    </font>
    <font>
      <b/>
      <sz val="7"/>
      <name val="Helvetica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8"/>
      <name val="MS Sans Serif"/>
      <family val="2"/>
    </font>
    <font>
      <b/>
      <sz val="8"/>
      <color rgb="FFFF000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2" fillId="0" borderId="1">
      <alignment horizontal="center"/>
    </xf>
    <xf numFmtId="0" fontId="1" fillId="0" borderId="0">
      <alignment horizontal="left"/>
    </xf>
    <xf numFmtId="164" fontId="4" fillId="0" borderId="0" applyNumberFormat="0" applyBorder="0"/>
    <xf numFmtId="0" fontId="12" fillId="0" borderId="0"/>
  </cellStyleXfs>
  <cellXfs count="15">
    <xf numFmtId="0" fontId="0" fillId="0" borderId="0" xfId="0"/>
    <xf numFmtId="0" fontId="6" fillId="0" borderId="2" xfId="0" applyFont="1" applyBorder="1"/>
    <xf numFmtId="0" fontId="3" fillId="0" borderId="2" xfId="0" applyFont="1" applyBorder="1"/>
    <xf numFmtId="3" fontId="9" fillId="0" borderId="2" xfId="0" applyNumberFormat="1" applyFont="1" applyFill="1" applyBorder="1" applyAlignment="1">
      <alignment horizontal="right"/>
    </xf>
    <xf numFmtId="0" fontId="8" fillId="0" borderId="2" xfId="3" applyFont="1" applyBorder="1" applyAlignment="1">
      <alignment horizontal="left" vertical="center"/>
    </xf>
    <xf numFmtId="0" fontId="5" fillId="0" borderId="2" xfId="4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0" fontId="9" fillId="0" borderId="2" xfId="0" applyNumberFormat="1" applyFont="1" applyFill="1" applyBorder="1" applyAlignment="1">
      <alignment horizontal="right"/>
    </xf>
    <xf numFmtId="165" fontId="9" fillId="0" borderId="2" xfId="0" applyNumberFormat="1" applyFont="1" applyFill="1" applyBorder="1" applyAlignment="1">
      <alignment horizontal="right"/>
    </xf>
    <xf numFmtId="0" fontId="11" fillId="0" borderId="2" xfId="0" applyFont="1" applyBorder="1" applyAlignment="1">
      <alignment horizontal="left" vertical="top" wrapText="1"/>
    </xf>
    <xf numFmtId="165" fontId="6" fillId="0" borderId="2" xfId="0" applyNumberFormat="1" applyFont="1" applyBorder="1" applyAlignment="1">
      <alignment horizontal="left" vertical="top"/>
    </xf>
    <xf numFmtId="9" fontId="6" fillId="0" borderId="2" xfId="0" applyNumberFormat="1" applyFont="1" applyBorder="1" applyAlignment="1">
      <alignment horizontal="left" vertical="top"/>
    </xf>
    <xf numFmtId="0" fontId="10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3" fontId="6" fillId="0" borderId="2" xfId="5" applyNumberFormat="1" applyFont="1" applyBorder="1" applyAlignment="1">
      <alignment horizontal="right"/>
    </xf>
  </cellXfs>
  <cellStyles count="6">
    <cellStyle name="Normal" xfId="0" builtinId="0"/>
    <cellStyle name="Normal 2" xfId="1"/>
    <cellStyle name="Normal 3" xfId="5"/>
    <cellStyle name="style_col_headings" xfId="2"/>
    <cellStyle name="style_titles" xfId="3"/>
    <cellStyle name="style_totals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U26"/>
  <sheetViews>
    <sheetView showGridLines="0" tabSelected="1" zoomScaleNormal="100" workbookViewId="0">
      <pane xSplit="2" ySplit="2" topLeftCell="C3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9"/>
  <cols>
    <col min="1" max="1" width="18.28515625" style="2" customWidth="1"/>
    <col min="2" max="2" width="11.7109375" style="2" customWidth="1"/>
    <col min="3" max="3" width="14.85546875" style="2" bestFit="1" customWidth="1"/>
    <col min="4" max="5" width="14.85546875" style="2" customWidth="1"/>
    <col min="6" max="6" width="15.7109375" style="2" customWidth="1"/>
    <col min="7" max="7" width="15.7109375" style="2" bestFit="1" customWidth="1"/>
    <col min="8" max="8" width="14" style="2" bestFit="1" customWidth="1"/>
    <col min="9" max="9" width="15.42578125" style="2" customWidth="1"/>
    <col min="10" max="10" width="15.85546875" style="2" customWidth="1"/>
    <col min="11" max="11" width="16" style="2" customWidth="1"/>
    <col min="12" max="12" width="15.28515625" style="2" customWidth="1"/>
    <col min="13" max="13" width="14.85546875" style="2" bestFit="1" customWidth="1"/>
    <col min="14" max="14" width="14.28515625" style="2" customWidth="1"/>
    <col min="15" max="15" width="17.5703125" style="2" customWidth="1"/>
    <col min="16" max="16" width="12.140625" style="2" customWidth="1"/>
    <col min="17" max="17" width="14.42578125" style="2" customWidth="1"/>
    <col min="18" max="18" width="9.140625" style="2"/>
    <col min="19" max="19" width="13.5703125" style="2" bestFit="1" customWidth="1"/>
    <col min="20" max="20" width="13.28515625" style="2" customWidth="1"/>
    <col min="21" max="21" width="14.42578125" style="2" bestFit="1" customWidth="1"/>
    <col min="22" max="16384" width="9.140625" style="2"/>
  </cols>
  <sheetData>
    <row r="1" spans="1:21" s="1" customFormat="1" ht="33.75">
      <c r="A1" s="4" t="s">
        <v>27</v>
      </c>
      <c r="B1" s="4"/>
      <c r="C1" s="9" t="s">
        <v>48</v>
      </c>
      <c r="D1" s="9"/>
      <c r="E1" s="9"/>
      <c r="G1" s="13" t="s">
        <v>26</v>
      </c>
      <c r="H1" s="10">
        <v>3500000</v>
      </c>
      <c r="I1" s="13" t="s">
        <v>18</v>
      </c>
      <c r="J1" s="11">
        <v>0.3</v>
      </c>
      <c r="K1" s="13" t="s">
        <v>19</v>
      </c>
      <c r="L1" s="12" t="str">
        <f>TEXT(O3-N3,"$#,###") &amp; CHAR(10) &amp; "(" &amp; ROUND((O3-N3)*100/N3,2) &amp; "%)"</f>
        <v>$2,021,390,402,400
(613.24%)</v>
      </c>
    </row>
    <row r="2" spans="1:21" s="6" customFormat="1" ht="45">
      <c r="A2" s="5" t="s">
        <v>7</v>
      </c>
      <c r="B2" s="5" t="s">
        <v>0</v>
      </c>
      <c r="C2" s="5" t="s">
        <v>1</v>
      </c>
      <c r="D2" s="5" t="s">
        <v>46</v>
      </c>
      <c r="E2" s="5" t="s">
        <v>44</v>
      </c>
      <c r="F2" s="5" t="s">
        <v>47</v>
      </c>
      <c r="G2" s="5" t="s">
        <v>43</v>
      </c>
      <c r="H2" s="5" t="s">
        <v>2</v>
      </c>
      <c r="I2" s="5" t="s">
        <v>3</v>
      </c>
      <c r="J2" s="5" t="s">
        <v>5</v>
      </c>
      <c r="K2" s="5" t="s">
        <v>4</v>
      </c>
      <c r="L2" s="5" t="s">
        <v>6</v>
      </c>
      <c r="M2" s="5" t="s">
        <v>21</v>
      </c>
      <c r="N2" s="5" t="s">
        <v>20</v>
      </c>
      <c r="O2" s="5" t="s">
        <v>22</v>
      </c>
      <c r="P2" s="5" t="s">
        <v>41</v>
      </c>
      <c r="Q2" s="5" t="s">
        <v>42</v>
      </c>
      <c r="R2" s="5"/>
      <c r="S2" s="5" t="s">
        <v>23</v>
      </c>
      <c r="T2" s="5" t="s">
        <v>24</v>
      </c>
      <c r="U2" s="5" t="s">
        <v>25</v>
      </c>
    </row>
    <row r="3" spans="1:21" s="3" customFormat="1" ht="11.25">
      <c r="A3" s="2" t="s">
        <v>8</v>
      </c>
      <c r="B3" s="3">
        <v>6119565</v>
      </c>
      <c r="C3" s="3">
        <v>31029885986000</v>
      </c>
      <c r="D3" s="3">
        <v>20695851170000</v>
      </c>
      <c r="E3" s="3">
        <v>8325719370000</v>
      </c>
      <c r="F3" s="3">
        <v>29102346228000</v>
      </c>
      <c r="G3" s="3">
        <f>SUM(G4:G16)</f>
        <v>42114321669000</v>
      </c>
      <c r="H3" s="3">
        <v>2033654723000</v>
      </c>
      <c r="I3" s="3">
        <f>SUM(I4:I16)</f>
        <v>7836709368000</v>
      </c>
      <c r="J3" s="3">
        <v>1375081017000</v>
      </c>
      <c r="K3" s="3">
        <f>SUM(K4:K16)</f>
        <v>7836709368000</v>
      </c>
      <c r="L3" s="3">
        <v>481214136000</v>
      </c>
      <c r="M3" s="3">
        <f>SUM(M4:M16)</f>
        <v>2351012810400</v>
      </c>
      <c r="N3" s="3">
        <v>329622408000</v>
      </c>
      <c r="O3" s="3">
        <f>SUM(O4:O16)</f>
        <v>2351012810400</v>
      </c>
      <c r="P3" s="7">
        <f t="shared" ref="P3:P16" si="0">IF((C3-D3-$H$1)&lt;=0,0,N3/(C3-D3-$H$1))</f>
        <v>3.1896788186586138E-2</v>
      </c>
      <c r="Q3" s="7">
        <f t="shared" ref="Q3:Q16" si="1">IF((C3-D3-$H$1)&lt;=0,0,O3/(C3-D3-$H$1))</f>
        <v>0.22750200173672475</v>
      </c>
      <c r="S3" s="8">
        <f>(O3-N3)/B3</f>
        <v>330316.02775687486</v>
      </c>
      <c r="T3" s="7">
        <f t="shared" ref="T3:T7" si="2">IF(N3=0,0,(O3-N3)/N3)</f>
        <v>6.1324423138125974</v>
      </c>
      <c r="U3" s="7">
        <f t="shared" ref="U3:U16" si="3">IF((G3-H3-$H$1)&lt;=0,0,(N3-O3)/(G3-H3-$H$1))</f>
        <v>-5.0433057454834423E-2</v>
      </c>
    </row>
    <row r="4" spans="1:21" ht="11.25">
      <c r="A4" s="2" t="s">
        <v>17</v>
      </c>
      <c r="B4" s="3">
        <v>1441922</v>
      </c>
      <c r="C4" s="3">
        <v>238629163000</v>
      </c>
      <c r="D4" s="3">
        <v>20802522000</v>
      </c>
      <c r="E4" s="3">
        <v>176176190000</v>
      </c>
      <c r="F4" s="3">
        <v>197208328000</v>
      </c>
      <c r="G4" s="14">
        <f>$H$1*B4+D4</f>
        <v>5067529522000</v>
      </c>
      <c r="H4" s="3">
        <v>41789769000</v>
      </c>
      <c r="I4" s="3">
        <f t="shared" ref="I4:I16" si="4">IF(C4-G4&lt;=0,0,C4-G4)</f>
        <v>0</v>
      </c>
      <c r="J4" s="3">
        <v>10174534000</v>
      </c>
      <c r="K4" s="3">
        <f t="shared" ref="K4:K14" si="5">I4</f>
        <v>0</v>
      </c>
      <c r="L4" s="3">
        <v>3674476000</v>
      </c>
      <c r="M4" s="3">
        <f>K4*$J$1</f>
        <v>0</v>
      </c>
      <c r="N4" s="3">
        <v>3296918000</v>
      </c>
      <c r="O4" s="3">
        <f t="shared" ref="O4:O14" si="6">M4</f>
        <v>0</v>
      </c>
      <c r="P4" s="7">
        <f t="shared" si="0"/>
        <v>1.5135756397893463E-2</v>
      </c>
      <c r="Q4" s="7">
        <f t="shared" si="1"/>
        <v>0</v>
      </c>
      <c r="S4" s="8">
        <f>(O4-N4)/B4</f>
        <v>-2286.4745804558083</v>
      </c>
      <c r="T4" s="7">
        <f t="shared" si="2"/>
        <v>-1</v>
      </c>
      <c r="U4" s="7">
        <f t="shared" si="3"/>
        <v>6.5600696774168745E-4</v>
      </c>
    </row>
    <row r="5" spans="1:21" ht="11.25">
      <c r="A5" s="2" t="s">
        <v>16</v>
      </c>
      <c r="B5" s="3">
        <v>973972</v>
      </c>
      <c r="C5" s="3">
        <v>64575499000</v>
      </c>
      <c r="D5" s="3">
        <v>14868602000</v>
      </c>
      <c r="E5" s="3">
        <v>48650884000</v>
      </c>
      <c r="F5" s="3">
        <v>63574197000</v>
      </c>
      <c r="G5" s="14">
        <f>$H$1*B5+D5</f>
        <v>3423770602000</v>
      </c>
      <c r="H5" s="3">
        <v>1000198000</v>
      </c>
      <c r="I5" s="3">
        <f>IF(C5-G5&lt;=0,0,C5-G5)</f>
        <v>0</v>
      </c>
      <c r="J5" s="3">
        <v>1695506000</v>
      </c>
      <c r="K5" s="3">
        <f t="shared" si="5"/>
        <v>0</v>
      </c>
      <c r="L5" s="3">
        <v>365476000</v>
      </c>
      <c r="M5" s="3">
        <f>K5*$J$1</f>
        <v>0</v>
      </c>
      <c r="N5" s="3">
        <v>330545000</v>
      </c>
      <c r="O5" s="3">
        <f t="shared" si="6"/>
        <v>0</v>
      </c>
      <c r="P5" s="7">
        <f>IF((C5-D5-$H$1)&lt;=0,0,N5/(C5-D5-$H$1))</f>
        <v>6.6503502768633701E-3</v>
      </c>
      <c r="Q5" s="7">
        <f t="shared" si="1"/>
        <v>0</v>
      </c>
      <c r="S5" s="8">
        <f>(O5-N5)/B5</f>
        <v>-339.37833941838164</v>
      </c>
      <c r="T5" s="7">
        <f t="shared" si="2"/>
        <v>-1</v>
      </c>
      <c r="U5" s="7">
        <f t="shared" si="3"/>
        <v>9.6572454178433885E-5</v>
      </c>
    </row>
    <row r="6" spans="1:21" ht="11.25">
      <c r="A6" s="2" t="s">
        <v>9</v>
      </c>
      <c r="B6" s="3">
        <v>1038860</v>
      </c>
      <c r="C6" s="3">
        <v>178761673000</v>
      </c>
      <c r="D6" s="3">
        <v>54759060000</v>
      </c>
      <c r="E6" s="3">
        <v>108557405000</v>
      </c>
      <c r="F6" s="3">
        <v>163466351000</v>
      </c>
      <c r="G6" s="14">
        <f>$H$1*B6+D6</f>
        <v>3690769060000</v>
      </c>
      <c r="H6" s="3">
        <v>15219688000</v>
      </c>
      <c r="I6" s="3">
        <f t="shared" ref="I6:I16" si="7">IF(C6-G6&lt;=0,0,C6-G6)</f>
        <v>0</v>
      </c>
      <c r="J6" s="3">
        <v>2162579000</v>
      </c>
      <c r="K6" s="3">
        <f t="shared" si="5"/>
        <v>0</v>
      </c>
      <c r="L6" s="3">
        <v>474606000</v>
      </c>
      <c r="M6" s="3">
        <f>K6*$J$1</f>
        <v>0</v>
      </c>
      <c r="N6" s="3">
        <v>459969000</v>
      </c>
      <c r="O6" s="3">
        <f t="shared" si="6"/>
        <v>0</v>
      </c>
      <c r="P6" s="7">
        <f t="shared" ref="P6:P16" si="8">IF((C6-D6-$H$1)&lt;=0,0,N6/(C6-D6-$H$1))</f>
        <v>3.7094539539165895E-3</v>
      </c>
      <c r="Q6" s="7">
        <f>IF((C6-D6-$H$1)&lt;=0,0,O6/(C6-D6-$H$1))</f>
        <v>0</v>
      </c>
      <c r="S6" s="8">
        <f>(O6-N6)/B6</f>
        <v>-442.76322122326394</v>
      </c>
      <c r="T6" s="7">
        <f t="shared" si="2"/>
        <v>-1</v>
      </c>
      <c r="U6" s="7">
        <f>IF((G6-H6-$H$1)&lt;=0,0,(N6-O6)/(G6-H6-$H$1))</f>
        <v>1.2514304433091291E-4</v>
      </c>
    </row>
    <row r="7" spans="1:21" ht="11.25">
      <c r="A7" s="2" t="s">
        <v>10</v>
      </c>
      <c r="B7" s="3">
        <v>781753</v>
      </c>
      <c r="C7" s="3">
        <v>308068504000</v>
      </c>
      <c r="D7" s="3">
        <v>135866343000</v>
      </c>
      <c r="E7" s="3">
        <v>150280977000</v>
      </c>
      <c r="F7" s="3">
        <v>286386705000</v>
      </c>
      <c r="G7" s="14">
        <f>$H$1*B7+D7</f>
        <v>2872001843000</v>
      </c>
      <c r="H7" s="3">
        <v>21567057000</v>
      </c>
      <c r="I7" s="3">
        <f t="shared" si="7"/>
        <v>0</v>
      </c>
      <c r="J7" s="3">
        <v>2887311000</v>
      </c>
      <c r="K7" s="3">
        <f t="shared" si="5"/>
        <v>0</v>
      </c>
      <c r="L7" s="3">
        <v>575837000</v>
      </c>
      <c r="M7" s="3">
        <f>K7*$J$1</f>
        <v>0</v>
      </c>
      <c r="N7" s="3">
        <v>552888000</v>
      </c>
      <c r="O7" s="3">
        <f t="shared" si="6"/>
        <v>0</v>
      </c>
      <c r="P7" s="7">
        <f t="shared" si="8"/>
        <v>3.2107566736538098E-3</v>
      </c>
      <c r="Q7" s="7">
        <f t="shared" ref="Q7:Q16" si="9">IF((C7-D7-$H$1)&lt;=0,0,O7/(C7-D7-$H$1))</f>
        <v>0</v>
      </c>
      <c r="S7" s="8">
        <f>(O7-N7)/B7</f>
        <v>-707.2412897679958</v>
      </c>
      <c r="T7" s="7">
        <f t="shared" si="2"/>
        <v>-1</v>
      </c>
      <c r="U7" s="7">
        <f t="shared" ref="U7:U16" si="10">IF((G7-H7-$H$1)&lt;=0,0,(N7-O7)/(G7-H7-$H$1))</f>
        <v>1.9396643683906016E-4</v>
      </c>
    </row>
    <row r="8" spans="1:21" ht="11.25">
      <c r="A8" s="2" t="s">
        <v>11</v>
      </c>
      <c r="B8" s="3">
        <v>707405</v>
      </c>
      <c r="C8" s="3">
        <v>509769810000</v>
      </c>
      <c r="D8" s="3">
        <v>245431328000</v>
      </c>
      <c r="E8" s="3">
        <v>231270537000</v>
      </c>
      <c r="F8" s="3">
        <v>477101399000</v>
      </c>
      <c r="G8" s="14">
        <f>$H$1*B8+D8</f>
        <v>2721348828000</v>
      </c>
      <c r="H8" s="3">
        <v>32669081000</v>
      </c>
      <c r="I8" s="3">
        <f t="shared" si="7"/>
        <v>0</v>
      </c>
      <c r="J8" s="3">
        <v>3709996000</v>
      </c>
      <c r="K8" s="3">
        <f t="shared" si="5"/>
        <v>0</v>
      </c>
      <c r="L8" s="3">
        <v>935248000</v>
      </c>
      <c r="M8" s="3">
        <f>K8*$J$1</f>
        <v>0</v>
      </c>
      <c r="N8" s="3">
        <v>855639000</v>
      </c>
      <c r="O8" s="3">
        <f t="shared" si="6"/>
        <v>0</v>
      </c>
      <c r="P8" s="7">
        <f t="shared" si="8"/>
        <v>3.2369495460876987E-3</v>
      </c>
      <c r="Q8" s="7">
        <f t="shared" si="9"/>
        <v>0</v>
      </c>
      <c r="S8" s="8">
        <f>(O8-N8)/B8</f>
        <v>-1209.5461581413758</v>
      </c>
      <c r="T8" s="7">
        <f>IF(N8=0,0,(O8-N8)/N8)</f>
        <v>-1</v>
      </c>
      <c r="U8" s="7">
        <f t="shared" si="10"/>
        <v>3.1823801804129972E-4</v>
      </c>
    </row>
    <row r="9" spans="1:21" ht="11.25">
      <c r="A9" s="2" t="s">
        <v>38</v>
      </c>
      <c r="B9" s="3">
        <v>856785</v>
      </c>
      <c r="C9" s="3">
        <v>1861595399000</v>
      </c>
      <c r="D9" s="3">
        <v>1121661591000</v>
      </c>
      <c r="E9" s="3">
        <v>638508017000</v>
      </c>
      <c r="F9" s="3">
        <v>1763173985000</v>
      </c>
      <c r="G9" s="14">
        <f>$H$1*B9+D9</f>
        <v>4120409091000</v>
      </c>
      <c r="H9" s="3">
        <v>97225765000</v>
      </c>
      <c r="I9" s="3">
        <f t="shared" si="7"/>
        <v>0</v>
      </c>
      <c r="J9" s="3">
        <v>13268095000</v>
      </c>
      <c r="K9" s="3">
        <f t="shared" si="5"/>
        <v>0</v>
      </c>
      <c r="L9" s="3">
        <v>3851034000</v>
      </c>
      <c r="M9" s="3">
        <f>K9*$J$1</f>
        <v>0</v>
      </c>
      <c r="N9" s="3">
        <v>3682758000</v>
      </c>
      <c r="O9" s="3">
        <f t="shared" si="6"/>
        <v>0</v>
      </c>
      <c r="P9" s="7">
        <f t="shared" si="8"/>
        <v>4.9771687416810071E-3</v>
      </c>
      <c r="Q9" s="7">
        <f t="shared" si="9"/>
        <v>0</v>
      </c>
      <c r="S9" s="8">
        <f>(O9-N9)/B9</f>
        <v>-4298.3455592709961</v>
      </c>
      <c r="T9" s="7">
        <f t="shared" ref="T9:T14" si="11">IF(N9=0,0,(O9-N9)/N9)</f>
        <v>-1</v>
      </c>
      <c r="U9" s="7">
        <f t="shared" si="10"/>
        <v>9.1538488441406302E-4</v>
      </c>
    </row>
    <row r="10" spans="1:21" ht="11.25">
      <c r="A10" s="2" t="s">
        <v>12</v>
      </c>
      <c r="B10" s="3">
        <v>145899</v>
      </c>
      <c r="C10" s="3">
        <v>1040321910000</v>
      </c>
      <c r="D10" s="3">
        <v>716391562000</v>
      </c>
      <c r="E10" s="3">
        <v>269049867000</v>
      </c>
      <c r="F10" s="3">
        <v>989141367000</v>
      </c>
      <c r="G10" s="14">
        <f>$H$1*B10+D10</f>
        <v>1227038062000</v>
      </c>
      <c r="H10" s="3">
        <v>49816894000</v>
      </c>
      <c r="I10" s="3">
        <f t="shared" si="7"/>
        <v>0</v>
      </c>
      <c r="J10" s="3">
        <v>10192124000</v>
      </c>
      <c r="K10" s="3">
        <f t="shared" si="5"/>
        <v>0</v>
      </c>
      <c r="L10" s="3">
        <v>3405411000</v>
      </c>
      <c r="M10" s="3">
        <f>K10*$J$1</f>
        <v>0</v>
      </c>
      <c r="N10" s="3">
        <v>3212952000</v>
      </c>
      <c r="O10" s="3">
        <f t="shared" si="6"/>
        <v>0</v>
      </c>
      <c r="P10" s="7">
        <f t="shared" si="8"/>
        <v>9.9187579536476091E-3</v>
      </c>
      <c r="Q10" s="7">
        <f t="shared" si="9"/>
        <v>0</v>
      </c>
      <c r="S10" s="8">
        <f>(O10-N10)/B10</f>
        <v>-22021.754775563917</v>
      </c>
      <c r="T10" s="7">
        <f t="shared" si="11"/>
        <v>-1</v>
      </c>
      <c r="U10" s="7">
        <f t="shared" si="10"/>
        <v>2.7292760611200748E-3</v>
      </c>
    </row>
    <row r="11" spans="1:21" ht="11.25">
      <c r="A11" s="2" t="s">
        <v>13</v>
      </c>
      <c r="B11" s="3">
        <v>134159</v>
      </c>
      <c r="C11" s="3">
        <v>2807383722000</v>
      </c>
      <c r="D11" s="3">
        <v>2010143101000</v>
      </c>
      <c r="E11" s="3">
        <v>629316516000</v>
      </c>
      <c r="F11" s="3">
        <v>2657589843000</v>
      </c>
      <c r="G11" s="14">
        <f>$H$1*B11+D11</f>
        <v>2479699601000</v>
      </c>
      <c r="H11" s="3">
        <v>140822274000</v>
      </c>
      <c r="I11" s="3">
        <f t="shared" si="7"/>
        <v>327684121000</v>
      </c>
      <c r="J11" s="3">
        <v>35959688000</v>
      </c>
      <c r="K11" s="3">
        <f t="shared" si="5"/>
        <v>327684121000</v>
      </c>
      <c r="L11" s="3">
        <v>12432600000</v>
      </c>
      <c r="M11" s="3">
        <f>K11*$J$1</f>
        <v>98305236300</v>
      </c>
      <c r="N11" s="3">
        <v>11651234000</v>
      </c>
      <c r="O11" s="3">
        <f t="shared" si="6"/>
        <v>98305236300</v>
      </c>
      <c r="P11" s="7">
        <f t="shared" si="8"/>
        <v>1.4614515171327553E-2</v>
      </c>
      <c r="Q11" s="7">
        <f t="shared" si="9"/>
        <v>0.12330739965631882</v>
      </c>
      <c r="S11" s="8">
        <f>(O11-N11)/B11</f>
        <v>645905.2489955948</v>
      </c>
      <c r="T11" s="7">
        <f t="shared" si="11"/>
        <v>7.437324003620561</v>
      </c>
      <c r="U11" s="7">
        <f t="shared" si="10"/>
        <v>-3.7049455725086451E-2</v>
      </c>
    </row>
    <row r="12" spans="1:21" ht="11.25">
      <c r="A12" s="2" t="s">
        <v>14</v>
      </c>
      <c r="B12" s="3">
        <v>19475</v>
      </c>
      <c r="C12" s="3">
        <v>1379900288000</v>
      </c>
      <c r="D12" s="3">
        <v>1021925683000</v>
      </c>
      <c r="E12" s="3">
        <v>268988386000</v>
      </c>
      <c r="F12" s="3">
        <v>1301624241000</v>
      </c>
      <c r="G12" s="14">
        <f>$H$1*B12+D12</f>
        <v>1090088183000</v>
      </c>
      <c r="H12" s="3">
        <v>73455530000</v>
      </c>
      <c r="I12" s="3">
        <f t="shared" si="7"/>
        <v>289812105000</v>
      </c>
      <c r="J12" s="3">
        <v>21758758000</v>
      </c>
      <c r="K12" s="3">
        <f t="shared" si="5"/>
        <v>289812105000</v>
      </c>
      <c r="L12" s="3">
        <v>7631735000</v>
      </c>
      <c r="M12" s="3">
        <f>K12*$J$1</f>
        <v>86943631500</v>
      </c>
      <c r="N12" s="3">
        <v>6734065000</v>
      </c>
      <c r="O12" s="3">
        <f t="shared" si="6"/>
        <v>86943631500</v>
      </c>
      <c r="P12" s="7">
        <f t="shared" si="8"/>
        <v>1.8811755770064179E-2</v>
      </c>
      <c r="Q12" s="7">
        <f t="shared" si="9"/>
        <v>0.24287890917899643</v>
      </c>
      <c r="S12" s="8">
        <f>(O12-N12)/B12</f>
        <v>4118591.3478818997</v>
      </c>
      <c r="T12" s="7">
        <f t="shared" si="11"/>
        <v>11.911017565170518</v>
      </c>
      <c r="U12" s="7">
        <f t="shared" si="10"/>
        <v>-7.8897566790512838E-2</v>
      </c>
    </row>
    <row r="13" spans="1:21" ht="11.25">
      <c r="A13" s="2" t="s">
        <v>15</v>
      </c>
      <c r="B13" s="3">
        <v>11079</v>
      </c>
      <c r="C13" s="3">
        <v>1715673666000</v>
      </c>
      <c r="D13" s="3">
        <v>1232444600000</v>
      </c>
      <c r="E13" s="3">
        <v>357768937000</v>
      </c>
      <c r="F13" s="3">
        <v>1604677412000</v>
      </c>
      <c r="G13" s="14">
        <f>$H$1*B13+D13</f>
        <v>1271221100000</v>
      </c>
      <c r="H13" s="3">
        <v>105698666000</v>
      </c>
      <c r="I13" s="3">
        <f t="shared" si="7"/>
        <v>444452566000</v>
      </c>
      <c r="J13" s="3">
        <v>35551706000</v>
      </c>
      <c r="K13" s="3">
        <f t="shared" si="5"/>
        <v>444452566000</v>
      </c>
      <c r="L13" s="3">
        <v>12478899000</v>
      </c>
      <c r="M13" s="3">
        <f>K13*$J$1</f>
        <v>133335769800</v>
      </c>
      <c r="N13" s="3">
        <v>11352455000</v>
      </c>
      <c r="O13" s="3">
        <f t="shared" si="6"/>
        <v>133335769800</v>
      </c>
      <c r="P13" s="7">
        <f t="shared" si="8"/>
        <v>2.3493076109305028E-2</v>
      </c>
      <c r="Q13" s="7">
        <f t="shared" si="9"/>
        <v>0.27592863288197794</v>
      </c>
      <c r="S13" s="8">
        <f>(O13-N13)/B13</f>
        <v>11010318.151457712</v>
      </c>
      <c r="T13" s="7">
        <f t="shared" si="11"/>
        <v>10.745104455379916</v>
      </c>
      <c r="U13" s="7">
        <f t="shared" si="10"/>
        <v>-0.10466008851641702</v>
      </c>
    </row>
    <row r="14" spans="1:21" ht="11.25">
      <c r="A14" s="2" t="s">
        <v>36</v>
      </c>
      <c r="B14" s="3">
        <v>3679</v>
      </c>
      <c r="C14" s="3">
        <v>1319094828000</v>
      </c>
      <c r="D14" s="3">
        <v>894939764000</v>
      </c>
      <c r="E14" s="3">
        <v>320208136000</v>
      </c>
      <c r="F14" s="3">
        <v>1226229034000</v>
      </c>
      <c r="G14" s="14">
        <f>$H$1*B14+D14</f>
        <v>907816264000</v>
      </c>
      <c r="H14" s="3">
        <v>88938790000</v>
      </c>
      <c r="I14" s="3">
        <f t="shared" si="7"/>
        <v>411278564000</v>
      </c>
      <c r="J14" s="3">
        <v>36396774000</v>
      </c>
      <c r="K14" s="3">
        <f t="shared" si="5"/>
        <v>411278564000</v>
      </c>
      <c r="L14" s="3">
        <v>12852392000</v>
      </c>
      <c r="M14" s="3">
        <f>K14*$J$1</f>
        <v>123383569200</v>
      </c>
      <c r="N14" s="3">
        <v>10930452000</v>
      </c>
      <c r="O14" s="3">
        <f t="shared" si="6"/>
        <v>123383569200</v>
      </c>
      <c r="P14" s="7">
        <f t="shared" si="8"/>
        <v>2.5770156066193359E-2</v>
      </c>
      <c r="Q14" s="7">
        <f t="shared" si="9"/>
        <v>0.29089499997694218</v>
      </c>
      <c r="S14" s="8">
        <f>(O14-N14)/B14</f>
        <v>30566218.320195705</v>
      </c>
      <c r="T14" s="7">
        <f t="shared" si="11"/>
        <v>10.28805736487384</v>
      </c>
      <c r="U14" s="7">
        <f t="shared" si="10"/>
        <v>-0.13732652492384623</v>
      </c>
    </row>
    <row r="15" spans="1:21" ht="11.25">
      <c r="A15" s="2" t="s">
        <v>37</v>
      </c>
      <c r="B15" s="3">
        <v>2012</v>
      </c>
      <c r="C15" s="3">
        <v>1455089761000</v>
      </c>
      <c r="D15" s="3">
        <v>992288150000</v>
      </c>
      <c r="E15" s="3">
        <v>372373591000</v>
      </c>
      <c r="F15" s="3">
        <v>1371691760000</v>
      </c>
      <c r="G15" s="14">
        <f>$H$1*B15+D15</f>
        <v>999330150000</v>
      </c>
      <c r="H15" s="3">
        <v>87889020000</v>
      </c>
      <c r="I15" s="3">
        <f t="shared" si="7"/>
        <v>455759611000</v>
      </c>
      <c r="J15" s="3">
        <v>49851681000</v>
      </c>
      <c r="K15" s="3">
        <f t="shared" ref="K15:K16" si="12">I15</f>
        <v>455759611000</v>
      </c>
      <c r="L15" s="3">
        <v>17597025000</v>
      </c>
      <c r="M15" s="3">
        <f>K15*$J$1</f>
        <v>136727883300</v>
      </c>
      <c r="N15" s="3">
        <v>12777257000</v>
      </c>
      <c r="O15" s="3">
        <f t="shared" ref="O15:O16" si="13">M15</f>
        <v>136727883300</v>
      </c>
      <c r="P15" s="7">
        <f t="shared" si="8"/>
        <v>2.7608706034670916E-2</v>
      </c>
      <c r="Q15" s="7">
        <f t="shared" si="9"/>
        <v>0.29543742735803863</v>
      </c>
      <c r="S15" s="8">
        <f>(O15-N15)/B15</f>
        <v>61605679.075546719</v>
      </c>
      <c r="T15" s="7">
        <f t="shared" ref="T15:T16" si="14">IF(N15=0,0,(O15-N15)/N15)</f>
        <v>9.7008791714841465</v>
      </c>
      <c r="U15" s="7">
        <f t="shared" si="10"/>
        <v>-0.13599463333547024</v>
      </c>
    </row>
    <row r="16" spans="1:21" ht="11.25">
      <c r="A16" s="2" t="s">
        <v>39</v>
      </c>
      <c r="B16" s="3">
        <v>2563</v>
      </c>
      <c r="C16" s="3">
        <v>18151021764000</v>
      </c>
      <c r="D16" s="3">
        <v>12234328863000</v>
      </c>
      <c r="E16" s="3">
        <v>4754569926000</v>
      </c>
      <c r="F16" s="3">
        <v>17000481607000</v>
      </c>
      <c r="G16" s="14">
        <f>$H$1*B16+D16</f>
        <v>12243299363000</v>
      </c>
      <c r="H16" s="3">
        <v>1277561990000</v>
      </c>
      <c r="I16" s="3">
        <f t="shared" si="7"/>
        <v>5907722401000</v>
      </c>
      <c r="J16" s="3">
        <v>1151472265000</v>
      </c>
      <c r="K16" s="3">
        <f t="shared" si="12"/>
        <v>5907722401000</v>
      </c>
      <c r="L16" s="3">
        <v>404939397000</v>
      </c>
      <c r="M16" s="3">
        <f>K16*$J$1</f>
        <v>1772316720300</v>
      </c>
      <c r="N16" s="3">
        <v>263785275000</v>
      </c>
      <c r="O16" s="3">
        <f t="shared" si="13"/>
        <v>1772316720300</v>
      </c>
      <c r="P16" s="7">
        <f t="shared" si="8"/>
        <v>4.4583255452857934E-2</v>
      </c>
      <c r="Q16" s="7">
        <f t="shared" si="9"/>
        <v>0.29954533695827512</v>
      </c>
      <c r="S16" s="8">
        <f>(O16-N16)/B16</f>
        <v>588580353.21888411</v>
      </c>
      <c r="T16" s="7">
        <f t="shared" si="14"/>
        <v>5.7187856498055094</v>
      </c>
      <c r="U16" s="7">
        <f t="shared" si="10"/>
        <v>-0.1375677599667387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45</v>
      </c>
    </row>
    <row r="26" spans="1:1">
      <c r="A26" s="2" t="s">
        <v>40</v>
      </c>
    </row>
  </sheetData>
  <pageMargins left="0.8" right="0.8" top="0.4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CR5 final</vt:lpstr>
      <vt:lpstr>'CR5 final'!Print_Area</vt:lpstr>
    </vt:vector>
  </TitlesOfParts>
  <Company>Internal Revenue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mrlowe00</dc:creator>
  <cp:lastModifiedBy>Volvo</cp:lastModifiedBy>
  <cp:lastPrinted>2016-03-22T18:06:43Z</cp:lastPrinted>
  <dcterms:created xsi:type="dcterms:W3CDTF">2009-02-09T15:53:40Z</dcterms:created>
  <dcterms:modified xsi:type="dcterms:W3CDTF">2020-02-03T07:00:09Z</dcterms:modified>
</cp:coreProperties>
</file>