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om\SynologyDrive\Entrepeneur\Investing\Operativa\"/>
    </mc:Choice>
  </mc:AlternateContent>
  <xr:revisionPtr revIDLastSave="0" documentId="13_ncr:1_{F63A571A-9BF5-4EE7-95D8-3DD7FED99ED7}" xr6:coauthVersionLast="47" xr6:coauthVersionMax="47" xr10:uidLastSave="{00000000-0000-0000-0000-000000000000}"/>
  <bookViews>
    <workbookView xWindow="-120" yWindow="-120" windowWidth="29040" windowHeight="15720" xr2:uid="{8E9994D7-7B60-4296-9762-B5D6BB39BDCD}"/>
  </bookViews>
  <sheets>
    <sheet name="Calculadora CFD" sheetId="1" r:id="rId1"/>
    <sheet name="Garantias y Comis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" l="1"/>
  <c r="B14" i="1"/>
  <c r="B16" i="1" s="1"/>
  <c r="G9" i="1"/>
  <c r="C19" i="1"/>
  <c r="C18" i="1"/>
  <c r="C10" i="1" l="1"/>
  <c r="K1" i="1"/>
  <c r="K8" i="1" s="1"/>
  <c r="B18" i="1" s="1"/>
  <c r="D18" i="1" s="1"/>
  <c r="B29" i="1"/>
  <c r="C27" i="1"/>
  <c r="C22" i="1"/>
  <c r="C23" i="1" s="1"/>
  <c r="C17" i="1"/>
  <c r="C9" i="1"/>
  <c r="I12" i="1"/>
  <c r="C16" i="1"/>
  <c r="C15" i="1"/>
  <c r="C8" i="1"/>
  <c r="C7" i="1"/>
  <c r="D15" i="1" s="1"/>
  <c r="B19" i="1" l="1"/>
  <c r="D19" i="1" s="1"/>
  <c r="H9" i="1"/>
  <c r="B10" i="1"/>
  <c r="D10" i="1" s="1"/>
  <c r="K6" i="1"/>
  <c r="K7" i="1"/>
  <c r="K5" i="1"/>
  <c r="D7" i="1"/>
  <c r="D16" i="1" l="1"/>
  <c r="B17" i="1"/>
  <c r="D17" i="1" s="1"/>
  <c r="G8" i="1"/>
  <c r="H8" i="1" s="1"/>
  <c r="P8" i="1" a="1"/>
  <c r="P8" i="1" s="1"/>
  <c r="P7" i="1" a="1"/>
  <c r="P7" i="1" s="1"/>
  <c r="P6" i="1" a="1"/>
  <c r="P6" i="1" s="1"/>
  <c r="B8" i="1"/>
  <c r="B9" i="1" s="1"/>
  <c r="B23" i="1" l="1"/>
  <c r="G7" i="1"/>
  <c r="B22" i="1"/>
  <c r="D22" i="1" s="1"/>
  <c r="D9" i="1"/>
  <c r="D23" i="1" s="1"/>
  <c r="D8" i="1"/>
  <c r="G6" i="1"/>
  <c r="H6" i="1" s="1"/>
  <c r="G5" i="1"/>
  <c r="H5" i="1" s="1"/>
  <c r="H19" i="1" s="1"/>
  <c r="H7" i="1" l="1"/>
  <c r="B27" i="1"/>
  <c r="D27" i="1" s="1"/>
  <c r="H17" i="1" l="1"/>
  <c r="D30" i="1"/>
  <c r="G12" i="1"/>
  <c r="H12" i="1" s="1"/>
  <c r="H18" i="1" l="1"/>
  <c r="H22" i="1" s="1"/>
  <c r="H2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<sst xmlns="http://schemas.openxmlformats.org/spreadsheetml/2006/main" count="98" uniqueCount="62">
  <si>
    <t>CFD:</t>
  </si>
  <si>
    <t>Titulos</t>
  </si>
  <si>
    <t>Cambio de Moneda</t>
  </si>
  <si>
    <t>1 EURO =</t>
  </si>
  <si>
    <t>EUR</t>
  </si>
  <si>
    <t>USD</t>
  </si>
  <si>
    <t>Fecha</t>
  </si>
  <si>
    <t>GBP</t>
  </si>
  <si>
    <t>CNY</t>
  </si>
  <si>
    <t>Garantía Inicial</t>
  </si>
  <si>
    <t>Garantía Mantenimiento</t>
  </si>
  <si>
    <t>Efectivo Movimiento</t>
  </si>
  <si>
    <t>Moneda</t>
  </si>
  <si>
    <r>
      <t xml:space="preserve">Precio </t>
    </r>
    <r>
      <rPr>
        <b/>
        <sz val="11"/>
        <color theme="1"/>
        <rFont val="Calibri"/>
        <family val="2"/>
        <scheme val="minor"/>
      </rPr>
      <t>Entrada</t>
    </r>
  </si>
  <si>
    <r>
      <t xml:space="preserve">Precio </t>
    </r>
    <r>
      <rPr>
        <b/>
        <sz val="11"/>
        <color theme="1"/>
        <rFont val="Calibri"/>
        <family val="2"/>
        <scheme val="minor"/>
      </rPr>
      <t>Salida</t>
    </r>
  </si>
  <si>
    <t>Comisiones</t>
  </si>
  <si>
    <t>Resultado Bruto</t>
  </si>
  <si>
    <t>Resultado Neto</t>
  </si>
  <si>
    <t>% S/ Garantía Inicial</t>
  </si>
  <si>
    <r>
      <t>EFECTIVO NECESARIO EN CUENTA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para operar</t>
    </r>
  </si>
  <si>
    <t>% S/ Movimiento Precios</t>
  </si>
  <si>
    <t>Saldo en Cuenta</t>
  </si>
  <si>
    <t/>
  </si>
  <si>
    <t>Tipo</t>
  </si>
  <si>
    <t>Inicial</t>
  </si>
  <si>
    <t>Mantenimiento</t>
  </si>
  <si>
    <t>Indices</t>
  </si>
  <si>
    <t>Indice ESP</t>
  </si>
  <si>
    <t>USOil</t>
  </si>
  <si>
    <t>UKOil</t>
  </si>
  <si>
    <t>NGAS</t>
  </si>
  <si>
    <t>Indice LMAX</t>
  </si>
  <si>
    <t>Indice LMAX (ESP/Hong Kong)</t>
  </si>
  <si>
    <t>Criptos</t>
  </si>
  <si>
    <t>Forex</t>
  </si>
  <si>
    <t>Garantías y Comisiones:</t>
  </si>
  <si>
    <t>Comision</t>
  </si>
  <si>
    <t>Minima</t>
  </si>
  <si>
    <t>Acciones España</t>
  </si>
  <si>
    <t>Garantias</t>
  </si>
  <si>
    <t>Acciones Europa</t>
  </si>
  <si>
    <t>Acciones USA</t>
  </si>
  <si>
    <t>% s/ efectivo negociado</t>
  </si>
  <si>
    <t>Garantías</t>
  </si>
  <si>
    <t>Disponible</t>
  </si>
  <si>
    <t>Uso Garantias</t>
  </si>
  <si>
    <t>Efectivo Inicial en Cuenta</t>
  </si>
  <si>
    <t>Se pueden introducir nuevas ordenes</t>
  </si>
  <si>
    <t>No se puede incrementar posiciones</t>
  </si>
  <si>
    <t>Cierre de posición automático</t>
  </si>
  <si>
    <t>SI</t>
  </si>
  <si>
    <t>NO</t>
  </si>
  <si>
    <t>Rendimiento (¿Incluir?)</t>
  </si>
  <si>
    <t>Rollover</t>
  </si>
  <si>
    <t>Títulos Rollover</t>
  </si>
  <si>
    <t>La exposición de entrada debe ser inferior a un 33%</t>
  </si>
  <si>
    <t xml:space="preserve">&lt; 100% </t>
  </si>
  <si>
    <t xml:space="preserve">100% - 200% </t>
  </si>
  <si>
    <t xml:space="preserve">&gt; = 200% </t>
  </si>
  <si>
    <t>GER 40</t>
  </si>
  <si>
    <t>Dias</t>
  </si>
  <si>
    <t>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</si>
</sst>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7" formatCode="#,##0.00\ &quot;€&quot;;\-#,##0.00\ &quot;€&quot;"/>
    <numFmt numFmtId="43" formatCode="_-* #,##0.00_-;\-* #,##0.00_-;_-* &quot;-&quot;??_-;_-@_-"/>
    <numFmt numFmtId="164" formatCode="_-* #,##0.00\ [$€-C0A]_-;\-* #,##0.00\ [$€-C0A]_-;_-* &quot;-&quot;??\ [$€-C0A]_-;_-@_-"/>
    <numFmt numFmtId="165" formatCode="_([$$-409]* #,##0.000_);_([$$-409]* \(#,##0.000\);_([$$-409]* &quot;-&quot;??_);_(@_)"/>
    <numFmt numFmtId="166" formatCode="_-[$£-809]* #,##0.000_-;\-[$£-809]* #,##0.000_-;_-[$£-809]* &quot;-&quot;??_-;_-@_-"/>
    <numFmt numFmtId="167" formatCode="_ [$¥-804]* #,##0.000_ ;_ [$¥-804]* \-#,##0.000_ ;_ [$¥-804]* &quot;-&quot;??_ ;_ @_ "/>
    <numFmt numFmtId="168" formatCode="_-* #,##0.00\ _€_-;\-* #,##0.00\ _€_-;_-* &quot;-&quot;??\ _€_-;_-@_-"/>
    <numFmt numFmtId="169" formatCode="[Green]#,##0.00\ &quot;€&quot;\ ;[Red]\-#,##0.00\ &quot;€&quot;"/>
    <numFmt numFmtId="170" formatCode="[Blue]#,##0.00\ %\ ;[Red]\-#,##0.00\ %"/>
    <numFmt numFmtId="171" formatCode="0.0000%"/>
    <numFmt numFmtId="172" formatCode="_-* #,##0.0000_-;\-* #,##0.0000_-;_-* &quot;-&quot;??_-;_-@_-"/>
    <numFmt numFmtId="173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0" borderId="0" xfId="0" applyAlignment="1">
      <alignment horizontal="right"/>
    </xf>
    <xf numFmtId="167" fontId="0" fillId="0" borderId="0" xfId="0" applyNumberFormat="1"/>
    <xf numFmtId="0" fontId="2" fillId="0" borderId="1" xfId="0" applyFont="1" applyBorder="1"/>
    <xf numFmtId="0" fontId="2" fillId="0" borderId="3" xfId="0" applyFont="1" applyBorder="1"/>
    <xf numFmtId="9" fontId="0" fillId="0" borderId="0" xfId="2" applyFont="1"/>
    <xf numFmtId="10" fontId="0" fillId="0" borderId="0" xfId="2" applyNumberFormat="1" applyFont="1"/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43" fontId="0" fillId="0" borderId="0" xfId="1" applyFont="1" applyBorder="1"/>
    <xf numFmtId="43" fontId="0" fillId="0" borderId="4" xfId="1" applyFont="1" applyBorder="1"/>
    <xf numFmtId="43" fontId="0" fillId="0" borderId="0" xfId="0" applyNumberFormat="1"/>
    <xf numFmtId="43" fontId="0" fillId="0" borderId="2" xfId="1" applyFont="1" applyBorder="1"/>
    <xf numFmtId="0" fontId="0" fillId="0" borderId="2" xfId="0" applyBorder="1"/>
    <xf numFmtId="0" fontId="0" fillId="0" borderId="3" xfId="0" applyBorder="1"/>
    <xf numFmtId="43" fontId="0" fillId="0" borderId="1" xfId="1" applyFont="1" applyBorder="1"/>
    <xf numFmtId="0" fontId="0" fillId="0" borderId="1" xfId="0" applyBorder="1"/>
    <xf numFmtId="10" fontId="0" fillId="0" borderId="3" xfId="2" applyNumberFormat="1" applyFont="1" applyBorder="1"/>
    <xf numFmtId="168" fontId="0" fillId="0" borderId="2" xfId="0" applyNumberFormat="1" applyBorder="1"/>
    <xf numFmtId="0" fontId="0" fillId="2" borderId="0" xfId="0" applyFill="1"/>
    <xf numFmtId="14" fontId="0" fillId="2" borderId="6" xfId="0" applyNumberFormat="1" applyFill="1" applyBorder="1"/>
    <xf numFmtId="168" fontId="0" fillId="0" borderId="0" xfId="0" applyNumberFormat="1"/>
    <xf numFmtId="10" fontId="0" fillId="0" borderId="4" xfId="2" applyNumberFormat="1" applyFont="1" applyBorder="1"/>
    <xf numFmtId="0" fontId="0" fillId="0" borderId="6" xfId="0" applyBorder="1" applyProtection="1">
      <protection locked="0"/>
    </xf>
    <xf numFmtId="164" fontId="0" fillId="0" borderId="10" xfId="0" applyNumberFormat="1" applyBorder="1" applyAlignment="1">
      <alignment horizontal="center"/>
    </xf>
    <xf numFmtId="165" fontId="0" fillId="0" borderId="10" xfId="0" applyNumberFormat="1" applyBorder="1"/>
    <xf numFmtId="166" fontId="0" fillId="0" borderId="10" xfId="0" applyNumberFormat="1" applyBorder="1"/>
    <xf numFmtId="167" fontId="0" fillId="0" borderId="10" xfId="0" applyNumberFormat="1" applyBorder="1"/>
    <xf numFmtId="2" fontId="0" fillId="0" borderId="6" xfId="0" applyNumberFormat="1" applyBorder="1"/>
    <xf numFmtId="43" fontId="0" fillId="0" borderId="6" xfId="1" applyFont="1" applyBorder="1"/>
    <xf numFmtId="168" fontId="2" fillId="0" borderId="2" xfId="0" applyNumberFormat="1" applyFont="1" applyBorder="1"/>
    <xf numFmtId="169" fontId="2" fillId="0" borderId="2" xfId="1" applyNumberFormat="1" applyFont="1" applyBorder="1"/>
    <xf numFmtId="0" fontId="2" fillId="0" borderId="11" xfId="0" applyFont="1" applyBorder="1"/>
    <xf numFmtId="43" fontId="0" fillId="0" borderId="5" xfId="0" applyNumberFormat="1" applyBorder="1"/>
    <xf numFmtId="170" fontId="0" fillId="0" borderId="0" xfId="2" applyNumberFormat="1" applyFont="1"/>
    <xf numFmtId="7" fontId="0" fillId="0" borderId="0" xfId="0" applyNumberFormat="1"/>
    <xf numFmtId="2" fontId="0" fillId="0" borderId="0" xfId="0" applyNumberFormat="1"/>
    <xf numFmtId="171" fontId="0" fillId="0" borderId="0" xfId="2" applyNumberFormat="1" applyFont="1"/>
    <xf numFmtId="171" fontId="0" fillId="0" borderId="8" xfId="2" applyNumberFormat="1" applyFont="1" applyBorder="1"/>
    <xf numFmtId="168" fontId="0" fillId="0" borderId="11" xfId="0" applyNumberFormat="1" applyBorder="1"/>
    <xf numFmtId="168" fontId="0" fillId="0" borderId="13" xfId="0" applyNumberFormat="1" applyBorder="1"/>
    <xf numFmtId="43" fontId="0" fillId="0" borderId="11" xfId="1" applyFont="1" applyBorder="1"/>
    <xf numFmtId="43" fontId="0" fillId="0" borderId="7" xfId="1" applyFont="1" applyBorder="1"/>
    <xf numFmtId="168" fontId="0" fillId="0" borderId="6" xfId="0" applyNumberFormat="1" applyBorder="1"/>
    <xf numFmtId="168" fontId="0" fillId="0" borderId="4" xfId="0" applyNumberFormat="1" applyBorder="1"/>
    <xf numFmtId="43" fontId="0" fillId="0" borderId="12" xfId="1" applyFont="1" applyBorder="1"/>
    <xf numFmtId="43" fontId="0" fillId="0" borderId="4" xfId="0" applyNumberFormat="1" applyBorder="1"/>
    <xf numFmtId="43" fontId="2" fillId="0" borderId="0" xfId="1" applyFont="1" applyBorder="1"/>
    <xf numFmtId="0" fontId="2" fillId="0" borderId="0" xfId="0" applyFont="1"/>
    <xf numFmtId="43" fontId="1" fillId="0" borderId="14" xfId="1" applyFont="1" applyBorder="1"/>
    <xf numFmtId="0" fontId="0" fillId="0" borderId="15" xfId="0" applyBorder="1"/>
    <xf numFmtId="0" fontId="0" fillId="0" borderId="16" xfId="0" applyBorder="1"/>
    <xf numFmtId="43" fontId="2" fillId="0" borderId="17" xfId="1" applyFont="1" applyBorder="1"/>
    <xf numFmtId="0" fontId="2" fillId="0" borderId="18" xfId="0" applyFont="1" applyBorder="1"/>
    <xf numFmtId="169" fontId="0" fillId="0" borderId="17" xfId="0" applyNumberFormat="1" applyBorder="1"/>
    <xf numFmtId="0" fontId="0" fillId="0" borderId="18" xfId="0" applyBorder="1"/>
    <xf numFmtId="2" fontId="0" fillId="0" borderId="17" xfId="0" applyNumberFormat="1" applyBorder="1"/>
    <xf numFmtId="10" fontId="0" fillId="0" borderId="19" xfId="2" applyNumberFormat="1" applyFont="1" applyBorder="1"/>
    <xf numFmtId="0" fontId="0" fillId="0" borderId="20" xfId="0" applyBorder="1"/>
    <xf numFmtId="0" fontId="0" fillId="0" borderId="21" xfId="0" applyBorder="1"/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0" fontId="0" fillId="0" borderId="0" xfId="2" applyNumberFormat="1" applyFont="1" applyBorder="1"/>
    <xf numFmtId="0" fontId="0" fillId="2" borderId="9" xfId="0" applyFill="1" applyBorder="1"/>
    <xf numFmtId="172" fontId="0" fillId="0" borderId="0" xfId="1" applyNumberFormat="1" applyFont="1" applyBorder="1"/>
    <xf numFmtId="173" fontId="0" fillId="0" borderId="4" xfId="1" applyNumberFormat="1" applyFont="1" applyBorder="1"/>
    <xf numFmtId="168" fontId="0" fillId="0" borderId="7" xfId="0" applyNumberFormat="1" applyBorder="1"/>
    <xf numFmtId="2" fontId="0" fillId="0" borderId="4" xfId="0" applyNumberFormat="1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6">
  <rv s="0">
    <v>es-ES</v>
    <v>av932w</v>
    <v>268435456</v>
    <v>1</v>
    <v>Con tecnología de Refinitiv</v>
    <v>0</v>
    <v>1</v>
    <v>EUR/USD</v>
    <v>3</v>
    <v>4</v>
    <v>Finance</v>
    <v>5</v>
    <v>0</v>
    <v>0</v>
    <v>1.0792999999999999</v>
    <v>EUR</v>
    <v>44960.916666666664</v>
    <v>1.1495</v>
    <v>0.95340000000000003</v>
    <v>USD</v>
    <v>Euro/US Dollar FX Spot Rate</v>
    <v>1.0792999999999999</v>
    <v>EURUSD</v>
    <v>Par de divisa</v>
    <v>EUR/USD</v>
  </rv>
  <rv s="1">
    <v>0</v>
  </rv>
  <rv s="0">
    <v>es-ES</v>
    <v>av92z2</v>
    <v>268435456</v>
    <v>1</v>
    <v>Con tecnología de Refinitiv</v>
    <v>0</v>
    <v>1</v>
    <v>EUR/GBP</v>
    <v>3</v>
    <v>6</v>
    <v>Finance</v>
    <v>5</v>
    <v>0</v>
    <v>0</v>
    <v>0.8952</v>
    <v>EUR</v>
    <v>44960.916666666664</v>
    <v>0.92420000000000002</v>
    <v>0.81989999999999996</v>
    <v>GBP</v>
    <v>Euro/UK Pound Sterling FX Cross Rate</v>
    <v>0.8952</v>
    <v>EURGBP</v>
    <v>Par de divisa</v>
    <v>EUR/GBP</v>
  </rv>
  <rv s="1">
    <v>2</v>
  </rv>
  <rv s="0">
    <v>es-ES</v>
    <v>av8u5r</v>
    <v>268435456</v>
    <v>1</v>
    <v>Con tecnología de Refinitiv</v>
    <v>0</v>
    <v>1</v>
    <v>EUR/CNY</v>
    <v>3</v>
    <v>7</v>
    <v>Finance</v>
    <v>5</v>
    <v>0</v>
    <v>0</v>
    <v>7.3103999999999996</v>
    <v>EUR</v>
    <v>44960.916666666664</v>
    <v>7.5457999999999998</v>
    <v>6.7202000000000002</v>
    <v>CNY</v>
    <v>Euro/Chinese Renminbi FX Cross Rate</v>
    <v>7.3103999999999996</v>
    <v>EURCNY</v>
    <v>Par de divisa</v>
    <v>EUR/CNY</v>
  </rv>
  <rv s="1">
    <v>4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Cambio"/>
    <k n="Cambio (%)"/>
    <k n="Cierre anterior"/>
    <k n="De la moneda" t="s"/>
    <k n="Hora de la última operación"/>
    <k n="Máximo en 52 semanas"/>
    <k n="Mínimo en 52 semanas"/>
    <k n="Moneda" t="s"/>
    <k n="Nombre" t="s"/>
    <k n="Precio"/>
    <k n="Símbolo bursátil" t="s"/>
    <k n="Tipo de instrumento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5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Máximo en 52 semanas</v>
      <v t="s">Mínimo en 52 semanas</v>
      <v t="s">Tipo de instrumento</v>
      <v t="s">_Flags</v>
      <v t="s">UniqueName</v>
      <v t="s">_DisplayString</v>
      <v t="s">%ProviderInfo</v>
    </a>
  </spbArrays>
  <spbData count="8">
    <spb s="0">
      <v>Change</v>
      <v>Currency</v>
      <v>Name</v>
      <v>Price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3</v>
      <v>1</v>
      <v>4</v>
      <v>1</v>
      <v>1</v>
      <v>5</v>
    </spb>
    <spb s="5">
      <v>GMT</v>
    </spb>
    <spb s="4">
      <v>6</v>
      <v>2</v>
      <v>6</v>
      <v>3</v>
      <v>6</v>
      <v>4</v>
      <v>6</v>
      <v>6</v>
      <v>5</v>
    </spb>
    <spb s="4">
      <v>7</v>
      <v>2</v>
      <v>7</v>
      <v>3</v>
      <v>7</v>
      <v>4</v>
      <v>7</v>
      <v>7</v>
      <v>5</v>
    </spb>
  </spbData>
</supportingPropertyBags>
</file>

<file path=xl/richData/rdsupportingpropertybagstructure.xml><?xml version="1.0" encoding="utf-8"?>
<spbStructures xmlns="http://schemas.microsoft.com/office/spreadsheetml/2017/richdata2" count="6">
  <s>
    <k n="Cambio" t="s"/>
    <k n="Moneda" t="s"/>
    <k n="Nombre" t="s"/>
    <k n="Precio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Cambio" t="i"/>
    <k n="Nombre" t="i"/>
    <k n="Precio" t="i"/>
    <k n="Cambio (%)" t="i"/>
    <k n="Cierre anterior" t="i"/>
    <k n="`%EntityServiceId" t="i"/>
    <k n="Máximo en 52 semanas" t="i"/>
    <k n="Mínimo en 52 semanas" t="i"/>
    <k n="Hora de la última operación" t="i"/>
  </s>
  <s>
    <k n="Hora de la última operació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" formatCode="0.00"/>
    </x:dxf>
    <x:dxf>
      <x:numFmt numFmtId="27" formatCode="dd/mm/yyyy\ h:mm"/>
    </x:dxf>
  </dxfs>
  <richProperties>
    <rPr n="NumberFormat" t="s"/>
    <rPr n="IsTitleField" t="b"/>
  </richProperties>
  <richStyles>
    <rSty dxfid="0">
      <rpv i="0">_([$$-en-US]* #,##0.00_);_([$$-en-US]* (#,##0.00);_([$$-en-US]* "-"??_);_(@_)</rpv>
    </rSty>
    <rSty>
      <rpv i="1">1</rpv>
    </rSty>
    <rSty dxfid="1"/>
    <rSty dxfid="2">
      <rpv i="0">0.00</rpv>
    </rSty>
    <rSty dxfid="3"/>
    <rSty dxfid="0">
      <rpv i="0">_-[$£-en-GB]* #,##0.00_-;-[$£-en-GB]* #,##0.00_-;_-[$£-en-GB]* "-"??_-;_-@_-</rpv>
    </rSty>
    <rSty dxfid="0">
      <rpv i="0" xml:space="preserve">_ [$¥-zh-CN]* #,##0.00_ ;_ [$¥-zh-CN]* -#,##0.00_ ;_ [$¥-zh-CN]* "-"??_ ;_ @_ </rpv>
    </rSty>
  </richStyles>
</rich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C82C-B55F-40E5-B09A-9063C1815A30}">
  <dimension ref="A1:R33"/>
  <sheetViews>
    <sheetView tabSelected="1" zoomScaleNormal="100" workbookViewId="0">
      <selection activeCell="D1" sqref="D1"/>
    </sheetView>
  </sheetViews>
  <sheetFormatPr baseColWidth="10" defaultRowHeight="15" x14ac:dyDescent="0.25"/>
  <cols>
    <col min="1" max="1" width="22.5703125" customWidth="1"/>
    <col min="2" max="2" width="15.42578125" customWidth="1"/>
    <col min="3" max="3" width="4.5703125" customWidth="1"/>
    <col min="4" max="4" width="13.28515625" customWidth="1"/>
    <col min="5" max="5" width="6.28515625" customWidth="1"/>
    <col min="6" max="6" width="13.5703125" customWidth="1"/>
    <col min="7" max="7" width="22.28515625" customWidth="1"/>
    <col min="8" max="8" width="18.140625" customWidth="1"/>
    <col min="9" max="9" width="8" customWidth="1"/>
    <col min="10" max="10" width="23.42578125" customWidth="1"/>
    <col min="11" max="11" width="36.42578125" customWidth="1"/>
    <col min="12" max="12" width="6.85546875" customWidth="1"/>
    <col min="13" max="13" width="4.140625" customWidth="1"/>
  </cols>
  <sheetData>
    <row r="1" spans="1:18" x14ac:dyDescent="0.25">
      <c r="A1" s="5" t="s">
        <v>0</v>
      </c>
      <c r="B1" s="6" t="s">
        <v>59</v>
      </c>
      <c r="D1" s="2" t="s">
        <v>61</v>
      </c>
      <c r="F1">
        <f>(B13-B5+1)</f>
        <v>23</v>
      </c>
      <c r="G1" t="s">
        <v>60</v>
      </c>
      <c r="J1" s="27" t="s">
        <v>35</v>
      </c>
      <c r="K1" s="25" t="str">
        <f>B3</f>
        <v>Indices</v>
      </c>
      <c r="N1" s="84" t="s">
        <v>2</v>
      </c>
      <c r="O1" s="85"/>
      <c r="P1" s="86"/>
      <c r="Q1" s="34"/>
      <c r="R1" s="34" t="s">
        <v>50</v>
      </c>
    </row>
    <row r="2" spans="1:18" x14ac:dyDescent="0.25">
      <c r="A2" t="s">
        <v>12</v>
      </c>
      <c r="B2" s="30" t="s">
        <v>4</v>
      </c>
      <c r="J2" s="18"/>
      <c r="K2" s="18"/>
      <c r="N2" s="9"/>
      <c r="O2" s="1"/>
      <c r="P2" s="10"/>
      <c r="Q2" s="1"/>
      <c r="R2" s="1" t="s">
        <v>51</v>
      </c>
    </row>
    <row r="3" spans="1:18" x14ac:dyDescent="0.25">
      <c r="A3" t="s">
        <v>23</v>
      </c>
      <c r="B3" s="30" t="s">
        <v>26</v>
      </c>
      <c r="N3" s="9"/>
      <c r="O3" s="1"/>
      <c r="P3" s="10"/>
      <c r="Q3" s="1"/>
      <c r="R3" s="1"/>
    </row>
    <row r="4" spans="1:18" x14ac:dyDescent="0.25">
      <c r="I4" s="16"/>
      <c r="N4" s="81" t="s">
        <v>3</v>
      </c>
      <c r="O4" s="82"/>
      <c r="P4" s="83"/>
      <c r="Q4" s="1"/>
      <c r="R4" s="1"/>
    </row>
    <row r="5" spans="1:18" x14ac:dyDescent="0.25">
      <c r="A5" s="17" t="s">
        <v>6</v>
      </c>
      <c r="B5" s="31">
        <v>44905</v>
      </c>
      <c r="C5" s="18"/>
      <c r="D5" s="18"/>
      <c r="E5" s="19"/>
      <c r="G5" s="26">
        <f>(B8*K5)</f>
        <v>610.75</v>
      </c>
      <c r="H5" s="26">
        <f>IF(I5="","",G5/VLOOKUP($B$2,$O$5:$P$29,2,0))</f>
        <v>610.75</v>
      </c>
      <c r="I5" s="23" t="s">
        <v>4</v>
      </c>
      <c r="J5" s="27" t="s">
        <v>9</v>
      </c>
      <c r="K5" s="28">
        <f>IF($K$1="","",VLOOKUP($B$3,'Garantias y Comisiones'!A3:E14,2,0))</f>
        <v>0.05</v>
      </c>
      <c r="L5" s="74"/>
      <c r="N5" s="11" t="s">
        <v>4</v>
      </c>
      <c r="O5" s="12" t="s">
        <v>4</v>
      </c>
      <c r="P5" s="35">
        <v>1</v>
      </c>
      <c r="Q5" s="1"/>
      <c r="R5" s="1"/>
    </row>
    <row r="6" spans="1:18" x14ac:dyDescent="0.25">
      <c r="A6" s="13" t="s">
        <v>1</v>
      </c>
      <c r="B6" s="30">
        <v>1</v>
      </c>
      <c r="E6" s="14"/>
      <c r="G6" s="26">
        <f>(B8*K6)</f>
        <v>305.375</v>
      </c>
      <c r="H6" s="26">
        <f>IF(I6="","",G6/VLOOKUP($B$2,$O$5:$P$29,2,0))</f>
        <v>305.375</v>
      </c>
      <c r="I6" s="23" t="s">
        <v>4</v>
      </c>
      <c r="J6" s="27" t="s">
        <v>10</v>
      </c>
      <c r="K6" s="28">
        <f>IF($K$1="","",VLOOKUP($B$3,'Garantias y Comisiones'!A3:E15,3,0))</f>
        <v>2.5000000000000001E-2</v>
      </c>
      <c r="L6" s="74"/>
      <c r="N6" s="13" t="e" vm="1">
        <v>#VALUE!</v>
      </c>
      <c r="O6" s="3" t="s">
        <v>5</v>
      </c>
      <c r="P6" s="36" cm="1">
        <f t="array" ref="P6">_FV(N6,"Precio")</f>
        <v>1.0792999999999999</v>
      </c>
      <c r="Q6" s="1"/>
      <c r="R6" s="1"/>
    </row>
    <row r="7" spans="1:18" x14ac:dyDescent="0.25">
      <c r="A7" s="13" t="s">
        <v>13</v>
      </c>
      <c r="B7" s="30">
        <v>12215</v>
      </c>
      <c r="C7" t="str">
        <f>$B$2</f>
        <v>EUR</v>
      </c>
      <c r="D7" s="20">
        <f>IF($E$7="","",B7/VLOOKUP($C$7,$O$5:$P$29,2,0))</f>
        <v>12215</v>
      </c>
      <c r="E7" s="14" t="s">
        <v>4</v>
      </c>
      <c r="G7" s="51">
        <f>(B9+B17)</f>
        <v>0</v>
      </c>
      <c r="H7" s="53">
        <f>IF(I7="","",G7/VLOOKUP($B$2,$O$5:$P$29,2,0))</f>
        <v>0</v>
      </c>
      <c r="I7" s="54" t="s">
        <v>4</v>
      </c>
      <c r="J7" s="87" t="s">
        <v>36</v>
      </c>
      <c r="K7" s="49">
        <f>IF($K$1="","",VLOOKUP($B$3,'Garantias y Comisiones'!A3:E15,5,0))</f>
        <v>0</v>
      </c>
      <c r="L7" s="30" t="s">
        <v>50</v>
      </c>
      <c r="N7" s="13" t="e" vm="2">
        <v>#VALUE!</v>
      </c>
      <c r="O7" s="3" t="s">
        <v>7</v>
      </c>
      <c r="P7" s="37" cm="1">
        <f t="array" ref="P7">_FV(N7,"Precio")</f>
        <v>0.8952</v>
      </c>
      <c r="Q7" s="1"/>
      <c r="R7" s="1"/>
    </row>
    <row r="8" spans="1:18" x14ac:dyDescent="0.25">
      <c r="A8" s="13" t="s">
        <v>11</v>
      </c>
      <c r="B8" s="20">
        <f>(B6*B7)</f>
        <v>12215</v>
      </c>
      <c r="C8" t="str">
        <f>$B$2</f>
        <v>EUR</v>
      </c>
      <c r="D8" s="20">
        <f>IF($E$8="","",B8/VLOOKUP($C$8,$O$5:$P$29,2,0))</f>
        <v>12215</v>
      </c>
      <c r="E8" s="14" t="s">
        <v>4</v>
      </c>
      <c r="G8" s="50">
        <f>(B10+B18)</f>
        <v>0</v>
      </c>
      <c r="H8" s="52">
        <f>IF(I8="","",G8/VLOOKUP($B$2,$O$5:$P$29,2,0))</f>
        <v>0</v>
      </c>
      <c r="I8" s="55" t="s">
        <v>4</v>
      </c>
      <c r="J8" s="88"/>
      <c r="K8" s="56">
        <f>IF($K$1="","",VLOOKUP($B$3,'Garantias y Comisiones'!A3:E15,4,0))</f>
        <v>0</v>
      </c>
      <c r="L8" s="30" t="s">
        <v>50</v>
      </c>
      <c r="N8" s="13" t="e" vm="3">
        <v>#VALUE!</v>
      </c>
      <c r="O8" s="3" t="s">
        <v>8</v>
      </c>
      <c r="P8" s="38" cm="1">
        <f t="array" ref="P8">_FV(N8,"Precio")</f>
        <v>7.3103999999999996</v>
      </c>
      <c r="Q8" s="1"/>
      <c r="R8" s="1"/>
    </row>
    <row r="9" spans="1:18" x14ac:dyDescent="0.25">
      <c r="A9" s="80" t="s">
        <v>15</v>
      </c>
      <c r="B9" s="20">
        <f>IF(L7="SI",B8*K7,0)</f>
        <v>0</v>
      </c>
      <c r="C9" t="str">
        <f>$B$2</f>
        <v>EUR</v>
      </c>
      <c r="D9" s="20">
        <f>IF($E$9="","",B9/VLOOKUP($C$9,$O$5:$P$29,2,0))</f>
        <v>0</v>
      </c>
      <c r="E9" s="14" t="s">
        <v>4</v>
      </c>
      <c r="G9" s="78">
        <f>(K9)*(B13-B5)</f>
        <v>22.664400000000001</v>
      </c>
      <c r="H9" s="40">
        <f>IF(I9="","",G9/VLOOKUP($B$2,$O$5:$P$29,2,0))</f>
        <v>22.664400000000001</v>
      </c>
      <c r="I9" s="32" t="s">
        <v>4</v>
      </c>
      <c r="J9" s="72" t="s">
        <v>53</v>
      </c>
      <c r="K9" s="76">
        <v>1.0302</v>
      </c>
      <c r="L9" s="75" t="s">
        <v>50</v>
      </c>
      <c r="O9" s="3"/>
      <c r="P9" s="4"/>
      <c r="Q9" s="1"/>
      <c r="R9" s="1"/>
    </row>
    <row r="10" spans="1:18" x14ac:dyDescent="0.25">
      <c r="A10" s="89"/>
      <c r="B10" s="57">
        <f>IF(L8="SI",K8,0)</f>
        <v>0</v>
      </c>
      <c r="C10" s="16" t="str">
        <f>$B$2</f>
        <v>EUR</v>
      </c>
      <c r="D10" s="79">
        <f>IF($E$10="","",B10/VLOOKUP($C$10,$O$5:$P$29,2,0))</f>
        <v>0</v>
      </c>
      <c r="E10" s="15" t="s">
        <v>4</v>
      </c>
      <c r="G10" s="50"/>
      <c r="H10" s="21"/>
      <c r="I10" s="32"/>
      <c r="J10" s="73" t="s">
        <v>54</v>
      </c>
      <c r="K10" s="77">
        <v>100</v>
      </c>
      <c r="L10" s="74"/>
      <c r="O10" s="3"/>
      <c r="P10" s="4"/>
      <c r="Q10" s="1"/>
      <c r="R10" s="1"/>
    </row>
    <row r="11" spans="1:18" x14ac:dyDescent="0.25">
      <c r="B11" s="20"/>
      <c r="D11" s="20"/>
      <c r="G11" s="29"/>
      <c r="H11" s="21"/>
      <c r="I11" s="29"/>
      <c r="J11" s="16"/>
      <c r="K11" s="33"/>
    </row>
    <row r="12" spans="1:18" x14ac:dyDescent="0.25">
      <c r="G12" s="44">
        <f>SUM(G5:G7)</f>
        <v>916.125</v>
      </c>
      <c r="H12" s="26">
        <f>IF(I12="","",G12/VLOOKUP($B$2,$O$5:$P$29,2,0))</f>
        <v>916.125</v>
      </c>
      <c r="I12" s="25" t="str">
        <f>$B$2</f>
        <v>EUR</v>
      </c>
      <c r="J12" s="43" t="s">
        <v>19</v>
      </c>
      <c r="K12" s="15"/>
    </row>
    <row r="13" spans="1:18" x14ac:dyDescent="0.25">
      <c r="A13" s="17" t="s">
        <v>6</v>
      </c>
      <c r="B13" s="31">
        <v>44927</v>
      </c>
      <c r="C13" s="18"/>
      <c r="D13" s="18"/>
      <c r="E13" s="19"/>
      <c r="G13" s="22"/>
      <c r="H13" s="40"/>
      <c r="J13" s="59"/>
    </row>
    <row r="14" spans="1:18" ht="15.75" thickBot="1" x14ac:dyDescent="0.3">
      <c r="A14" s="13" t="s">
        <v>1</v>
      </c>
      <c r="B14" s="30">
        <f>B6</f>
        <v>1</v>
      </c>
      <c r="E14" s="14"/>
      <c r="H14" s="58"/>
      <c r="J14" s="59"/>
    </row>
    <row r="15" spans="1:18" x14ac:dyDescent="0.25">
      <c r="A15" s="13" t="s">
        <v>14</v>
      </c>
      <c r="B15" s="30">
        <v>14300</v>
      </c>
      <c r="C15" t="str">
        <f>$B$2</f>
        <v>EUR</v>
      </c>
      <c r="D15" s="20">
        <f>IF($E$7="","",B15/VLOOKUP($C$7,$O$5:$P$29,2,0))</f>
        <v>14300</v>
      </c>
      <c r="E15" s="14" t="s">
        <v>4</v>
      </c>
      <c r="H15" s="60">
        <v>1000</v>
      </c>
      <c r="I15" s="61" t="s">
        <v>4</v>
      </c>
      <c r="J15" s="62" t="s">
        <v>46</v>
      </c>
    </row>
    <row r="16" spans="1:18" x14ac:dyDescent="0.25">
      <c r="A16" s="13" t="s">
        <v>11</v>
      </c>
      <c r="B16" s="20">
        <f>(B14*B15)</f>
        <v>14300</v>
      </c>
      <c r="C16" t="str">
        <f>$B$2</f>
        <v>EUR</v>
      </c>
      <c r="D16" s="20">
        <f>IF($E$7="","",B16/VLOOKUP($C$7,$O$5:$P$29,2,0))</f>
        <v>14300</v>
      </c>
      <c r="E16" s="14" t="s">
        <v>4</v>
      </c>
      <c r="H16" s="63"/>
      <c r="J16" s="64"/>
    </row>
    <row r="17" spans="1:11" x14ac:dyDescent="0.25">
      <c r="A17" s="80" t="s">
        <v>15</v>
      </c>
      <c r="B17" s="20">
        <f>IF(L7="SI",B16*K7,0)</f>
        <v>0</v>
      </c>
      <c r="C17" t="str">
        <f>$B$2</f>
        <v>EUR</v>
      </c>
      <c r="D17" s="20">
        <f>IF($E$9="","",B17/VLOOKUP($C$9,$O$5:$P$29,2,0))</f>
        <v>0</v>
      </c>
      <c r="E17" s="14" t="s">
        <v>4</v>
      </c>
      <c r="H17" s="65">
        <f>IF(K17="SI",D27,0)</f>
        <v>0</v>
      </c>
      <c r="I17" t="s">
        <v>4</v>
      </c>
      <c r="J17" s="66" t="s">
        <v>52</v>
      </c>
      <c r="K17" s="30" t="s">
        <v>51</v>
      </c>
    </row>
    <row r="18" spans="1:11" x14ac:dyDescent="0.25">
      <c r="A18" s="80"/>
      <c r="B18" s="22">
        <f>IF(L8="SI",K8,0)</f>
        <v>0</v>
      </c>
      <c r="C18" t="str">
        <f>$B$2</f>
        <v>EUR</v>
      </c>
      <c r="D18" s="47">
        <f>IF($E$18="","",B18/VLOOKUP($C$18,$O$5:$P$29,2,0))</f>
        <v>0</v>
      </c>
      <c r="E18" s="14" t="s">
        <v>4</v>
      </c>
      <c r="H18" s="67">
        <f>(H15+H17)</f>
        <v>1000</v>
      </c>
      <c r="I18" t="s">
        <v>4</v>
      </c>
      <c r="J18" s="66" t="s">
        <v>21</v>
      </c>
    </row>
    <row r="19" spans="1:11" x14ac:dyDescent="0.25">
      <c r="A19" s="71" t="s">
        <v>53</v>
      </c>
      <c r="B19" s="57">
        <f>IF(L9="SI",G9,0)</f>
        <v>22.664400000000001</v>
      </c>
      <c r="C19" s="16" t="str">
        <f>$B$2</f>
        <v>EUR</v>
      </c>
      <c r="D19" s="79">
        <f>IF($E$19="","",B19/VLOOKUP($C$19,$O$5:$P$29,2,0))</f>
        <v>22.664400000000001</v>
      </c>
      <c r="E19" s="15" t="s">
        <v>4</v>
      </c>
      <c r="H19" s="67">
        <f>(H5)</f>
        <v>610.75</v>
      </c>
      <c r="I19" t="s">
        <v>4</v>
      </c>
      <c r="J19" s="66" t="s">
        <v>43</v>
      </c>
    </row>
    <row r="20" spans="1:11" x14ac:dyDescent="0.25">
      <c r="H20" s="67">
        <f>(H18-H19)</f>
        <v>389.25</v>
      </c>
      <c r="I20" t="s">
        <v>4</v>
      </c>
      <c r="J20" s="66" t="s">
        <v>44</v>
      </c>
    </row>
    <row r="21" spans="1:11" x14ac:dyDescent="0.25">
      <c r="H21" s="67"/>
      <c r="J21" s="66"/>
    </row>
    <row r="22" spans="1:11" ht="15.75" thickBot="1" x14ac:dyDescent="0.3">
      <c r="A22" s="17" t="s">
        <v>16</v>
      </c>
      <c r="B22" s="39">
        <f>IF(D1="LARGO",B16-B8,B8-B16)</f>
        <v>2085</v>
      </c>
      <c r="C22" s="18" t="str">
        <f>$B$2</f>
        <v>EUR</v>
      </c>
      <c r="D22" s="40">
        <f>IF($E$22="","",B22/VLOOKUP($C$22,$O$5:$P$29,2,0))</f>
        <v>2085</v>
      </c>
      <c r="E22" s="19" t="s">
        <v>4</v>
      </c>
      <c r="G22" s="22"/>
      <c r="H22" s="68">
        <f>(H5/H18)</f>
        <v>0.61075000000000002</v>
      </c>
      <c r="I22" s="69"/>
      <c r="J22" s="70" t="s">
        <v>45</v>
      </c>
      <c r="K22" t="s">
        <v>55</v>
      </c>
    </row>
    <row r="23" spans="1:11" x14ac:dyDescent="0.25">
      <c r="A23" s="13" t="s">
        <v>15</v>
      </c>
      <c r="B23" s="20">
        <f>(B9+B10+B17+B18+B19)</f>
        <v>22.664400000000001</v>
      </c>
      <c r="C23" t="str">
        <f>C22</f>
        <v>EUR</v>
      </c>
      <c r="D23" s="20">
        <f>(D9+D10+D17+D18+D19)</f>
        <v>22.664400000000001</v>
      </c>
      <c r="E23" s="14" t="s">
        <v>4</v>
      </c>
    </row>
    <row r="24" spans="1:11" x14ac:dyDescent="0.25">
      <c r="A24" s="13"/>
      <c r="B24" s="20"/>
      <c r="D24" s="20"/>
      <c r="E24" s="14"/>
      <c r="J24" t="s">
        <v>56</v>
      </c>
      <c r="K24" t="s">
        <v>47</v>
      </c>
    </row>
    <row r="25" spans="1:11" x14ac:dyDescent="0.25">
      <c r="A25" s="13"/>
      <c r="B25" s="20"/>
      <c r="D25" s="20"/>
      <c r="E25" s="14"/>
      <c r="I25" s="22"/>
      <c r="J25" t="s">
        <v>57</v>
      </c>
      <c r="K25" t="s">
        <v>48</v>
      </c>
    </row>
    <row r="26" spans="1:11" x14ac:dyDescent="0.25">
      <c r="A26" s="13"/>
      <c r="E26" s="14"/>
      <c r="I26" s="22"/>
      <c r="J26" t="s">
        <v>58</v>
      </c>
      <c r="K26" t="s">
        <v>49</v>
      </c>
    </row>
    <row r="27" spans="1:11" x14ac:dyDescent="0.25">
      <c r="A27" s="27" t="s">
        <v>17</v>
      </c>
      <c r="B27" s="41">
        <f>(B22-B23)</f>
        <v>2062.3355999999999</v>
      </c>
      <c r="C27" s="24" t="str">
        <f>B2</f>
        <v>EUR</v>
      </c>
      <c r="D27" s="42">
        <f>IF($E$27="","",B27/VLOOKUP($C$27,$O$5:$P$29,2,0))</f>
        <v>2062.3355999999999</v>
      </c>
      <c r="E27" s="25" t="s">
        <v>4</v>
      </c>
      <c r="H27" s="46"/>
      <c r="I27" s="22"/>
    </row>
    <row r="29" spans="1:11" x14ac:dyDescent="0.25">
      <c r="A29" t="s">
        <v>20</v>
      </c>
      <c r="B29" s="8">
        <f>IF(D1="LARGO",B15/B7-1,B7/B15-1)</f>
        <v>0.17069177241097022</v>
      </c>
      <c r="D29" s="7"/>
    </row>
    <row r="30" spans="1:11" x14ac:dyDescent="0.25">
      <c r="A30" t="s">
        <v>18</v>
      </c>
      <c r="D30" s="45">
        <f>(D27/H5)</f>
        <v>3.3767263200982396</v>
      </c>
    </row>
    <row r="33" spans="10:10" x14ac:dyDescent="0.25">
      <c r="J33" t="s">
        <v>22</v>
      </c>
    </row>
  </sheetData>
  <mergeCells count="5">
    <mergeCell ref="A17:A18"/>
    <mergeCell ref="N4:P4"/>
    <mergeCell ref="N1:P1"/>
    <mergeCell ref="J7:J8"/>
    <mergeCell ref="A9:A10"/>
  </mergeCells>
  <dataValidations count="3">
    <dataValidation type="list" allowBlank="1" showInputMessage="1" showErrorMessage="1" sqref="D1" xr:uid="{5B355225-4557-49E9-83AC-1B151B359B7F}">
      <formula1>"LARGO, CORTO"</formula1>
    </dataValidation>
    <dataValidation type="list" allowBlank="1" showInputMessage="1" showErrorMessage="1" sqref="B2" xr:uid="{D80130C2-A7EF-4EFB-B20A-2DDA6F9B8C13}">
      <formula1>$O$5:$O$8</formula1>
    </dataValidation>
    <dataValidation type="list" allowBlank="1" showInputMessage="1" showErrorMessage="1" sqref="K17 L7:L9" xr:uid="{516E0ABD-6940-424F-84E1-6BA772E4CABC}">
      <formula1>$R$1:$R$2</formula1>
    </dataValidation>
  </dataValidations>
  <pageMargins left="0.7" right="0.7" top="0.75" bottom="0.75" header="0.3" footer="0.3"/>
  <pageSetup paperSize="9" orientation="portrait" r:id="rId1"/>
  <ignoredErrors>
    <ignoredError sqref="C23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946415E-2247-4FEB-9BA3-AB302883EBD2}">
          <x14:formula1>
            <xm:f>'Garantias y Comisiones'!$A$3:$A$14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BF06-74C5-491A-B6DB-5D711E874516}">
  <dimension ref="A1:E14"/>
  <sheetViews>
    <sheetView workbookViewId="0">
      <selection activeCell="E22" sqref="E22"/>
    </sheetView>
  </sheetViews>
  <sheetFormatPr baseColWidth="10" defaultRowHeight="15" x14ac:dyDescent="0.25"/>
  <cols>
    <col min="1" max="1" width="27.5703125" customWidth="1"/>
    <col min="2" max="2" width="13" customWidth="1"/>
    <col min="3" max="3" width="18.5703125" customWidth="1"/>
    <col min="4" max="4" width="15" customWidth="1"/>
    <col min="5" max="5" width="24" customWidth="1"/>
  </cols>
  <sheetData>
    <row r="1" spans="1:5" x14ac:dyDescent="0.25">
      <c r="B1" s="82" t="s">
        <v>39</v>
      </c>
      <c r="C1" s="82"/>
      <c r="D1" s="82" t="s">
        <v>15</v>
      </c>
      <c r="E1" s="82"/>
    </row>
    <row r="2" spans="1:5" x14ac:dyDescent="0.25">
      <c r="B2" s="7" t="s">
        <v>24</v>
      </c>
      <c r="C2" t="s">
        <v>25</v>
      </c>
      <c r="D2" t="s">
        <v>37</v>
      </c>
      <c r="E2" t="s">
        <v>42</v>
      </c>
    </row>
    <row r="3" spans="1:5" x14ac:dyDescent="0.25">
      <c r="A3" t="s">
        <v>38</v>
      </c>
      <c r="B3" s="8">
        <v>0.2</v>
      </c>
      <c r="C3" s="8">
        <v>0.1</v>
      </c>
      <c r="D3" s="47">
        <v>5</v>
      </c>
      <c r="E3" s="8">
        <v>8.0000000000000004E-4</v>
      </c>
    </row>
    <row r="4" spans="1:5" x14ac:dyDescent="0.25">
      <c r="A4" t="s">
        <v>40</v>
      </c>
      <c r="B4" s="8">
        <v>0.2</v>
      </c>
      <c r="C4" s="8">
        <v>0.1</v>
      </c>
      <c r="D4" s="47">
        <v>8</v>
      </c>
      <c r="E4" s="8">
        <v>8.0000000000000004E-4</v>
      </c>
    </row>
    <row r="5" spans="1:5" x14ac:dyDescent="0.25">
      <c r="A5" t="s">
        <v>41</v>
      </c>
      <c r="B5" s="8">
        <v>0.2</v>
      </c>
      <c r="C5" s="8">
        <v>0.1</v>
      </c>
      <c r="D5" s="47">
        <v>8</v>
      </c>
      <c r="E5">
        <v>1.2500000000000001E-2</v>
      </c>
    </row>
    <row r="6" spans="1:5" x14ac:dyDescent="0.25">
      <c r="A6" t="s">
        <v>26</v>
      </c>
      <c r="B6" s="8">
        <v>0.05</v>
      </c>
      <c r="C6" s="8">
        <v>2.5000000000000001E-2</v>
      </c>
    </row>
    <row r="7" spans="1:5" x14ac:dyDescent="0.25">
      <c r="A7" t="s">
        <v>27</v>
      </c>
      <c r="B7" s="8">
        <v>0.1</v>
      </c>
      <c r="C7" s="8">
        <v>0.05</v>
      </c>
    </row>
    <row r="8" spans="1:5" x14ac:dyDescent="0.25">
      <c r="A8" t="s">
        <v>28</v>
      </c>
      <c r="B8" s="8">
        <v>0.1</v>
      </c>
      <c r="C8" s="8">
        <v>0.05</v>
      </c>
    </row>
    <row r="9" spans="1:5" x14ac:dyDescent="0.25">
      <c r="A9" t="s">
        <v>29</v>
      </c>
      <c r="B9" s="8">
        <v>0.1</v>
      </c>
      <c r="C9" s="8">
        <v>0.05</v>
      </c>
    </row>
    <row r="10" spans="1:5" x14ac:dyDescent="0.25">
      <c r="A10" t="s">
        <v>30</v>
      </c>
      <c r="B10" s="8">
        <v>0.1</v>
      </c>
      <c r="C10" s="8">
        <v>0.05</v>
      </c>
    </row>
    <row r="11" spans="1:5" x14ac:dyDescent="0.25">
      <c r="A11" t="s">
        <v>31</v>
      </c>
      <c r="B11" s="8">
        <v>0.05</v>
      </c>
      <c r="C11" s="8">
        <v>2.5000000000000001E-2</v>
      </c>
    </row>
    <row r="12" spans="1:5" x14ac:dyDescent="0.25">
      <c r="A12" t="s">
        <v>32</v>
      </c>
      <c r="B12" s="8">
        <v>0.1</v>
      </c>
      <c r="C12" s="8">
        <v>0.05</v>
      </c>
    </row>
    <row r="13" spans="1:5" x14ac:dyDescent="0.25">
      <c r="A13" t="s">
        <v>33</v>
      </c>
      <c r="B13" s="8">
        <v>0.5</v>
      </c>
      <c r="C13" s="8">
        <v>0.25</v>
      </c>
      <c r="E13" s="8">
        <v>1.5E-3</v>
      </c>
    </row>
    <row r="14" spans="1:5" x14ac:dyDescent="0.25">
      <c r="A14" t="s">
        <v>34</v>
      </c>
      <c r="B14" s="8">
        <v>3.3300000000000003E-2</v>
      </c>
      <c r="C14" s="8">
        <v>1.67E-2</v>
      </c>
      <c r="E14" s="48">
        <v>3.4999999999999997E-5</v>
      </c>
    </row>
  </sheetData>
  <mergeCells count="2">
    <mergeCell ref="B1:C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AF114-BC27-4D5B-B191-B3AB713C2B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Calculadora CFD</vt:lpstr>
      <vt:lpstr>Garantias y Comisiones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MGL</dc:creator>
  <cp:lastModifiedBy>Jose MGL</cp:lastModifiedBy>
  <dcterms:created xsi:type="dcterms:W3CDTF">2022-04-03T14:05:34Z</dcterms:created>
  <dcterms:modified xsi:type="dcterms:W3CDTF">2023-02-04T09:59:14Z</dcterms:modified>
</cp:coreProperties>
</file>