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C:\Users\jmgom\SynologyDrive\Biblioteca\Plantillas Office\"/>
    </mc:Choice>
  </mc:AlternateContent>
  <xr:revisionPtr revIDLastSave="0" documentId="13_ncr:1_{523D97A7-FA76-4353-B3DE-38AF04D95D48}" xr6:coauthVersionLast="47" xr6:coauthVersionMax="47" xr10:uidLastSave="{00000000-0000-0000-0000-000000000000}"/>
  <bookViews>
    <workbookView xWindow="-28920" yWindow="-120" windowWidth="29040" windowHeight="15720" xr2:uid="{710DC5C7-9963-440C-8332-98F42F054162}"/>
  </bookViews>
  <sheets>
    <sheet name="GENERAL" sheetId="47" r:id="rId1"/>
    <sheet name="Resumen OPERACIONES" sheetId="8" r:id="rId2"/>
    <sheet name="OP. ABIERTAS (ACCIONES)" sheetId="41" r:id="rId3"/>
    <sheet name="OP. ABIERTAS (CFD)" sheetId="90" r:id="rId4"/>
    <sheet name="OP(Modelo)" sheetId="93" r:id="rId5"/>
    <sheet name="OP22.012" sheetId="100" r:id="rId6"/>
    <sheet name="OP22.011" sheetId="99" r:id="rId7"/>
    <sheet name="OP22.010" sheetId="98" r:id="rId8"/>
    <sheet name="OP22.009" sheetId="97" r:id="rId9"/>
    <sheet name="OP22.008" sheetId="96" r:id="rId10"/>
    <sheet name="OP22.007" sheetId="95" r:id="rId11"/>
    <sheet name="OP22.006" sheetId="94" r:id="rId12"/>
    <sheet name="OP22.005" sheetId="92" r:id="rId13"/>
    <sheet name="OP22.004" sheetId="89" r:id="rId14"/>
    <sheet name="OP22.003" sheetId="88" r:id="rId15"/>
    <sheet name="OP22.002" sheetId="87" r:id="rId16"/>
    <sheet name="OP22.001" sheetId="86" r:id="rId17"/>
    <sheet name="OP21.006" sheetId="85" r:id="rId18"/>
    <sheet name="OP21.005" sheetId="84" r:id="rId19"/>
    <sheet name="OP21.004" sheetId="83" r:id="rId20"/>
  </sheets>
  <definedNames>
    <definedName name="_xlnm.Print_Area" localSheetId="4">'OP(Modelo)'!$A$1:$H$40</definedName>
    <definedName name="_xlnm.Print_Area" localSheetId="2">'OP. ABIERTAS (ACCIONES)'!$B$1:$T$42</definedName>
    <definedName name="_xlnm.Print_Area" localSheetId="3">'OP. ABIERTAS (CFD)'!$B$1:$T$42</definedName>
    <definedName name="_xlnm.Print_Area" localSheetId="19">'OP21.004'!$A$1:$H$40</definedName>
    <definedName name="_xlnm.Print_Area" localSheetId="18">'OP21.005'!$A$1:$H$40</definedName>
    <definedName name="_xlnm.Print_Area" localSheetId="17">'OP21.006'!$A$1:$H$40</definedName>
    <definedName name="_xlnm.Print_Area" localSheetId="16">'OP22.001'!$A$1:$H$40</definedName>
    <definedName name="_xlnm.Print_Area" localSheetId="15">'OP22.002'!$A$1:$H$40</definedName>
    <definedName name="_xlnm.Print_Area" localSheetId="14">'OP22.003'!$A$1:$H$40</definedName>
    <definedName name="_xlnm.Print_Area" localSheetId="13">'OP22.004'!$A$1:$H$40</definedName>
    <definedName name="_xlnm.Print_Area" localSheetId="12">'OP22.005'!$A$1:$H$40</definedName>
    <definedName name="_xlnm.Print_Area" localSheetId="11">'OP22.006'!$A$1:$H$40</definedName>
    <definedName name="_xlnm.Print_Area" localSheetId="10">'OP22.007'!$A$1:$H$40</definedName>
    <definedName name="_xlnm.Print_Area" localSheetId="9">'OP22.008'!$A$1:$H$40</definedName>
    <definedName name="_xlnm.Print_Area" localSheetId="8">'OP22.009'!$A$1:$H$40</definedName>
    <definedName name="_xlnm.Print_Area" localSheetId="7">'OP22.010'!$A$1:$H$40</definedName>
    <definedName name="_xlnm.Print_Area" localSheetId="6">'OP22.011'!$A$1:$H$40</definedName>
    <definedName name="_xlnm.Print_Area" localSheetId="5">'OP22.012'!$A$1:$H$40</definedName>
    <definedName name="_xlnm.Print_Area" localSheetId="1">'Resumen OPERACIONES'!$B$1:$AK$76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7" i="100" l="1"/>
  <c r="C36" i="100" s="1" a="1"/>
  <c r="C36" i="100" s="1"/>
  <c r="F36" i="100"/>
  <c r="F40" i="100" s="1"/>
  <c r="E36" i="100"/>
  <c r="A36" i="100"/>
  <c r="H35" i="100"/>
  <c r="D35" i="100"/>
  <c r="H34" i="100"/>
  <c r="D34" i="100"/>
  <c r="H33" i="100"/>
  <c r="D33" i="100"/>
  <c r="H32" i="100"/>
  <c r="D32" i="100"/>
  <c r="H31" i="100"/>
  <c r="D31" i="100"/>
  <c r="H30" i="100"/>
  <c r="D30" i="100"/>
  <c r="H29" i="100"/>
  <c r="D29" i="100"/>
  <c r="H28" i="100"/>
  <c r="D28" i="100"/>
  <c r="H27" i="100"/>
  <c r="D27" i="100"/>
  <c r="H26" i="100"/>
  <c r="D26" i="100"/>
  <c r="H25" i="100"/>
  <c r="H36" i="100" s="1"/>
  <c r="D25" i="100"/>
  <c r="D36" i="100" s="1"/>
  <c r="A20" i="100"/>
  <c r="C19" i="100" s="1" a="1"/>
  <c r="C19" i="100" s="1"/>
  <c r="F19" i="100"/>
  <c r="E19" i="100"/>
  <c r="E40" i="100" s="1"/>
  <c r="A19" i="100"/>
  <c r="H18" i="100"/>
  <c r="D18" i="100"/>
  <c r="H17" i="100"/>
  <c r="D17" i="100"/>
  <c r="H16" i="100"/>
  <c r="D16" i="100"/>
  <c r="H15" i="100"/>
  <c r="D15" i="100"/>
  <c r="J14" i="100" a="1"/>
  <c r="J14" i="100" s="1"/>
  <c r="H14" i="100"/>
  <c r="D14" i="100"/>
  <c r="V13" i="100"/>
  <c r="J13" i="100" a="1"/>
  <c r="J13" i="100" s="1"/>
  <c r="H13" i="100"/>
  <c r="D13" i="100"/>
  <c r="J12" i="100" a="1"/>
  <c r="J12" i="100" s="1"/>
  <c r="H12" i="100"/>
  <c r="D12" i="100"/>
  <c r="W11" i="100"/>
  <c r="V11" i="100"/>
  <c r="V16" i="100" s="1"/>
  <c r="J11" i="100" a="1"/>
  <c r="J11" i="100" s="1"/>
  <c r="H11" i="100"/>
  <c r="D11" i="100"/>
  <c r="H10" i="100"/>
  <c r="D10" i="100"/>
  <c r="J9" i="100" a="1"/>
  <c r="J9" i="100" s="1"/>
  <c r="H9" i="100"/>
  <c r="D9" i="100"/>
  <c r="V8" i="100"/>
  <c r="J8" i="100" a="1"/>
  <c r="J8" i="100" s="1"/>
  <c r="H8" i="100"/>
  <c r="H19" i="100" s="1"/>
  <c r="D8" i="100"/>
  <c r="D19" i="100" s="1"/>
  <c r="V7" i="100"/>
  <c r="R7" i="100" a="1"/>
  <c r="R7" i="100" s="1"/>
  <c r="W6" i="100"/>
  <c r="R6" i="100" a="1"/>
  <c r="R6" i="100" s="1"/>
  <c r="J6" i="100" a="1"/>
  <c r="J6" i="100" s="1"/>
  <c r="K8" i="100" s="1"/>
  <c r="R5" i="100" a="1"/>
  <c r="R5" i="100" s="1"/>
  <c r="J5" i="100" a="1"/>
  <c r="J5" i="100" s="1"/>
  <c r="B5" i="100"/>
  <c r="B22" i="100" s="1"/>
  <c r="U4" i="100"/>
  <c r="U12" i="100" s="1"/>
  <c r="J4" i="100" a="1"/>
  <c r="J4" i="100" s="1"/>
  <c r="A37" i="99"/>
  <c r="B36" i="99" s="1" a="1"/>
  <c r="B36" i="99" s="1"/>
  <c r="F36" i="99"/>
  <c r="E36" i="99"/>
  <c r="C36" i="99" a="1"/>
  <c r="C36" i="99" s="1"/>
  <c r="A36" i="99"/>
  <c r="H35" i="99"/>
  <c r="D35" i="99"/>
  <c r="H34" i="99"/>
  <c r="D34" i="99"/>
  <c r="H33" i="99"/>
  <c r="D33" i="99"/>
  <c r="H32" i="99"/>
  <c r="D32" i="99"/>
  <c r="H31" i="99"/>
  <c r="D31" i="99"/>
  <c r="H30" i="99"/>
  <c r="D30" i="99"/>
  <c r="H29" i="99"/>
  <c r="D29" i="99"/>
  <c r="H28" i="99"/>
  <c r="D28" i="99"/>
  <c r="H27" i="99"/>
  <c r="D27" i="99"/>
  <c r="H26" i="99"/>
  <c r="D26" i="99"/>
  <c r="H25" i="99"/>
  <c r="H36" i="99" s="1"/>
  <c r="D25" i="99"/>
  <c r="D36" i="99" s="1"/>
  <c r="B22" i="99"/>
  <c r="A20" i="99"/>
  <c r="F19" i="99"/>
  <c r="F40" i="99" s="1"/>
  <c r="E19" i="99"/>
  <c r="E40" i="99" s="1"/>
  <c r="E41" i="99" s="1"/>
  <c r="C19" i="99" a="1"/>
  <c r="C19" i="99" s="1"/>
  <c r="B19" i="99" a="1"/>
  <c r="B19" i="99" s="1"/>
  <c r="A19" i="99"/>
  <c r="H18" i="99"/>
  <c r="D18" i="99"/>
  <c r="H17" i="99"/>
  <c r="D17" i="99"/>
  <c r="H16" i="99"/>
  <c r="D16" i="99"/>
  <c r="H15" i="99"/>
  <c r="D15" i="99"/>
  <c r="J14" i="99" a="1"/>
  <c r="J14" i="99" s="1"/>
  <c r="H14" i="99"/>
  <c r="D14" i="99"/>
  <c r="J13" i="99" a="1"/>
  <c r="J13" i="99" s="1"/>
  <c r="H13" i="99"/>
  <c r="D13" i="99"/>
  <c r="J12" i="99" a="1"/>
  <c r="J12" i="99" s="1"/>
  <c r="H12" i="99"/>
  <c r="D12" i="99"/>
  <c r="V11" i="99"/>
  <c r="V12" i="99" s="1"/>
  <c r="J11" i="99" a="1"/>
  <c r="J11" i="99" s="1"/>
  <c r="H11" i="99"/>
  <c r="D11" i="99"/>
  <c r="H10" i="99"/>
  <c r="D10" i="99"/>
  <c r="J9" i="99" a="1"/>
  <c r="J9" i="99" s="1"/>
  <c r="H9" i="99"/>
  <c r="D9" i="99"/>
  <c r="V8" i="99"/>
  <c r="J8" i="99" a="1"/>
  <c r="J8" i="99" s="1"/>
  <c r="H8" i="99"/>
  <c r="D8" i="99"/>
  <c r="D19" i="99" s="1"/>
  <c r="V7" i="99"/>
  <c r="R7" i="99" a="1"/>
  <c r="R7" i="99" s="1"/>
  <c r="W6" i="99"/>
  <c r="R6" i="99" a="1"/>
  <c r="R6" i="99" s="1"/>
  <c r="J6" i="99" a="1"/>
  <c r="J6" i="99" s="1"/>
  <c r="K8" i="99" s="1"/>
  <c r="R5" i="99" a="1"/>
  <c r="R5" i="99" s="1"/>
  <c r="J5" i="99" a="1"/>
  <c r="J5" i="99" s="1"/>
  <c r="B5" i="99"/>
  <c r="U4" i="99"/>
  <c r="U12" i="99" s="1"/>
  <c r="J4" i="99" a="1"/>
  <c r="J4" i="99" s="1"/>
  <c r="A37" i="98"/>
  <c r="C36" i="98" s="1" a="1"/>
  <c r="C36" i="98" s="1"/>
  <c r="F36" i="98"/>
  <c r="E36" i="98"/>
  <c r="A36" i="98"/>
  <c r="H35" i="98"/>
  <c r="D35" i="98"/>
  <c r="H34" i="98"/>
  <c r="D34" i="98"/>
  <c r="H33" i="98"/>
  <c r="D33" i="98"/>
  <c r="H32" i="98"/>
  <c r="D32" i="98"/>
  <c r="H31" i="98"/>
  <c r="D31" i="98"/>
  <c r="H30" i="98"/>
  <c r="D30" i="98"/>
  <c r="H29" i="98"/>
  <c r="D29" i="98"/>
  <c r="H28" i="98"/>
  <c r="D28" i="98"/>
  <c r="H27" i="98"/>
  <c r="D27" i="98"/>
  <c r="H26" i="98"/>
  <c r="D26" i="98"/>
  <c r="H25" i="98"/>
  <c r="D25" i="98"/>
  <c r="A20" i="98"/>
  <c r="B19" i="98" s="1" a="1"/>
  <c r="B19" i="98" s="1"/>
  <c r="F19" i="98"/>
  <c r="F40" i="98" s="1"/>
  <c r="E19" i="98"/>
  <c r="C19" i="98" a="1"/>
  <c r="C19" i="98" s="1"/>
  <c r="A19" i="98"/>
  <c r="H18" i="98"/>
  <c r="D18" i="98"/>
  <c r="H17" i="98"/>
  <c r="D17" i="98"/>
  <c r="H16" i="98"/>
  <c r="D16" i="98"/>
  <c r="H15" i="98"/>
  <c r="D15" i="98"/>
  <c r="J14" i="98" a="1"/>
  <c r="J14" i="98" s="1"/>
  <c r="H14" i="98"/>
  <c r="D14" i="98"/>
  <c r="V13" i="98"/>
  <c r="J13" i="98" a="1"/>
  <c r="J13" i="98" s="1"/>
  <c r="H13" i="98"/>
  <c r="D13" i="98"/>
  <c r="U12" i="98"/>
  <c r="J12" i="98" a="1"/>
  <c r="J12" i="98" s="1"/>
  <c r="H12" i="98"/>
  <c r="D12" i="98"/>
  <c r="V11" i="98"/>
  <c r="W11" i="98" s="1"/>
  <c r="J11" i="98" a="1"/>
  <c r="J11" i="98" s="1"/>
  <c r="H11" i="98"/>
  <c r="D11" i="98"/>
  <c r="H10" i="98"/>
  <c r="D10" i="98"/>
  <c r="J9" i="98" a="1"/>
  <c r="J9" i="98" s="1"/>
  <c r="H9" i="98"/>
  <c r="D9" i="98"/>
  <c r="V8" i="98"/>
  <c r="J8" i="98" a="1"/>
  <c r="J8" i="98" s="1"/>
  <c r="L8" i="98" s="1"/>
  <c r="H8" i="98"/>
  <c r="D8" i="98"/>
  <c r="D19" i="98" s="1"/>
  <c r="V7" i="98"/>
  <c r="U7" i="98"/>
  <c r="W7" i="98" s="1"/>
  <c r="R7" i="98" a="1"/>
  <c r="R7" i="98" s="1"/>
  <c r="W6" i="98"/>
  <c r="R6" i="98" a="1"/>
  <c r="R6" i="98" s="1"/>
  <c r="J6" i="98" a="1"/>
  <c r="J6" i="98" s="1"/>
  <c r="K8" i="98" s="1"/>
  <c r="R5" i="98" a="1"/>
  <c r="R5" i="98" s="1"/>
  <c r="J5" i="98" a="1"/>
  <c r="J5" i="98" s="1"/>
  <c r="B5" i="98"/>
  <c r="B22" i="98" s="1"/>
  <c r="U4" i="98"/>
  <c r="U17" i="98" s="1"/>
  <c r="J4" i="98" a="1"/>
  <c r="J4" i="98" s="1"/>
  <c r="A37" i="97"/>
  <c r="B36" i="97" s="1" a="1"/>
  <c r="B36" i="97" s="1"/>
  <c r="F36" i="97"/>
  <c r="F40" i="97" s="1"/>
  <c r="E36" i="97"/>
  <c r="C36" i="97" a="1"/>
  <c r="C36" i="97" s="1"/>
  <c r="A36" i="97"/>
  <c r="H35" i="97"/>
  <c r="D35" i="97"/>
  <c r="H34" i="97"/>
  <c r="D34" i="97"/>
  <c r="H33" i="97"/>
  <c r="D33" i="97"/>
  <c r="H32" i="97"/>
  <c r="D32" i="97"/>
  <c r="H31" i="97"/>
  <c r="D31" i="97"/>
  <c r="H30" i="97"/>
  <c r="D30" i="97"/>
  <c r="H29" i="97"/>
  <c r="D29" i="97"/>
  <c r="H28" i="97"/>
  <c r="D28" i="97"/>
  <c r="H27" i="97"/>
  <c r="D27" i="97"/>
  <c r="H26" i="97"/>
  <c r="D26" i="97"/>
  <c r="H25" i="97"/>
  <c r="H36" i="97" s="1"/>
  <c r="D25" i="97"/>
  <c r="D36" i="97" s="1"/>
  <c r="B22" i="97"/>
  <c r="A20" i="97"/>
  <c r="F19" i="97"/>
  <c r="E19" i="97"/>
  <c r="C19" i="97" a="1"/>
  <c r="C19" i="97" s="1"/>
  <c r="B19" i="97" a="1"/>
  <c r="B19" i="97" s="1"/>
  <c r="A19" i="97"/>
  <c r="H18" i="97"/>
  <c r="D18" i="97"/>
  <c r="H17" i="97"/>
  <c r="D17" i="97"/>
  <c r="H16" i="97"/>
  <c r="D16" i="97"/>
  <c r="H15" i="97"/>
  <c r="D15" i="97"/>
  <c r="J14" i="97" a="1"/>
  <c r="J14" i="97" s="1"/>
  <c r="H14" i="97"/>
  <c r="D14" i="97"/>
  <c r="J13" i="97" a="1"/>
  <c r="J13" i="97" s="1"/>
  <c r="H13" i="97"/>
  <c r="D13" i="97"/>
  <c r="J12" i="97" a="1"/>
  <c r="J12" i="97" s="1"/>
  <c r="H12" i="97"/>
  <c r="D12" i="97"/>
  <c r="V11" i="97"/>
  <c r="W11" i="97" s="1"/>
  <c r="J11" i="97" a="1"/>
  <c r="J11" i="97" s="1"/>
  <c r="H11" i="97"/>
  <c r="D11" i="97"/>
  <c r="H10" i="97"/>
  <c r="D10" i="97"/>
  <c r="J9" i="97" a="1"/>
  <c r="J9" i="97" s="1"/>
  <c r="H9" i="97"/>
  <c r="D9" i="97"/>
  <c r="V8" i="97"/>
  <c r="J8" i="97" a="1"/>
  <c r="J8" i="97" s="1"/>
  <c r="H8" i="97"/>
  <c r="H19" i="97" s="1"/>
  <c r="D8" i="97"/>
  <c r="D19" i="97" s="1"/>
  <c r="V7" i="97"/>
  <c r="R7" i="97" a="1"/>
  <c r="R7" i="97" s="1"/>
  <c r="W6" i="97"/>
  <c r="R6" i="97" a="1"/>
  <c r="R6" i="97" s="1"/>
  <c r="J6" i="97" a="1"/>
  <c r="J6" i="97" s="1"/>
  <c r="K8" i="97" s="1"/>
  <c r="R5" i="97" a="1"/>
  <c r="R5" i="97" s="1"/>
  <c r="J5" i="97" a="1"/>
  <c r="J5" i="97" s="1"/>
  <c r="B5" i="97"/>
  <c r="U4" i="97"/>
  <c r="U12" i="97" s="1"/>
  <c r="J4" i="97" a="1"/>
  <c r="J4" i="97" s="1"/>
  <c r="U7" i="95"/>
  <c r="A37" i="96"/>
  <c r="F36" i="96"/>
  <c r="F40" i="96" s="1"/>
  <c r="E36" i="96"/>
  <c r="C36" i="96" a="1"/>
  <c r="C36" i="96" s="1"/>
  <c r="B36" i="96" a="1"/>
  <c r="B36" i="96" s="1"/>
  <c r="A36" i="96"/>
  <c r="H35" i="96"/>
  <c r="D35" i="96"/>
  <c r="H34" i="96"/>
  <c r="D34" i="96"/>
  <c r="H33" i="96"/>
  <c r="D33" i="96"/>
  <c r="H32" i="96"/>
  <c r="D32" i="96"/>
  <c r="H31" i="96"/>
  <c r="D31" i="96"/>
  <c r="H30" i="96"/>
  <c r="D30" i="96"/>
  <c r="H29" i="96"/>
  <c r="D29" i="96"/>
  <c r="H28" i="96"/>
  <c r="D28" i="96"/>
  <c r="H27" i="96"/>
  <c r="D27" i="96"/>
  <c r="H26" i="96"/>
  <c r="D26" i="96"/>
  <c r="H25" i="96"/>
  <c r="H36" i="96" s="1"/>
  <c r="D25" i="96"/>
  <c r="D36" i="96" s="1"/>
  <c r="B22" i="96"/>
  <c r="A20" i="96"/>
  <c r="F19" i="96"/>
  <c r="E19" i="96"/>
  <c r="C19" i="96" a="1"/>
  <c r="C19" i="96" s="1"/>
  <c r="B19" i="96" a="1"/>
  <c r="B19" i="96" s="1"/>
  <c r="A19" i="96"/>
  <c r="H18" i="96"/>
  <c r="D18" i="96"/>
  <c r="H17" i="96"/>
  <c r="D17" i="96"/>
  <c r="H16" i="96"/>
  <c r="D16" i="96"/>
  <c r="H15" i="96"/>
  <c r="D15" i="96"/>
  <c r="J14" i="96" a="1"/>
  <c r="J14" i="96" s="1"/>
  <c r="H14" i="96"/>
  <c r="D14" i="96"/>
  <c r="J13" i="96" a="1"/>
  <c r="J13" i="96" s="1"/>
  <c r="H13" i="96"/>
  <c r="D13" i="96"/>
  <c r="J12" i="96" a="1"/>
  <c r="J12" i="96" s="1"/>
  <c r="H12" i="96"/>
  <c r="D12" i="96"/>
  <c r="V11" i="96"/>
  <c r="V12" i="96" s="1"/>
  <c r="J11" i="96" a="1"/>
  <c r="J11" i="96" s="1"/>
  <c r="H11" i="96"/>
  <c r="D11" i="96"/>
  <c r="H10" i="96"/>
  <c r="D10" i="96"/>
  <c r="J9" i="96" a="1"/>
  <c r="J9" i="96" s="1"/>
  <c r="H9" i="96"/>
  <c r="D9" i="96"/>
  <c r="V8" i="96"/>
  <c r="J8" i="96" a="1"/>
  <c r="J8" i="96" s="1"/>
  <c r="H8" i="96"/>
  <c r="D8" i="96"/>
  <c r="D19" i="96" s="1"/>
  <c r="V7" i="96"/>
  <c r="R7" i="96" a="1"/>
  <c r="R7" i="96" s="1"/>
  <c r="W6" i="96"/>
  <c r="R6" i="96" a="1"/>
  <c r="R6" i="96" s="1"/>
  <c r="J6" i="96" a="1"/>
  <c r="J6" i="96" s="1"/>
  <c r="K8" i="96" s="1"/>
  <c r="R5" i="96" a="1"/>
  <c r="R5" i="96" s="1"/>
  <c r="J5" i="96" a="1"/>
  <c r="J5" i="96" s="1"/>
  <c r="B5" i="96"/>
  <c r="U4" i="96"/>
  <c r="U17" i="96" s="1"/>
  <c r="J4" i="96" a="1"/>
  <c r="J4" i="96" s="1"/>
  <c r="F40" i="95"/>
  <c r="A37" i="95"/>
  <c r="F36" i="95"/>
  <c r="E36" i="95"/>
  <c r="C36" i="95" a="1"/>
  <c r="C36" i="95" s="1"/>
  <c r="B36" i="95" a="1"/>
  <c r="B36" i="95" s="1"/>
  <c r="A36" i="95"/>
  <c r="H35" i="95"/>
  <c r="D35" i="95"/>
  <c r="H34" i="95"/>
  <c r="D34" i="95"/>
  <c r="H33" i="95"/>
  <c r="D33" i="95"/>
  <c r="H32" i="95"/>
  <c r="D32" i="95"/>
  <c r="H31" i="95"/>
  <c r="D31" i="95"/>
  <c r="H30" i="95"/>
  <c r="D30" i="95"/>
  <c r="H29" i="95"/>
  <c r="D29" i="95"/>
  <c r="H28" i="95"/>
  <c r="D28" i="95"/>
  <c r="H27" i="95"/>
  <c r="D27" i="95"/>
  <c r="H26" i="95"/>
  <c r="D26" i="95"/>
  <c r="H25" i="95"/>
  <c r="H36" i="95" s="1"/>
  <c r="D25" i="95"/>
  <c r="D36" i="95" s="1"/>
  <c r="B22" i="95"/>
  <c r="A20" i="95"/>
  <c r="B19" i="95" s="1" a="1"/>
  <c r="B19" i="95" s="1"/>
  <c r="F19" i="95"/>
  <c r="E19" i="95"/>
  <c r="A19" i="95"/>
  <c r="H18" i="95"/>
  <c r="D18" i="95"/>
  <c r="H17" i="95"/>
  <c r="D17" i="95"/>
  <c r="H16" i="95"/>
  <c r="D16" i="95"/>
  <c r="H15" i="95"/>
  <c r="D15" i="95"/>
  <c r="J14" i="95" a="1"/>
  <c r="J14" i="95" s="1"/>
  <c r="H14" i="95"/>
  <c r="D14" i="95"/>
  <c r="J13" i="95" a="1"/>
  <c r="J13" i="95" s="1"/>
  <c r="H13" i="95"/>
  <c r="D13" i="95"/>
  <c r="J12" i="95" a="1"/>
  <c r="J12" i="95" s="1"/>
  <c r="H12" i="95"/>
  <c r="D12" i="95"/>
  <c r="V11" i="95"/>
  <c r="V12" i="95" s="1"/>
  <c r="J11" i="95" a="1"/>
  <c r="J11" i="95" s="1"/>
  <c r="H11" i="95"/>
  <c r="D11" i="95"/>
  <c r="H10" i="95"/>
  <c r="D10" i="95"/>
  <c r="J9" i="95" a="1"/>
  <c r="J9" i="95" s="1"/>
  <c r="H9" i="95"/>
  <c r="D9" i="95"/>
  <c r="V8" i="95"/>
  <c r="J8" i="95" a="1"/>
  <c r="J8" i="95" s="1"/>
  <c r="H8" i="95"/>
  <c r="D8" i="95"/>
  <c r="D19" i="95" s="1"/>
  <c r="V7" i="95"/>
  <c r="R7" i="95" a="1"/>
  <c r="R7" i="95" s="1"/>
  <c r="W6" i="95"/>
  <c r="R6" i="95" a="1"/>
  <c r="R6" i="95" s="1"/>
  <c r="J6" i="95" a="1"/>
  <c r="J6" i="95" s="1"/>
  <c r="K8" i="95" s="1"/>
  <c r="R5" i="95" a="1"/>
  <c r="R5" i="95" s="1"/>
  <c r="J5" i="95" a="1"/>
  <c r="J5" i="95" s="1"/>
  <c r="B5" i="95"/>
  <c r="U4" i="95"/>
  <c r="W7" i="95" s="1"/>
  <c r="J4" i="95" a="1"/>
  <c r="J4" i="95" s="1"/>
  <c r="B5" i="93"/>
  <c r="B22" i="93" s="1"/>
  <c r="F40" i="94"/>
  <c r="A37" i="94"/>
  <c r="C36" i="94" s="1" a="1"/>
  <c r="C36" i="94" s="1"/>
  <c r="F36" i="94"/>
  <c r="E36" i="94"/>
  <c r="A36" i="94"/>
  <c r="H35" i="94"/>
  <c r="D35" i="94"/>
  <c r="H34" i="94"/>
  <c r="D34" i="94"/>
  <c r="H33" i="94"/>
  <c r="D33" i="94"/>
  <c r="H32" i="94"/>
  <c r="D32" i="94"/>
  <c r="H31" i="94"/>
  <c r="D31" i="94"/>
  <c r="H30" i="94"/>
  <c r="D30" i="94"/>
  <c r="H29" i="94"/>
  <c r="D29" i="94"/>
  <c r="H28" i="94"/>
  <c r="D28" i="94"/>
  <c r="H27" i="94"/>
  <c r="D27" i="94"/>
  <c r="H26" i="94"/>
  <c r="D26" i="94"/>
  <c r="H25" i="94"/>
  <c r="H36" i="94" s="1"/>
  <c r="D25" i="94"/>
  <c r="D36" i="94" s="1"/>
  <c r="A20" i="94"/>
  <c r="C19" i="94" s="1" a="1"/>
  <c r="C19" i="94" s="1"/>
  <c r="F19" i="94"/>
  <c r="E19" i="94"/>
  <c r="A19" i="94"/>
  <c r="H18" i="94"/>
  <c r="D18" i="94"/>
  <c r="H17" i="94"/>
  <c r="D17" i="94"/>
  <c r="H16" i="94"/>
  <c r="D16" i="94"/>
  <c r="H15" i="94"/>
  <c r="D15" i="94"/>
  <c r="J14" i="94" a="1"/>
  <c r="J14" i="94" s="1"/>
  <c r="H14" i="94"/>
  <c r="D14" i="94"/>
  <c r="J13" i="94" a="1"/>
  <c r="J13" i="94" s="1"/>
  <c r="H13" i="94"/>
  <c r="D13" i="94"/>
  <c r="J12" i="94" a="1"/>
  <c r="J12" i="94" s="1"/>
  <c r="H12" i="94"/>
  <c r="D12" i="94"/>
  <c r="W11" i="94"/>
  <c r="V11" i="94"/>
  <c r="V16" i="94" s="1"/>
  <c r="J11" i="94" a="1"/>
  <c r="J11" i="94" s="1"/>
  <c r="H11" i="94"/>
  <c r="D11" i="94"/>
  <c r="H10" i="94"/>
  <c r="D10" i="94"/>
  <c r="J9" i="94" a="1"/>
  <c r="J9" i="94" s="1"/>
  <c r="H9" i="94"/>
  <c r="D9" i="94"/>
  <c r="V8" i="94"/>
  <c r="J8" i="94" a="1"/>
  <c r="J8" i="94" s="1"/>
  <c r="H8" i="94"/>
  <c r="D8" i="94"/>
  <c r="D19" i="94" s="1"/>
  <c r="V7" i="94"/>
  <c r="R7" i="94" a="1"/>
  <c r="R7" i="94" s="1"/>
  <c r="W6" i="94"/>
  <c r="R6" i="94" a="1"/>
  <c r="R6" i="94" s="1"/>
  <c r="J6" i="94" a="1"/>
  <c r="J6" i="94" s="1"/>
  <c r="K8" i="94" s="1"/>
  <c r="R5" i="94" a="1"/>
  <c r="R5" i="94" s="1"/>
  <c r="J5" i="94" a="1"/>
  <c r="J5" i="94" s="1"/>
  <c r="U4" i="94"/>
  <c r="U7" i="94" s="1"/>
  <c r="W7" i="94" s="1"/>
  <c r="J4" i="94" a="1"/>
  <c r="J4" i="94" s="1"/>
  <c r="A37" i="93"/>
  <c r="C36" i="93" s="1" a="1"/>
  <c r="C36" i="93" s="1"/>
  <c r="F36" i="93"/>
  <c r="E36" i="93"/>
  <c r="D36" i="93"/>
  <c r="A36" i="93"/>
  <c r="H35" i="93"/>
  <c r="D35" i="93"/>
  <c r="H34" i="93"/>
  <c r="D34" i="93"/>
  <c r="H33" i="93"/>
  <c r="D33" i="93"/>
  <c r="H32" i="93"/>
  <c r="D32" i="93"/>
  <c r="H31" i="93"/>
  <c r="D31" i="93"/>
  <c r="H30" i="93"/>
  <c r="D30" i="93"/>
  <c r="H29" i="93"/>
  <c r="D29" i="93"/>
  <c r="H28" i="93"/>
  <c r="D28" i="93"/>
  <c r="H27" i="93"/>
  <c r="D27" i="93"/>
  <c r="H26" i="93"/>
  <c r="D26" i="93"/>
  <c r="H25" i="93"/>
  <c r="H36" i="93" s="1"/>
  <c r="D25" i="93"/>
  <c r="A20" i="93"/>
  <c r="C19" i="93" s="1" a="1"/>
  <c r="C19" i="93" s="1"/>
  <c r="F19" i="93"/>
  <c r="F40" i="93" s="1"/>
  <c r="E19" i="93"/>
  <c r="A19" i="93"/>
  <c r="H18" i="93"/>
  <c r="D18" i="93"/>
  <c r="H17" i="93"/>
  <c r="D17" i="93"/>
  <c r="H16" i="93"/>
  <c r="D16" i="93"/>
  <c r="H15" i="93"/>
  <c r="D15" i="93"/>
  <c r="J14" i="93" a="1"/>
  <c r="J14" i="93" s="1"/>
  <c r="H14" i="93"/>
  <c r="D14" i="93"/>
  <c r="V13" i="93"/>
  <c r="J13" i="93" a="1"/>
  <c r="J13" i="93" s="1"/>
  <c r="H13" i="93"/>
  <c r="D13" i="93"/>
  <c r="J12" i="93" a="1"/>
  <c r="J12" i="93" s="1"/>
  <c r="H12" i="93"/>
  <c r="D12" i="93"/>
  <c r="W11" i="93"/>
  <c r="V11" i="93"/>
  <c r="V16" i="93" s="1"/>
  <c r="J11" i="93" a="1"/>
  <c r="J11" i="93" s="1"/>
  <c r="H11" i="93"/>
  <c r="D11" i="93"/>
  <c r="H10" i="93"/>
  <c r="D10" i="93"/>
  <c r="J9" i="93" a="1"/>
  <c r="J9" i="93" s="1"/>
  <c r="H9" i="93"/>
  <c r="D9" i="93"/>
  <c r="V8" i="93"/>
  <c r="J8" i="93" a="1"/>
  <c r="J8" i="93" s="1"/>
  <c r="H8" i="93"/>
  <c r="D8" i="93"/>
  <c r="D19" i="93" s="1"/>
  <c r="V7" i="93"/>
  <c r="U7" i="93"/>
  <c r="W7" i="93" s="1"/>
  <c r="R7" i="93" a="1"/>
  <c r="R7" i="93" s="1"/>
  <c r="W6" i="93"/>
  <c r="R6" i="93" a="1"/>
  <c r="R6" i="93" s="1"/>
  <c r="J6" i="93" a="1"/>
  <c r="J6" i="93" s="1"/>
  <c r="K8" i="93" s="1"/>
  <c r="R5" i="93" a="1"/>
  <c r="R5" i="93" s="1"/>
  <c r="J5" i="93" a="1"/>
  <c r="J5" i="93" s="1"/>
  <c r="U4" i="93"/>
  <c r="U12" i="93" s="1"/>
  <c r="J4" i="93" a="1"/>
  <c r="J4" i="93" s="1"/>
  <c r="V18" i="92"/>
  <c r="V17" i="92"/>
  <c r="U17" i="92"/>
  <c r="W17" i="92" s="1"/>
  <c r="V7" i="92"/>
  <c r="W6" i="92"/>
  <c r="U4" i="92"/>
  <c r="U12" i="92" s="1"/>
  <c r="W12" i="92" s="1"/>
  <c r="A37" i="92"/>
  <c r="B36" i="92" s="1" a="1"/>
  <c r="B36" i="92" s="1"/>
  <c r="F36" i="92"/>
  <c r="E36" i="92"/>
  <c r="A36" i="92"/>
  <c r="H35" i="92"/>
  <c r="D35" i="92"/>
  <c r="H34" i="92"/>
  <c r="D34" i="92"/>
  <c r="H33" i="92"/>
  <c r="D33" i="92"/>
  <c r="H32" i="92"/>
  <c r="D32" i="92"/>
  <c r="H31" i="92"/>
  <c r="D31" i="92"/>
  <c r="H30" i="92"/>
  <c r="D30" i="92"/>
  <c r="H29" i="92"/>
  <c r="D29" i="92"/>
  <c r="H28" i="92"/>
  <c r="D28" i="92"/>
  <c r="H27" i="92"/>
  <c r="D27" i="92"/>
  <c r="H26" i="92"/>
  <c r="D26" i="92"/>
  <c r="H25" i="92"/>
  <c r="D25" i="92"/>
  <c r="A20" i="92"/>
  <c r="C19" i="92" s="1" a="1"/>
  <c r="C19" i="92" s="1"/>
  <c r="F19" i="92"/>
  <c r="E19" i="92"/>
  <c r="A19" i="92"/>
  <c r="H18" i="92"/>
  <c r="D18" i="92"/>
  <c r="H17" i="92"/>
  <c r="D17" i="92"/>
  <c r="H16" i="92"/>
  <c r="D16" i="92"/>
  <c r="H15" i="92"/>
  <c r="D15" i="92"/>
  <c r="J14" i="92" a="1"/>
  <c r="J14" i="92" s="1"/>
  <c r="H14" i="92"/>
  <c r="D14" i="92"/>
  <c r="J13" i="92" a="1"/>
  <c r="J13" i="92" s="1"/>
  <c r="H13" i="92"/>
  <c r="D13" i="92"/>
  <c r="J12" i="92" a="1"/>
  <c r="J12" i="92" s="1"/>
  <c r="H12" i="92"/>
  <c r="D12" i="92"/>
  <c r="J11" i="92" a="1"/>
  <c r="J11" i="92" s="1"/>
  <c r="H11" i="92"/>
  <c r="D11" i="92"/>
  <c r="H10" i="92"/>
  <c r="D10" i="92"/>
  <c r="V11" i="92"/>
  <c r="V16" i="92" s="1"/>
  <c r="J9" i="92" a="1"/>
  <c r="J9" i="92" s="1"/>
  <c r="H9" i="92"/>
  <c r="D9" i="92"/>
  <c r="J8" i="92" a="1"/>
  <c r="J8" i="92" s="1"/>
  <c r="H8" i="92"/>
  <c r="D8" i="92"/>
  <c r="R7" i="92" a="1"/>
  <c r="R7" i="92" s="1"/>
  <c r="V8" i="92"/>
  <c r="R6" i="92" a="1"/>
  <c r="R6" i="92" s="1"/>
  <c r="J6" i="92" a="1"/>
  <c r="J6" i="92" s="1"/>
  <c r="K8" i="92" s="1"/>
  <c r="R5" i="92" a="1"/>
  <c r="R5" i="92" s="1"/>
  <c r="J5" i="92" a="1"/>
  <c r="J5" i="92" s="1"/>
  <c r="J4" i="92" a="1"/>
  <c r="J4" i="92" s="1"/>
  <c r="G9" i="8" a="1"/>
  <c r="AB13" i="8" a="1"/>
  <c r="F14" i="8" a="1"/>
  <c r="W16" i="8" a="1"/>
  <c r="T11" i="8" a="1"/>
  <c r="W14" i="8" a="1"/>
  <c r="AK13" i="8" a="1"/>
  <c r="L15" i="8" a="1"/>
  <c r="AJ15" i="8" a="1"/>
  <c r="R13" i="8" a="1"/>
  <c r="W15" i="8" a="1"/>
  <c r="L10" i="8" a="1"/>
  <c r="K11" i="8" a="1"/>
  <c r="J9" i="8" a="1"/>
  <c r="W9" i="8" a="1"/>
  <c r="F10" i="8" a="1"/>
  <c r="X12" i="8" a="1"/>
  <c r="K16" i="8" a="1"/>
  <c r="X13" i="8" a="1"/>
  <c r="AE15" i="8" a="1"/>
  <c r="AD13" i="8" a="1"/>
  <c r="K13" i="8" a="1"/>
  <c r="C13" i="8" a="1"/>
  <c r="L14" i="8" a="1"/>
  <c r="AK15" i="8" a="1"/>
  <c r="AE11" i="8" a="1"/>
  <c r="T2" i="90" a="1"/>
  <c r="M12" i="8" a="1"/>
  <c r="X2" i="90" a="1"/>
  <c r="C10" i="8" a="1"/>
  <c r="L12" i="8" a="1"/>
  <c r="AJ14" i="8" a="1"/>
  <c r="S13" i="8" a="1"/>
  <c r="M15" i="8" a="1"/>
  <c r="E12" i="8" a="1"/>
  <c r="B9" i="8" a="1"/>
  <c r="AD15" i="8" a="1"/>
  <c r="AB15" i="8" a="1"/>
  <c r="C12" i="8" a="1"/>
  <c r="B10" i="8" a="1"/>
  <c r="C14" i="8" a="1"/>
  <c r="F11" i="8" a="1"/>
  <c r="S16" i="8" a="1"/>
  <c r="X10" i="8" a="1"/>
  <c r="I10" i="8" a="1"/>
  <c r="D13" i="8" a="1"/>
  <c r="Y12" i="8" a="1"/>
  <c r="B12" i="8" a="1"/>
  <c r="AB12" i="8" a="1"/>
  <c r="V12" i="8" a="1"/>
  <c r="I11" i="8" a="1"/>
  <c r="AE16" i="8" a="1"/>
  <c r="L13" i="8" a="1"/>
  <c r="D2" i="8" a="1"/>
  <c r="AE13" i="8" a="1"/>
  <c r="AM13" i="8" a="1"/>
  <c r="N12" i="8" a="1"/>
  <c r="G16" i="8" a="1"/>
  <c r="F16" i="8" a="1"/>
  <c r="AJ13" i="8" a="1"/>
  <c r="H11" i="8" a="1"/>
  <c r="T13" i="8" a="1"/>
  <c r="AJ9" i="8" a="1"/>
  <c r="O10" i="8" a="1"/>
  <c r="H14" i="8" a="1"/>
  <c r="H15" i="8" a="1"/>
  <c r="AM15" i="8" a="1"/>
  <c r="AB16" i="8" a="1"/>
  <c r="W11" i="8" a="1"/>
  <c r="V11" i="8" a="1"/>
  <c r="O12" i="8" a="1"/>
  <c r="R12" i="8" a="1"/>
  <c r="AJ12" i="8" a="1"/>
  <c r="W10" i="8" a="1"/>
  <c r="Y10" i="8" a="1"/>
  <c r="AH13" i="8" a="1"/>
  <c r="S15" i="8" a="1"/>
  <c r="T9" i="8" a="1"/>
  <c r="AJ10" i="8" a="1"/>
  <c r="AD9" i="8" a="1"/>
  <c r="AE10" i="8" a="1"/>
  <c r="N10" i="8" a="1"/>
  <c r="AM9" i="8" a="1"/>
  <c r="AK14" i="8" a="1"/>
  <c r="O11" i="8" a="1"/>
  <c r="J16" i="8" a="1"/>
  <c r="AJ16" i="8" a="1"/>
  <c r="G15" i="8" a="1"/>
  <c r="D14" i="8" a="1"/>
  <c r="I13" i="8" a="1"/>
  <c r="N16" i="8" a="1"/>
  <c r="V14" i="8" a="1"/>
  <c r="F12" i="8" a="1"/>
  <c r="B14" i="8" a="1"/>
  <c r="X14" i="8" a="1"/>
  <c r="O15" i="8" a="1"/>
  <c r="D12" i="8" a="1"/>
  <c r="L9" i="8" a="1"/>
  <c r="Y9" i="8" a="1"/>
  <c r="V9" i="8" a="1"/>
  <c r="D11" i="8" a="1"/>
  <c r="G10" i="8" a="1"/>
  <c r="E5" i="8" a="1"/>
  <c r="AB11" i="8" a="1"/>
  <c r="W13" i="8" a="1"/>
  <c r="R2" i="90" a="1"/>
  <c r="M9" i="8" a="1"/>
  <c r="U11" i="8" a="1"/>
  <c r="B15" i="8" a="1"/>
  <c r="E8" i="8" a="1"/>
  <c r="G13" i="8" a="1"/>
  <c r="C15" i="8" a="1"/>
  <c r="U13" i="8" a="1"/>
  <c r="AM10" i="8" a="1"/>
  <c r="F9" i="8" a="1"/>
  <c r="T14" i="8" a="1"/>
  <c r="O2" i="90" a="1"/>
  <c r="J13" i="8" a="1"/>
  <c r="E3" i="8" a="1"/>
  <c r="G12" i="8" a="1"/>
  <c r="T12" i="8" a="1"/>
  <c r="X11" i="8" a="1"/>
  <c r="N15" i="8" a="1"/>
  <c r="O14" i="8" a="1"/>
  <c r="AK11" i="8" a="1"/>
  <c r="AH16" i="8" a="1"/>
  <c r="C2" i="90" a="1"/>
  <c r="V2" i="90" a="1"/>
  <c r="AD11" i="8" a="1"/>
  <c r="Y16" i="8" a="1"/>
  <c r="M10" i="8" a="1"/>
  <c r="X9" i="8" a="1"/>
  <c r="H12" i="8" a="1"/>
  <c r="R16" i="8" a="1"/>
  <c r="E15" i="8" a="1"/>
  <c r="D16" i="8" a="1"/>
  <c r="AK10" i="8" a="1"/>
  <c r="N13" i="8" a="1"/>
  <c r="F13" i="8" a="1"/>
  <c r="Y14" i="8" a="1"/>
  <c r="H13" i="8" a="1"/>
  <c r="R11" i="8" a="1"/>
  <c r="AE9" i="8" a="1"/>
  <c r="U15" i="8" a="1"/>
  <c r="D2" i="90" a="1"/>
  <c r="D10" i="8" a="1"/>
  <c r="L11" i="8" a="1"/>
  <c r="H16" i="8" a="1"/>
  <c r="S14" i="8" a="1"/>
  <c r="AD12" i="8" a="1"/>
  <c r="AH14" i="8" a="1"/>
  <c r="T10" i="8" a="1"/>
  <c r="AJ11" i="8" a="1"/>
  <c r="V16" i="8" a="1"/>
  <c r="M14" i="8" a="1"/>
  <c r="S11" i="8" a="1"/>
  <c r="O13" i="8" a="1"/>
  <c r="I15" i="8" a="1"/>
  <c r="J12" i="8" a="1"/>
  <c r="R15" i="8" a="1"/>
  <c r="M13" i="8" a="1"/>
  <c r="H2" i="90" a="1"/>
  <c r="E9" i="8" a="1"/>
  <c r="L16" i="8" a="1"/>
  <c r="E7" i="8" a="1"/>
  <c r="J14" i="8" a="1"/>
  <c r="AE14" i="8" a="1"/>
  <c r="C11" i="8" a="1"/>
  <c r="V13" i="8" a="1"/>
  <c r="U14" i="8" a="1"/>
  <c r="S9" i="8" a="1"/>
  <c r="Y15" i="8" a="1"/>
  <c r="V15" i="8" a="1"/>
  <c r="K15" i="8" a="1"/>
  <c r="U12" i="8" a="1"/>
  <c r="AK9" i="8" a="1"/>
  <c r="AH12" i="8" a="1"/>
  <c r="O16" i="8" a="1"/>
  <c r="I12" i="8" a="1"/>
  <c r="K10" i="8" a="1"/>
  <c r="C9" i="8" a="1"/>
  <c r="G11" i="8" a="1"/>
  <c r="H10" i="8" a="1"/>
  <c r="T16" i="8" a="1"/>
  <c r="E4" i="8" a="1"/>
  <c r="B11" i="8" a="1"/>
  <c r="X15" i="8" a="1"/>
  <c r="AH11" i="8" a="1"/>
  <c r="AH9" i="8" a="1"/>
  <c r="F15" i="8" a="1"/>
  <c r="I16" i="8" a="1"/>
  <c r="I14" i="8" a="1"/>
  <c r="W12" i="8" a="1"/>
  <c r="B16" i="8" a="1"/>
  <c r="E2" i="8" a="1"/>
  <c r="R14" i="8" a="1"/>
  <c r="AK12" i="8" a="1"/>
  <c r="G2" i="90" a="1"/>
  <c r="E2" i="90" a="1"/>
  <c r="K9" i="8" a="1"/>
  <c r="U10" i="8" a="1"/>
  <c r="E14" i="8" a="1"/>
  <c r="C16" i="8" a="1"/>
  <c r="AE12" i="8" a="1"/>
  <c r="K14" i="8" a="1"/>
  <c r="H9" i="8" a="1"/>
  <c r="AB14" i="8" a="1"/>
  <c r="J15" i="8" a="1"/>
  <c r="AC2" i="90" a="1"/>
  <c r="E10" i="8" a="1"/>
  <c r="O9" i="8" a="1"/>
  <c r="S12" i="8" a="1"/>
  <c r="V10" i="8" a="1"/>
  <c r="N9" i="8" a="1"/>
  <c r="T15" i="8" a="1"/>
  <c r="E6" i="8" a="1"/>
  <c r="E13" i="8" a="1"/>
  <c r="J10" i="8" a="1"/>
  <c r="E11" i="8" a="1"/>
  <c r="J11" i="8" a="1"/>
  <c r="Y13" i="8" a="1"/>
  <c r="U16" i="8" a="1"/>
  <c r="M16" i="8" a="1"/>
  <c r="D9" i="8" a="1"/>
  <c r="AH15" i="8" a="1"/>
  <c r="M11" i="8" a="1"/>
  <c r="N14" i="8" a="1"/>
  <c r="N2" i="90" a="1"/>
  <c r="Y11" i="8" a="1"/>
  <c r="U9" i="8" a="1"/>
  <c r="R9" i="8" a="1"/>
  <c r="N11" i="8" a="1"/>
  <c r="B13" i="8" a="1"/>
  <c r="R10" i="8" a="1"/>
  <c r="AM11" i="8" a="1"/>
  <c r="AM14" i="8" a="1"/>
  <c r="AD14" i="8" a="1"/>
  <c r="AM12" i="8" a="1"/>
  <c r="X16" i="8" a="1"/>
  <c r="K12" i="8" a="1"/>
  <c r="S10" i="8" a="1"/>
  <c r="D15" i="8" a="1"/>
  <c r="AB9" i="8" a="1"/>
  <c r="E16" i="8" a="1"/>
  <c r="AM16" i="8" a="1"/>
  <c r="G14" i="8" a="1"/>
  <c r="I2" i="90" a="1"/>
  <c r="AB10" i="8" a="1"/>
  <c r="AD16" i="8" a="1"/>
  <c r="AK16" i="8" a="1"/>
  <c r="I9" i="8" a="1"/>
  <c r="AK16" i="8" l="1"/>
  <c r="AB16" i="8"/>
  <c r="M16" i="8"/>
  <c r="G16" i="8"/>
  <c r="T16" i="8"/>
  <c r="U16" i="8"/>
  <c r="AJ16" i="8"/>
  <c r="L16" i="8"/>
  <c r="F16" i="8"/>
  <c r="Y16" i="8"/>
  <c r="S16" i="8"/>
  <c r="AH16" i="8"/>
  <c r="K16" i="8"/>
  <c r="E16" i="8"/>
  <c r="X16" i="8"/>
  <c r="R16" i="8"/>
  <c r="J16" i="8"/>
  <c r="D16" i="8"/>
  <c r="AE16" i="8"/>
  <c r="W16" i="8"/>
  <c r="O16" i="8"/>
  <c r="I16" i="8"/>
  <c r="C16" i="8"/>
  <c r="AD16" i="8"/>
  <c r="V16" i="8"/>
  <c r="AM16" i="8"/>
  <c r="N16" i="8"/>
  <c r="H16" i="8"/>
  <c r="B16" i="8"/>
  <c r="B19" i="100" a="1"/>
  <c r="B19" i="100" s="1"/>
  <c r="L8" i="100"/>
  <c r="D40" i="100"/>
  <c r="F42" i="100" s="1"/>
  <c r="U13" i="100"/>
  <c r="W13" i="100" s="1"/>
  <c r="V18" i="100"/>
  <c r="V17" i="100"/>
  <c r="W16" i="100"/>
  <c r="H38" i="100"/>
  <c r="W12" i="100"/>
  <c r="E41" i="100"/>
  <c r="U7" i="100"/>
  <c r="W7" i="100" s="1"/>
  <c r="U17" i="100"/>
  <c r="W17" i="100" s="1"/>
  <c r="V12" i="100"/>
  <c r="B36" i="100" a="1"/>
  <c r="B36" i="100" s="1"/>
  <c r="AJ15" i="8"/>
  <c r="L15" i="8"/>
  <c r="F15" i="8"/>
  <c r="G15" i="8"/>
  <c r="Y15" i="8"/>
  <c r="S15" i="8"/>
  <c r="T15" i="8"/>
  <c r="AH15" i="8"/>
  <c r="K15" i="8"/>
  <c r="E15" i="8"/>
  <c r="X15" i="8"/>
  <c r="R15" i="8"/>
  <c r="AB15" i="8"/>
  <c r="J15" i="8"/>
  <c r="D15" i="8"/>
  <c r="AE15" i="8"/>
  <c r="W15" i="8"/>
  <c r="M15" i="8"/>
  <c r="O15" i="8"/>
  <c r="I15" i="8"/>
  <c r="C15" i="8"/>
  <c r="AD15" i="8"/>
  <c r="V15" i="8"/>
  <c r="U15" i="8"/>
  <c r="AK15" i="8"/>
  <c r="AM15" i="8"/>
  <c r="N15" i="8"/>
  <c r="H15" i="8"/>
  <c r="B15" i="8"/>
  <c r="H19" i="99"/>
  <c r="H38" i="99"/>
  <c r="L8" i="99"/>
  <c r="D40" i="99"/>
  <c r="F42" i="99" s="1"/>
  <c r="H40" i="99" s="1"/>
  <c r="U13" i="99"/>
  <c r="W12" i="99"/>
  <c r="W11" i="99"/>
  <c r="U7" i="99"/>
  <c r="W7" i="99" s="1"/>
  <c r="V13" i="99"/>
  <c r="U17" i="99"/>
  <c r="U18" i="99" s="1"/>
  <c r="V16" i="99"/>
  <c r="AE14" i="8"/>
  <c r="O14" i="8"/>
  <c r="C14" i="8"/>
  <c r="AD14" i="8"/>
  <c r="V14" i="8"/>
  <c r="N14" i="8"/>
  <c r="U14" i="8"/>
  <c r="AK14" i="8"/>
  <c r="AB14" i="8"/>
  <c r="M14" i="8"/>
  <c r="G14" i="8"/>
  <c r="L14" i="8"/>
  <c r="E14" i="8"/>
  <c r="X14" i="8"/>
  <c r="R14" i="8"/>
  <c r="W14" i="8"/>
  <c r="T14" i="8"/>
  <c r="AJ14" i="8"/>
  <c r="F14" i="8"/>
  <c r="Y14" i="8"/>
  <c r="S14" i="8"/>
  <c r="AH14" i="8"/>
  <c r="K14" i="8"/>
  <c r="J14" i="8"/>
  <c r="D14" i="8"/>
  <c r="I14" i="8"/>
  <c r="AM14" i="8"/>
  <c r="H14" i="8"/>
  <c r="B14" i="8"/>
  <c r="E40" i="98"/>
  <c r="H36" i="98"/>
  <c r="H38" i="98" s="1"/>
  <c r="H19" i="98"/>
  <c r="D36" i="98"/>
  <c r="D40" i="98" s="1"/>
  <c r="F42" i="98" s="1"/>
  <c r="W12" i="98"/>
  <c r="U13" i="98"/>
  <c r="W13" i="98" s="1"/>
  <c r="U8" i="98"/>
  <c r="W8" i="98" s="1"/>
  <c r="U18" i="98"/>
  <c r="E41" i="98"/>
  <c r="V12" i="98"/>
  <c r="B36" i="98" a="1"/>
  <c r="B36" i="98" s="1"/>
  <c r="V16" i="98"/>
  <c r="U13" i="8"/>
  <c r="AK13" i="8"/>
  <c r="G13" i="8"/>
  <c r="T13" i="8"/>
  <c r="AB13" i="8"/>
  <c r="M13" i="8"/>
  <c r="AJ13" i="8"/>
  <c r="L13" i="8"/>
  <c r="F13" i="8"/>
  <c r="Y13" i="8"/>
  <c r="S13" i="8"/>
  <c r="AH13" i="8"/>
  <c r="K13" i="8"/>
  <c r="E13" i="8"/>
  <c r="X13" i="8"/>
  <c r="R13" i="8"/>
  <c r="J13" i="8"/>
  <c r="D13" i="8"/>
  <c r="AE13" i="8"/>
  <c r="W13" i="8"/>
  <c r="O13" i="8"/>
  <c r="I13" i="8"/>
  <c r="C13" i="8"/>
  <c r="AD13" i="8"/>
  <c r="V13" i="8"/>
  <c r="AM13" i="8"/>
  <c r="N13" i="8"/>
  <c r="H13" i="8"/>
  <c r="B13" i="8"/>
  <c r="E40" i="97"/>
  <c r="H38" i="97"/>
  <c r="H2" i="90"/>
  <c r="E41" i="97"/>
  <c r="U18" i="97"/>
  <c r="D40" i="97"/>
  <c r="U13" i="97"/>
  <c r="W13" i="97" s="1"/>
  <c r="W12" i="97"/>
  <c r="L8" i="97"/>
  <c r="U7" i="97"/>
  <c r="W7" i="97" s="1"/>
  <c r="V13" i="97"/>
  <c r="U17" i="97"/>
  <c r="V12" i="97"/>
  <c r="V16" i="97"/>
  <c r="AM12" i="8"/>
  <c r="B12" i="8"/>
  <c r="AK12" i="8"/>
  <c r="AB12" i="8"/>
  <c r="M12" i="8"/>
  <c r="G12" i="8"/>
  <c r="H12" i="8"/>
  <c r="T12" i="8"/>
  <c r="U12" i="8"/>
  <c r="AJ12" i="8"/>
  <c r="L12" i="8"/>
  <c r="F12" i="8"/>
  <c r="N12" i="8"/>
  <c r="Y12" i="8"/>
  <c r="S12" i="8"/>
  <c r="AH12" i="8"/>
  <c r="K12" i="8"/>
  <c r="E12" i="8"/>
  <c r="X12" i="8"/>
  <c r="R12" i="8"/>
  <c r="D12" i="8"/>
  <c r="W12" i="8"/>
  <c r="O12" i="8"/>
  <c r="I12" i="8"/>
  <c r="C12" i="8"/>
  <c r="J12" i="8"/>
  <c r="AE12" i="8"/>
  <c r="AD12" i="8"/>
  <c r="V12" i="8"/>
  <c r="E40" i="96"/>
  <c r="E41" i="96" s="1"/>
  <c r="H19" i="96"/>
  <c r="L8" i="96"/>
  <c r="H38" i="96"/>
  <c r="U12" i="96"/>
  <c r="W12" i="96" s="1"/>
  <c r="U18" i="96"/>
  <c r="D40" i="96"/>
  <c r="V16" i="96"/>
  <c r="W11" i="96"/>
  <c r="U7" i="96"/>
  <c r="W7" i="96" s="1"/>
  <c r="V13" i="96"/>
  <c r="G11" i="8"/>
  <c r="T11" i="8"/>
  <c r="M11" i="8"/>
  <c r="AJ11" i="8"/>
  <c r="L11" i="8"/>
  <c r="F11" i="8"/>
  <c r="Y11" i="8"/>
  <c r="S11" i="8"/>
  <c r="AB11" i="8"/>
  <c r="AH11" i="8"/>
  <c r="K11" i="8"/>
  <c r="E11" i="8"/>
  <c r="AK11" i="8"/>
  <c r="X11" i="8"/>
  <c r="R11" i="8"/>
  <c r="J11" i="8"/>
  <c r="D11" i="8"/>
  <c r="U11" i="8"/>
  <c r="AE11" i="8"/>
  <c r="W11" i="8"/>
  <c r="O11" i="8"/>
  <c r="I11" i="8"/>
  <c r="C11" i="8"/>
  <c r="AD11" i="8"/>
  <c r="V11" i="8"/>
  <c r="AM11" i="8"/>
  <c r="N11" i="8"/>
  <c r="H11" i="8"/>
  <c r="B11" i="8"/>
  <c r="E40" i="95"/>
  <c r="E41" i="95" s="1"/>
  <c r="H19" i="95"/>
  <c r="C19" i="95" a="1"/>
  <c r="C19" i="95" s="1"/>
  <c r="H38" i="95"/>
  <c r="U8" i="95"/>
  <c r="W8" i="95" s="1"/>
  <c r="D40" i="95"/>
  <c r="L8" i="95"/>
  <c r="V16" i="95"/>
  <c r="U17" i="95"/>
  <c r="W11" i="95"/>
  <c r="V13" i="95"/>
  <c r="U12" i="95"/>
  <c r="W12" i="95" s="1"/>
  <c r="AK10" i="8"/>
  <c r="U10" i="8"/>
  <c r="AJ10" i="8"/>
  <c r="L10" i="8"/>
  <c r="F10" i="8"/>
  <c r="Y10" i="8"/>
  <c r="S10" i="8"/>
  <c r="K10" i="8"/>
  <c r="E10" i="8"/>
  <c r="T10" i="8"/>
  <c r="X10" i="8"/>
  <c r="R10" i="8"/>
  <c r="J10" i="8"/>
  <c r="D10" i="8"/>
  <c r="G10" i="8"/>
  <c r="AE10" i="8"/>
  <c r="W10" i="8"/>
  <c r="M10" i="8"/>
  <c r="O10" i="8"/>
  <c r="I10" i="8"/>
  <c r="C10" i="8"/>
  <c r="V10" i="8"/>
  <c r="AB10" i="8"/>
  <c r="AM10" i="8"/>
  <c r="N10" i="8"/>
  <c r="H10" i="8"/>
  <c r="B10" i="8"/>
  <c r="B36" i="94" a="1"/>
  <c r="B36" i="94" s="1"/>
  <c r="E40" i="94"/>
  <c r="H19" i="94"/>
  <c r="H38" i="94" s="1"/>
  <c r="B19" i="94" a="1"/>
  <c r="B19" i="94" s="1"/>
  <c r="U12" i="94"/>
  <c r="U13" i="94" s="1"/>
  <c r="W13" i="94" s="1"/>
  <c r="U17" i="94"/>
  <c r="W17" i="94" s="1"/>
  <c r="U8" i="94"/>
  <c r="W8" i="94" s="1"/>
  <c r="D40" i="94"/>
  <c r="V18" i="94"/>
  <c r="V17" i="94"/>
  <c r="W16" i="94"/>
  <c r="L8" i="94"/>
  <c r="V13" i="94"/>
  <c r="V12" i="94"/>
  <c r="W12" i="94" s="1"/>
  <c r="Y9" i="8"/>
  <c r="S9" i="8"/>
  <c r="AK9" i="8"/>
  <c r="AH9" i="8"/>
  <c r="AB9" i="8"/>
  <c r="O9" i="8"/>
  <c r="M9" i="8"/>
  <c r="K9" i="8"/>
  <c r="I9" i="8"/>
  <c r="G9" i="8"/>
  <c r="E9" i="8"/>
  <c r="C9" i="8"/>
  <c r="U9" i="8"/>
  <c r="AD9" i="8"/>
  <c r="X9" i="8"/>
  <c r="V9" i="8"/>
  <c r="T9" i="8"/>
  <c r="R9" i="8"/>
  <c r="AE9" i="8"/>
  <c r="W9" i="8"/>
  <c r="AM9" i="8"/>
  <c r="AJ9" i="8"/>
  <c r="N9" i="8"/>
  <c r="L9" i="8"/>
  <c r="J9" i="8"/>
  <c r="H9" i="8"/>
  <c r="F9" i="8"/>
  <c r="D9" i="8"/>
  <c r="B9" i="8"/>
  <c r="E40" i="92"/>
  <c r="L8" i="93"/>
  <c r="U7" i="92"/>
  <c r="W7" i="92" s="1"/>
  <c r="H19" i="93"/>
  <c r="E40" i="93"/>
  <c r="B19" i="93" a="1"/>
  <c r="B19" i="93" s="1"/>
  <c r="U8" i="93"/>
  <c r="W8" i="93" s="1"/>
  <c r="U18" i="93"/>
  <c r="W18" i="93" s="1"/>
  <c r="D40" i="93"/>
  <c r="F42" i="93" s="1"/>
  <c r="U13" i="93"/>
  <c r="W13" i="93" s="1"/>
  <c r="V18" i="93"/>
  <c r="W16" i="93"/>
  <c r="V17" i="93"/>
  <c r="E41" i="93"/>
  <c r="H38" i="93"/>
  <c r="U17" i="93"/>
  <c r="W17" i="93" s="1"/>
  <c r="V12" i="93"/>
  <c r="W12" i="93" s="1"/>
  <c r="B36" i="93" a="1"/>
  <c r="B36" i="93" s="1"/>
  <c r="AC2" i="90"/>
  <c r="X2" i="90"/>
  <c r="T2" i="90"/>
  <c r="R2" i="90"/>
  <c r="V12" i="92"/>
  <c r="C2" i="90"/>
  <c r="V2" i="90"/>
  <c r="I2" i="90"/>
  <c r="G2" i="90"/>
  <c r="W11" i="92"/>
  <c r="D36" i="92"/>
  <c r="B19" i="92" a="1"/>
  <c r="B19" i="92" s="1"/>
  <c r="F40" i="92"/>
  <c r="C36" i="92" a="1"/>
  <c r="C36" i="92" s="1"/>
  <c r="H36" i="92"/>
  <c r="D19" i="92"/>
  <c r="H19" i="92"/>
  <c r="W16" i="92"/>
  <c r="L8" i="92"/>
  <c r="V13" i="92"/>
  <c r="E3" i="8"/>
  <c r="E8" i="8"/>
  <c r="E7" i="8"/>
  <c r="E4" i="8"/>
  <c r="E5" i="8"/>
  <c r="E6" i="8"/>
  <c r="E2" i="8"/>
  <c r="D2" i="8"/>
  <c r="D2" i="90"/>
  <c r="N2" i="90"/>
  <c r="O2" i="90"/>
  <c r="E2" i="90"/>
  <c r="AD10" i="8" a="1"/>
  <c r="U2" i="90" a="1"/>
  <c r="Z16" i="8" l="1"/>
  <c r="P16" i="8"/>
  <c r="AF16" i="8"/>
  <c r="AC16" i="8"/>
  <c r="AO16" i="8"/>
  <c r="AP16" i="8" s="1"/>
  <c r="AQ16" i="8" s="1"/>
  <c r="H40" i="100"/>
  <c r="U18" i="100"/>
  <c r="W18" i="100" s="1"/>
  <c r="U8" i="100"/>
  <c r="W8" i="100" s="1"/>
  <c r="Z15" i="8"/>
  <c r="P15" i="8"/>
  <c r="AF15" i="8"/>
  <c r="AC15" i="8"/>
  <c r="AO15" i="8"/>
  <c r="AP15" i="8" s="1"/>
  <c r="AQ15" i="8" s="1"/>
  <c r="U8" i="99"/>
  <c r="W8" i="99" s="1"/>
  <c r="V18" i="99"/>
  <c r="W18" i="99" s="1"/>
  <c r="V17" i="99"/>
  <c r="W17" i="99" s="1"/>
  <c r="W16" i="99"/>
  <c r="W13" i="99"/>
  <c r="Z14" i="8"/>
  <c r="P14" i="8"/>
  <c r="AF14" i="8"/>
  <c r="AC14" i="8"/>
  <c r="AO14" i="8"/>
  <c r="AP14" i="8" s="1"/>
  <c r="AQ14" i="8" s="1"/>
  <c r="H40" i="98"/>
  <c r="Z13" i="8"/>
  <c r="W16" i="98"/>
  <c r="V18" i="98"/>
  <c r="W18" i="98" s="1"/>
  <c r="V17" i="98"/>
  <c r="W17" i="98" s="1"/>
  <c r="P13" i="8"/>
  <c r="AF13" i="8"/>
  <c r="AC13" i="8"/>
  <c r="AO13" i="8"/>
  <c r="AP13" i="8" s="1"/>
  <c r="AQ13" i="8" s="1"/>
  <c r="F42" i="97"/>
  <c r="H40" i="97"/>
  <c r="U8" i="97"/>
  <c r="W8" i="97" s="1"/>
  <c r="W16" i="97"/>
  <c r="V18" i="97"/>
  <c r="W18" i="97" s="1"/>
  <c r="V17" i="97"/>
  <c r="W17" i="97"/>
  <c r="Z12" i="8"/>
  <c r="P12" i="8"/>
  <c r="AF12" i="8"/>
  <c r="AO12" i="8"/>
  <c r="AP12" i="8" s="1"/>
  <c r="AQ12" i="8" s="1"/>
  <c r="AC12" i="8"/>
  <c r="F42" i="96"/>
  <c r="U13" i="96"/>
  <c r="W13" i="96" s="1"/>
  <c r="H40" i="96"/>
  <c r="U8" i="96"/>
  <c r="W8" i="96" s="1"/>
  <c r="V17" i="96"/>
  <c r="W17" i="96" s="1"/>
  <c r="V18" i="96"/>
  <c r="W18" i="96" s="1"/>
  <c r="W16" i="96"/>
  <c r="Z11" i="8"/>
  <c r="P11" i="8"/>
  <c r="AF11" i="8"/>
  <c r="AC11" i="8"/>
  <c r="AO11" i="8"/>
  <c r="AP11" i="8" s="1"/>
  <c r="AQ11" i="8" s="1"/>
  <c r="F42" i="95"/>
  <c r="H40" i="95" s="1"/>
  <c r="U13" i="95"/>
  <c r="W13" i="95" s="1"/>
  <c r="U18" i="95"/>
  <c r="W16" i="95"/>
  <c r="V18" i="95"/>
  <c r="V17" i="95"/>
  <c r="W17" i="95" s="1"/>
  <c r="Z10" i="8"/>
  <c r="AD10" i="8"/>
  <c r="E41" i="94"/>
  <c r="P10" i="8"/>
  <c r="AF10" i="8"/>
  <c r="AC10" i="8"/>
  <c r="AO10" i="8"/>
  <c r="AP10" i="8" s="1"/>
  <c r="AQ10" i="8" s="1"/>
  <c r="F42" i="94"/>
  <c r="U18" i="94"/>
  <c r="W18" i="94"/>
  <c r="AO9" i="8"/>
  <c r="AP9" i="8" s="1"/>
  <c r="AQ9" i="8" s="1"/>
  <c r="AC9" i="8"/>
  <c r="Z9" i="8"/>
  <c r="P9" i="8"/>
  <c r="AF9" i="8"/>
  <c r="U13" i="92"/>
  <c r="W13" i="92" s="1"/>
  <c r="U8" i="92"/>
  <c r="U18" i="92"/>
  <c r="W18" i="92" s="1"/>
  <c r="H40" i="93"/>
  <c r="U2" i="90"/>
  <c r="D40" i="92"/>
  <c r="F42" i="92" s="1"/>
  <c r="E41" i="92"/>
  <c r="H38" i="92"/>
  <c r="AJ5" i="47"/>
  <c r="AJ6" i="47"/>
  <c r="AJ18" i="47"/>
  <c r="AJ30" i="47"/>
  <c r="AJ42" i="47"/>
  <c r="AJ7" i="47"/>
  <c r="AJ43" i="47"/>
  <c r="AJ45" i="47"/>
  <c r="AJ19" i="47"/>
  <c r="AJ8" i="47"/>
  <c r="AJ9" i="47"/>
  <c r="AJ10" i="47"/>
  <c r="AJ22" i="47"/>
  <c r="AJ34" i="47"/>
  <c r="AJ46" i="47"/>
  <c r="AJ36" i="47"/>
  <c r="AJ25" i="47"/>
  <c r="AJ49" i="47"/>
  <c r="AJ38" i="47"/>
  <c r="AJ15" i="47"/>
  <c r="AJ21" i="47"/>
  <c r="AJ11" i="47"/>
  <c r="AJ23" i="47"/>
  <c r="AJ35" i="47"/>
  <c r="AJ47" i="47"/>
  <c r="AJ13" i="47"/>
  <c r="AJ14" i="47"/>
  <c r="AJ50" i="47"/>
  <c r="AJ20" i="47"/>
  <c r="AJ33" i="47"/>
  <c r="AJ12" i="47"/>
  <c r="AJ24" i="47"/>
  <c r="AJ48" i="47"/>
  <c r="AJ37" i="47"/>
  <c r="AJ26" i="47"/>
  <c r="AJ39" i="47"/>
  <c r="AJ51" i="47"/>
  <c r="AJ27" i="47"/>
  <c r="AJ32" i="47"/>
  <c r="AJ16" i="47"/>
  <c r="AJ28" i="47"/>
  <c r="AJ52" i="47"/>
  <c r="AJ17" i="47"/>
  <c r="AJ29" i="47"/>
  <c r="AJ41" i="47"/>
  <c r="AJ31" i="47"/>
  <c r="AJ44" i="47"/>
  <c r="AC6" i="47"/>
  <c r="AC7" i="47"/>
  <c r="AC19" i="47"/>
  <c r="AC10" i="47"/>
  <c r="AC11" i="47"/>
  <c r="AC12" i="47"/>
  <c r="AC14" i="47"/>
  <c r="AC15" i="47"/>
  <c r="AC16" i="47"/>
  <c r="AA2" i="90" a="1"/>
  <c r="Z2" i="90" a="1"/>
  <c r="AF2" i="90" a="1"/>
  <c r="AH10" i="8" a="1"/>
  <c r="W18" i="95" l="1"/>
  <c r="AH10" i="8"/>
  <c r="H40" i="94"/>
  <c r="AF2" i="90"/>
  <c r="Z2" i="90"/>
  <c r="AA2" i="90"/>
  <c r="H40" i="92"/>
  <c r="A37" i="89"/>
  <c r="F36" i="89"/>
  <c r="F40" i="89" s="1"/>
  <c r="E36" i="89"/>
  <c r="C36" i="89" a="1"/>
  <c r="C36" i="89" s="1"/>
  <c r="B36" i="89" a="1"/>
  <c r="B36" i="89" s="1"/>
  <c r="A36" i="89"/>
  <c r="H35" i="89"/>
  <c r="D35" i="89"/>
  <c r="H34" i="89"/>
  <c r="D34" i="89"/>
  <c r="H33" i="89"/>
  <c r="D33" i="89"/>
  <c r="H32" i="89"/>
  <c r="D32" i="89"/>
  <c r="H31" i="89"/>
  <c r="D31" i="89"/>
  <c r="H30" i="89"/>
  <c r="D30" i="89"/>
  <c r="H29" i="89"/>
  <c r="D29" i="89"/>
  <c r="H28" i="89"/>
  <c r="D28" i="89"/>
  <c r="H27" i="89"/>
  <c r="D27" i="89"/>
  <c r="H26" i="89"/>
  <c r="D26" i="89"/>
  <c r="H25" i="89"/>
  <c r="H36" i="89" s="1"/>
  <c r="D25" i="89"/>
  <c r="D36" i="89" s="1"/>
  <c r="A20" i="89"/>
  <c r="C19" i="89" s="1" a="1"/>
  <c r="C19" i="89" s="1"/>
  <c r="F19" i="89"/>
  <c r="E19" i="89"/>
  <c r="A19" i="89"/>
  <c r="H18" i="89"/>
  <c r="D18" i="89"/>
  <c r="H17" i="89"/>
  <c r="D17" i="89"/>
  <c r="H16" i="89"/>
  <c r="D16" i="89"/>
  <c r="H15" i="89"/>
  <c r="D15" i="89"/>
  <c r="J14" i="89" a="1"/>
  <c r="J14" i="89" s="1"/>
  <c r="H14" i="89"/>
  <c r="D14" i="89"/>
  <c r="J13" i="89" a="1"/>
  <c r="J13" i="89" s="1"/>
  <c r="H13" i="89"/>
  <c r="D13" i="89"/>
  <c r="J12" i="89" a="1"/>
  <c r="J12" i="89" s="1"/>
  <c r="H12" i="89"/>
  <c r="D12" i="89"/>
  <c r="J11" i="89" a="1"/>
  <c r="J11" i="89" s="1"/>
  <c r="H11" i="89"/>
  <c r="D11" i="89"/>
  <c r="H10" i="89"/>
  <c r="D10" i="89"/>
  <c r="J9" i="89" a="1"/>
  <c r="J9" i="89" s="1"/>
  <c r="H9" i="89"/>
  <c r="D9" i="89"/>
  <c r="J8" i="89" a="1"/>
  <c r="J8" i="89" s="1"/>
  <c r="H8" i="89"/>
  <c r="H19" i="89" s="1"/>
  <c r="D8" i="89"/>
  <c r="D19" i="89" s="1"/>
  <c r="R7" i="89" a="1"/>
  <c r="R7" i="89" s="1"/>
  <c r="R6" i="89" a="1"/>
  <c r="R6" i="89" s="1"/>
  <c r="J6" i="89" a="1"/>
  <c r="J6" i="89" s="1"/>
  <c r="K8" i="89" s="1"/>
  <c r="R5" i="89" a="1"/>
  <c r="R5" i="89" s="1"/>
  <c r="J5" i="89" a="1"/>
  <c r="J5" i="89" s="1"/>
  <c r="J4" i="89" a="1"/>
  <c r="J4" i="89" s="1"/>
  <c r="F40" i="88"/>
  <c r="A37" i="88"/>
  <c r="F36" i="88"/>
  <c r="E36" i="88"/>
  <c r="C36" i="88" a="1"/>
  <c r="C36" i="88" s="1"/>
  <c r="B36" i="88" a="1"/>
  <c r="B36" i="88" s="1"/>
  <c r="A36" i="88"/>
  <c r="H35" i="88"/>
  <c r="D35" i="88"/>
  <c r="H34" i="88"/>
  <c r="D34" i="88"/>
  <c r="H33" i="88"/>
  <c r="D33" i="88"/>
  <c r="H32" i="88"/>
  <c r="D32" i="88"/>
  <c r="H31" i="88"/>
  <c r="D31" i="88"/>
  <c r="H30" i="88"/>
  <c r="D30" i="88"/>
  <c r="H29" i="88"/>
  <c r="D29" i="88"/>
  <c r="H28" i="88"/>
  <c r="D28" i="88"/>
  <c r="H27" i="88"/>
  <c r="D27" i="88"/>
  <c r="H26" i="88"/>
  <c r="D26" i="88"/>
  <c r="H25" i="88"/>
  <c r="H36" i="88" s="1"/>
  <c r="D25" i="88"/>
  <c r="A20" i="88"/>
  <c r="B19" i="88" s="1" a="1"/>
  <c r="B19" i="88" s="1"/>
  <c r="F19" i="88"/>
  <c r="E19" i="88"/>
  <c r="A19" i="88"/>
  <c r="H18" i="88"/>
  <c r="D18" i="88"/>
  <c r="H17" i="88"/>
  <c r="D17" i="88"/>
  <c r="H16" i="88"/>
  <c r="D16" i="88"/>
  <c r="H15" i="88"/>
  <c r="D15" i="88"/>
  <c r="J14" i="88" a="1"/>
  <c r="J14" i="88" s="1"/>
  <c r="H14" i="88"/>
  <c r="D14" i="88"/>
  <c r="J13" i="88" a="1"/>
  <c r="J13" i="88" s="1"/>
  <c r="H13" i="88"/>
  <c r="D13" i="88"/>
  <c r="J12" i="88" a="1"/>
  <c r="J12" i="88" s="1"/>
  <c r="H12" i="88"/>
  <c r="D12" i="88"/>
  <c r="J11" i="88" a="1"/>
  <c r="J11" i="88" s="1"/>
  <c r="H11" i="88"/>
  <c r="D11" i="88"/>
  <c r="H10" i="88"/>
  <c r="D10" i="88"/>
  <c r="J9" i="88" a="1"/>
  <c r="J9" i="88" s="1"/>
  <c r="H9" i="88"/>
  <c r="D9" i="88"/>
  <c r="J8" i="88" a="1"/>
  <c r="J8" i="88" s="1"/>
  <c r="H8" i="88"/>
  <c r="H19" i="88" s="1"/>
  <c r="D8" i="88"/>
  <c r="D19" i="88" s="1"/>
  <c r="R7" i="88" a="1"/>
  <c r="R7" i="88" s="1"/>
  <c r="R6" i="88" a="1"/>
  <c r="R6" i="88" s="1"/>
  <c r="J6" i="88" a="1"/>
  <c r="J6" i="88" s="1"/>
  <c r="K8" i="88" s="1"/>
  <c r="R5" i="88" a="1"/>
  <c r="R5" i="88" s="1"/>
  <c r="J5" i="88" a="1"/>
  <c r="J5" i="88" s="1"/>
  <c r="J4" i="88" a="1"/>
  <c r="J4" i="88" s="1"/>
  <c r="A37" i="87"/>
  <c r="B36" i="87" s="1" a="1"/>
  <c r="B36" i="87" s="1"/>
  <c r="F36" i="87"/>
  <c r="E36" i="87"/>
  <c r="E40" i="87" s="1"/>
  <c r="E41" i="87" s="1"/>
  <c r="C36" i="87" a="1"/>
  <c r="C36" i="87" s="1"/>
  <c r="A36" i="87"/>
  <c r="H35" i="87"/>
  <c r="D35" i="87"/>
  <c r="H34" i="87"/>
  <c r="D34" i="87"/>
  <c r="H33" i="87"/>
  <c r="D33" i="87"/>
  <c r="H32" i="87"/>
  <c r="D32" i="87"/>
  <c r="H31" i="87"/>
  <c r="D31" i="87"/>
  <c r="H30" i="87"/>
  <c r="D30" i="87"/>
  <c r="H29" i="87"/>
  <c r="D29" i="87"/>
  <c r="H28" i="87"/>
  <c r="D28" i="87"/>
  <c r="H27" i="87"/>
  <c r="D27" i="87"/>
  <c r="H26" i="87"/>
  <c r="D26" i="87"/>
  <c r="H25" i="87"/>
  <c r="H36" i="87" s="1"/>
  <c r="D25" i="87"/>
  <c r="D36" i="87" s="1"/>
  <c r="A20" i="87"/>
  <c r="C19" i="87" s="1" a="1"/>
  <c r="C19" i="87" s="1"/>
  <c r="F19" i="87"/>
  <c r="F40" i="87" s="1"/>
  <c r="E19" i="87"/>
  <c r="A19" i="87"/>
  <c r="H18" i="87"/>
  <c r="D18" i="87"/>
  <c r="H17" i="87"/>
  <c r="D17" i="87"/>
  <c r="H16" i="87"/>
  <c r="D16" i="87"/>
  <c r="H15" i="87"/>
  <c r="D15" i="87"/>
  <c r="J14" i="87" a="1"/>
  <c r="J14" i="87" s="1"/>
  <c r="H14" i="87"/>
  <c r="D14" i="87"/>
  <c r="J13" i="87" a="1"/>
  <c r="J13" i="87" s="1"/>
  <c r="H13" i="87"/>
  <c r="D13" i="87"/>
  <c r="J12" i="87" a="1"/>
  <c r="J12" i="87" s="1"/>
  <c r="H12" i="87"/>
  <c r="D12" i="87"/>
  <c r="J11" i="87" a="1"/>
  <c r="J11" i="87" s="1"/>
  <c r="H11" i="87"/>
  <c r="D11" i="87"/>
  <c r="H10" i="87"/>
  <c r="D10" i="87"/>
  <c r="J9" i="87" a="1"/>
  <c r="J9" i="87" s="1"/>
  <c r="H9" i="87"/>
  <c r="D9" i="87"/>
  <c r="J8" i="87" a="1"/>
  <c r="J8" i="87" s="1"/>
  <c r="H8" i="87"/>
  <c r="H19" i="87" s="1"/>
  <c r="D8" i="87"/>
  <c r="R7" i="87" a="1"/>
  <c r="R7" i="87" s="1"/>
  <c r="R6" i="87" a="1"/>
  <c r="R6" i="87" s="1"/>
  <c r="J6" i="87" a="1"/>
  <c r="J6" i="87" s="1"/>
  <c r="K8" i="87" s="1"/>
  <c r="R5" i="87" a="1"/>
  <c r="R5" i="87" s="1"/>
  <c r="J5" i="87" a="1"/>
  <c r="J5" i="87" s="1"/>
  <c r="J4" i="87" a="1"/>
  <c r="J4" i="87" s="1"/>
  <c r="A37" i="86"/>
  <c r="C36" i="86" s="1" a="1"/>
  <c r="C36" i="86" s="1"/>
  <c r="F36" i="86"/>
  <c r="F40" i="86" s="1"/>
  <c r="E36" i="86"/>
  <c r="D36" i="86"/>
  <c r="A36" i="86"/>
  <c r="H35" i="86"/>
  <c r="D35" i="86"/>
  <c r="H34" i="86"/>
  <c r="D34" i="86"/>
  <c r="H33" i="86"/>
  <c r="D33" i="86"/>
  <c r="H32" i="86"/>
  <c r="D32" i="86"/>
  <c r="H31" i="86"/>
  <c r="D31" i="86"/>
  <c r="H30" i="86"/>
  <c r="D30" i="86"/>
  <c r="H29" i="86"/>
  <c r="D29" i="86"/>
  <c r="H28" i="86"/>
  <c r="D28" i="86"/>
  <c r="H27" i="86"/>
  <c r="D27" i="86"/>
  <c r="H26" i="86"/>
  <c r="D26" i="86"/>
  <c r="H25" i="86"/>
  <c r="H36" i="86" s="1"/>
  <c r="D25" i="86"/>
  <c r="A20" i="86"/>
  <c r="C19" i="86" s="1" a="1"/>
  <c r="C19" i="86" s="1"/>
  <c r="F19" i="86"/>
  <c r="E19" i="86"/>
  <c r="A19" i="86"/>
  <c r="H18" i="86"/>
  <c r="D18" i="86"/>
  <c r="H17" i="86"/>
  <c r="D17" i="86"/>
  <c r="H16" i="86"/>
  <c r="D16" i="86"/>
  <c r="H15" i="86"/>
  <c r="D15" i="86"/>
  <c r="J14" i="86" a="1"/>
  <c r="J14" i="86" s="1"/>
  <c r="H14" i="86"/>
  <c r="D14" i="86"/>
  <c r="J13" i="86" a="1"/>
  <c r="J13" i="86" s="1"/>
  <c r="H13" i="86"/>
  <c r="D13" i="86"/>
  <c r="J12" i="86" a="1"/>
  <c r="J12" i="86" s="1"/>
  <c r="H12" i="86"/>
  <c r="D12" i="86"/>
  <c r="J11" i="86" a="1"/>
  <c r="J11" i="86" s="1"/>
  <c r="H11" i="86"/>
  <c r="D11" i="86"/>
  <c r="H10" i="86"/>
  <c r="D10" i="86"/>
  <c r="J9" i="86" a="1"/>
  <c r="J9" i="86" s="1"/>
  <c r="H9" i="86"/>
  <c r="D9" i="86"/>
  <c r="J8" i="86" a="1"/>
  <c r="J8" i="86" s="1"/>
  <c r="H8" i="86"/>
  <c r="H19" i="86" s="1"/>
  <c r="D8" i="86"/>
  <c r="R7" i="86" a="1"/>
  <c r="R7" i="86" s="1"/>
  <c r="R6" i="86" a="1"/>
  <c r="R6" i="86" s="1"/>
  <c r="J6" i="86" a="1"/>
  <c r="J6" i="86" s="1"/>
  <c r="R5" i="86" a="1"/>
  <c r="R5" i="86" s="1"/>
  <c r="J5" i="86" a="1"/>
  <c r="J5" i="86" s="1"/>
  <c r="J4" i="86" a="1"/>
  <c r="J4" i="86" s="1"/>
  <c r="E41" i="83"/>
  <c r="E41" i="84"/>
  <c r="E41" i="85"/>
  <c r="A37" i="85"/>
  <c r="C36" i="85" s="1" a="1"/>
  <c r="C36" i="85" s="1"/>
  <c r="F36" i="85"/>
  <c r="E36" i="85"/>
  <c r="A36" i="85"/>
  <c r="H35" i="85"/>
  <c r="D35" i="85"/>
  <c r="H34" i="85"/>
  <c r="D34" i="85"/>
  <c r="H33" i="85"/>
  <c r="D33" i="85"/>
  <c r="H32" i="85"/>
  <c r="D32" i="85"/>
  <c r="H31" i="85"/>
  <c r="D31" i="85"/>
  <c r="H30" i="85"/>
  <c r="D30" i="85"/>
  <c r="H29" i="85"/>
  <c r="D29" i="85"/>
  <c r="H28" i="85"/>
  <c r="D28" i="85"/>
  <c r="H27" i="85"/>
  <c r="D27" i="85"/>
  <c r="H26" i="85"/>
  <c r="D26" i="85"/>
  <c r="D36" i="85" s="1"/>
  <c r="H25" i="85"/>
  <c r="D25" i="85"/>
  <c r="A20" i="85"/>
  <c r="C19" i="85" s="1" a="1"/>
  <c r="C19" i="85" s="1"/>
  <c r="F19" i="85"/>
  <c r="F40" i="85" s="1"/>
  <c r="E19" i="85"/>
  <c r="A19" i="85"/>
  <c r="H18" i="85"/>
  <c r="D18" i="85"/>
  <c r="H17" i="85"/>
  <c r="D17" i="85"/>
  <c r="H16" i="85"/>
  <c r="D16" i="85"/>
  <c r="H15" i="85"/>
  <c r="D15" i="85"/>
  <c r="J14" i="85" a="1"/>
  <c r="J14" i="85" s="1"/>
  <c r="H14" i="85"/>
  <c r="D14" i="85"/>
  <c r="J13" i="85" a="1"/>
  <c r="J13" i="85" s="1"/>
  <c r="H13" i="85"/>
  <c r="D13" i="85"/>
  <c r="J12" i="85" a="1"/>
  <c r="J12" i="85" s="1"/>
  <c r="H12" i="85"/>
  <c r="D12" i="85"/>
  <c r="J11" i="85" a="1"/>
  <c r="J11" i="85" s="1"/>
  <c r="H11" i="85"/>
  <c r="D11" i="85"/>
  <c r="H10" i="85"/>
  <c r="D10" i="85"/>
  <c r="J9" i="85" a="1"/>
  <c r="J9" i="85" s="1"/>
  <c r="H9" i="85"/>
  <c r="D9" i="85"/>
  <c r="J8" i="85" a="1"/>
  <c r="J8" i="85" s="1"/>
  <c r="H8" i="85"/>
  <c r="H19" i="85" s="1"/>
  <c r="D8" i="85"/>
  <c r="D19" i="85" s="1"/>
  <c r="R7" i="85" a="1"/>
  <c r="R7" i="85" s="1"/>
  <c r="R6" i="85" a="1"/>
  <c r="R6" i="85" s="1"/>
  <c r="J6" i="85" a="1"/>
  <c r="J6" i="85" s="1"/>
  <c r="K8" i="85" s="1"/>
  <c r="R5" i="85" a="1"/>
  <c r="R5" i="85" s="1"/>
  <c r="J5" i="85" a="1"/>
  <c r="J5" i="85" s="1"/>
  <c r="J4" i="85" a="1"/>
  <c r="J4" i="85" s="1"/>
  <c r="A37" i="84"/>
  <c r="C36" i="84" s="1" a="1"/>
  <c r="C36" i="84" s="1"/>
  <c r="F36" i="84"/>
  <c r="F40" i="84" s="1"/>
  <c r="E36" i="84"/>
  <c r="B36" i="84" a="1"/>
  <c r="B36" i="84" s="1"/>
  <c r="A36" i="84"/>
  <c r="H35" i="84"/>
  <c r="D35" i="84"/>
  <c r="H34" i="84"/>
  <c r="D34" i="84"/>
  <c r="H33" i="84"/>
  <c r="D33" i="84"/>
  <c r="H32" i="84"/>
  <c r="D32" i="84"/>
  <c r="H31" i="84"/>
  <c r="D31" i="84"/>
  <c r="H30" i="84"/>
  <c r="D30" i="84"/>
  <c r="H29" i="84"/>
  <c r="D29" i="84"/>
  <c r="H28" i="84"/>
  <c r="D28" i="84"/>
  <c r="H27" i="84"/>
  <c r="D27" i="84"/>
  <c r="H26" i="84"/>
  <c r="D26" i="84"/>
  <c r="H25" i="84"/>
  <c r="D25" i="84"/>
  <c r="D36" i="84" s="1"/>
  <c r="A20" i="84"/>
  <c r="C19" i="84" s="1" a="1"/>
  <c r="C19" i="84" s="1"/>
  <c r="F19" i="84"/>
  <c r="E19" i="84"/>
  <c r="E40" i="84" s="1"/>
  <c r="A19" i="84"/>
  <c r="H18" i="84"/>
  <c r="D18" i="84"/>
  <c r="H17" i="84"/>
  <c r="D17" i="84"/>
  <c r="H16" i="84"/>
  <c r="D16" i="84"/>
  <c r="H15" i="84"/>
  <c r="D15" i="84"/>
  <c r="J14" i="84" a="1"/>
  <c r="J14" i="84" s="1"/>
  <c r="H14" i="84"/>
  <c r="D14" i="84"/>
  <c r="J13" i="84" a="1"/>
  <c r="J13" i="84" s="1"/>
  <c r="H13" i="84"/>
  <c r="D13" i="84"/>
  <c r="J12" i="84" a="1"/>
  <c r="J12" i="84" s="1"/>
  <c r="H12" i="84"/>
  <c r="D12" i="84"/>
  <c r="J11" i="84" a="1"/>
  <c r="J11" i="84" s="1"/>
  <c r="H11" i="84"/>
  <c r="D11" i="84"/>
  <c r="H10" i="84"/>
  <c r="D10" i="84"/>
  <c r="J9" i="84" a="1"/>
  <c r="J9" i="84" s="1"/>
  <c r="H9" i="84"/>
  <c r="D9" i="84"/>
  <c r="J8" i="84" a="1"/>
  <c r="J8" i="84" s="1"/>
  <c r="H8" i="84"/>
  <c r="H19" i="84" s="1"/>
  <c r="D8" i="84"/>
  <c r="R7" i="84" a="1"/>
  <c r="R7" i="84" s="1"/>
  <c r="R6" i="84" a="1"/>
  <c r="R6" i="84" s="1"/>
  <c r="J6" i="84" a="1"/>
  <c r="J6" i="84" s="1"/>
  <c r="K8" i="84" s="1"/>
  <c r="R5" i="84" a="1"/>
  <c r="R5" i="84" s="1"/>
  <c r="J5" i="84" a="1"/>
  <c r="J5" i="84" s="1"/>
  <c r="J4" i="84" a="1"/>
  <c r="J4" i="84" s="1"/>
  <c r="A37" i="83"/>
  <c r="C36" i="83" s="1" a="1"/>
  <c r="C36" i="83" s="1"/>
  <c r="F36" i="83"/>
  <c r="E36" i="83"/>
  <c r="A36" i="83"/>
  <c r="H35" i="83"/>
  <c r="D35" i="83"/>
  <c r="H34" i="83"/>
  <c r="D34" i="83"/>
  <c r="H33" i="83"/>
  <c r="D33" i="83"/>
  <c r="H32" i="83"/>
  <c r="D32" i="83"/>
  <c r="H31" i="83"/>
  <c r="D31" i="83"/>
  <c r="H30" i="83"/>
  <c r="D30" i="83"/>
  <c r="H29" i="83"/>
  <c r="D29" i="83"/>
  <c r="H28" i="83"/>
  <c r="D28" i="83"/>
  <c r="H27" i="83"/>
  <c r="D27" i="83"/>
  <c r="H26" i="83"/>
  <c r="D26" i="83"/>
  <c r="H25" i="83"/>
  <c r="H36" i="83" s="1"/>
  <c r="D25" i="83"/>
  <c r="D36" i="83" s="1"/>
  <c r="A20" i="83"/>
  <c r="C19" i="83" s="1" a="1"/>
  <c r="C19" i="83" s="1"/>
  <c r="F19" i="83"/>
  <c r="F40" i="83" s="1"/>
  <c r="E19" i="83"/>
  <c r="A19" i="83"/>
  <c r="H18" i="83"/>
  <c r="D18" i="83"/>
  <c r="H17" i="83"/>
  <c r="D17" i="83"/>
  <c r="H16" i="83"/>
  <c r="D16" i="83"/>
  <c r="H15" i="83"/>
  <c r="D15" i="83"/>
  <c r="J14" i="83" a="1"/>
  <c r="J14" i="83" s="1"/>
  <c r="H14" i="83"/>
  <c r="D14" i="83"/>
  <c r="J13" i="83" a="1"/>
  <c r="J13" i="83" s="1"/>
  <c r="H13" i="83"/>
  <c r="D13" i="83"/>
  <c r="J12" i="83" a="1"/>
  <c r="J12" i="83" s="1"/>
  <c r="H12" i="83"/>
  <c r="D12" i="83"/>
  <c r="J11" i="83" a="1"/>
  <c r="J11" i="83" s="1"/>
  <c r="H11" i="83"/>
  <c r="D11" i="83"/>
  <c r="H10" i="83"/>
  <c r="D10" i="83"/>
  <c r="J9" i="83" a="1"/>
  <c r="J9" i="83" s="1"/>
  <c r="H9" i="83"/>
  <c r="D9" i="83"/>
  <c r="J8" i="83" a="1"/>
  <c r="J8" i="83" s="1"/>
  <c r="H8" i="83"/>
  <c r="H19" i="83" s="1"/>
  <c r="D8" i="83"/>
  <c r="R7" i="83" a="1"/>
  <c r="R7" i="83" s="1"/>
  <c r="R6" i="83" a="1"/>
  <c r="R6" i="83" s="1"/>
  <c r="J6" i="83" a="1"/>
  <c r="J6" i="83" s="1"/>
  <c r="K8" i="83" s="1"/>
  <c r="R5" i="83" a="1"/>
  <c r="R5" i="83" s="1"/>
  <c r="J5" i="83" a="1"/>
  <c r="J5" i="83" s="1"/>
  <c r="J4" i="83" a="1"/>
  <c r="J4" i="83" s="1"/>
  <c r="O3" i="8" a="1"/>
  <c r="V6" i="8" a="1"/>
  <c r="AH6" i="8" a="1"/>
  <c r="AB3" i="8" a="1"/>
  <c r="X5" i="8" a="1"/>
  <c r="X8" i="8" a="1"/>
  <c r="F8" i="8" a="1"/>
  <c r="AE2" i="90" a="1"/>
  <c r="L6" i="8" a="1"/>
  <c r="J6" i="8" a="1"/>
  <c r="L8" i="8" a="1"/>
  <c r="B5" i="8" a="1"/>
  <c r="AM3" i="8" a="1"/>
  <c r="W5" i="8" a="1"/>
  <c r="AE8" i="8" a="1"/>
  <c r="W8" i="8" a="1"/>
  <c r="Y5" i="8" a="1"/>
  <c r="B4" i="8" a="1"/>
  <c r="AD6" i="8" a="1"/>
  <c r="L3" i="8" a="1"/>
  <c r="U4" i="8" a="1"/>
  <c r="G5" i="8" a="1"/>
  <c r="AD4" i="8" a="1"/>
  <c r="Z2" i="41" a="1"/>
  <c r="G4" i="8" a="1"/>
  <c r="N3" i="8" a="1"/>
  <c r="Y8" i="8" a="1"/>
  <c r="D5" i="8" a="1"/>
  <c r="AM7" i="8" a="1"/>
  <c r="N4" i="8" a="1"/>
  <c r="AH5" i="8" a="1"/>
  <c r="AK5" i="8" a="1"/>
  <c r="S4" i="8" a="1"/>
  <c r="AM8" i="8" a="1"/>
  <c r="AD8" i="8" a="1"/>
  <c r="L5" i="8" a="1"/>
  <c r="X3" i="8" a="1"/>
  <c r="M4" i="8" a="1"/>
  <c r="N6" i="8" a="1"/>
  <c r="U2" i="41" a="1"/>
  <c r="F6" i="8" a="1"/>
  <c r="F5" i="8" a="1"/>
  <c r="AH3" i="8" a="1"/>
  <c r="X6" i="8" a="1"/>
  <c r="C3" i="8" a="1"/>
  <c r="M8" i="8" a="1"/>
  <c r="U8" i="8" a="1"/>
  <c r="W3" i="8" a="1"/>
  <c r="AE5" i="8" a="1"/>
  <c r="AJ4" i="8" a="1"/>
  <c r="S7" i="8" a="1"/>
  <c r="C6" i="8" a="1"/>
  <c r="AE4" i="8" a="1"/>
  <c r="N5" i="8" a="1"/>
  <c r="G8" i="8" a="1"/>
  <c r="AB4" i="8" a="1"/>
  <c r="U7" i="8" a="1"/>
  <c r="J4" i="8" a="1"/>
  <c r="F3" i="8" a="1"/>
  <c r="AJ8" i="8" a="1"/>
  <c r="AD5" i="8" a="1"/>
  <c r="T6" i="8" a="1"/>
  <c r="E2" i="41" a="1"/>
  <c r="I4" i="8" a="1"/>
  <c r="Y3" i="8" a="1"/>
  <c r="C8" i="8" a="1"/>
  <c r="W6" i="8" a="1"/>
  <c r="O5" i="8" a="1"/>
  <c r="AB5" i="8" a="1"/>
  <c r="R7" i="8" a="1"/>
  <c r="I6" i="8" a="1"/>
  <c r="U6" i="8" a="1"/>
  <c r="T3" i="8" a="1"/>
  <c r="S8" i="8" a="1"/>
  <c r="R5" i="8" a="1"/>
  <c r="R2" i="41" a="1"/>
  <c r="K8" i="8" a="1"/>
  <c r="S3" i="8" a="1"/>
  <c r="H2" i="41" a="1"/>
  <c r="G6" i="8" a="1"/>
  <c r="AJ7" i="8" a="1"/>
  <c r="J5" i="8" a="1"/>
  <c r="X7" i="8" a="1"/>
  <c r="V4" i="8" a="1"/>
  <c r="AD7" i="8" a="1"/>
  <c r="B3" i="8" a="1"/>
  <c r="M7" i="8" a="1"/>
  <c r="M6" i="8" a="1"/>
  <c r="H6" i="8" a="1"/>
  <c r="L4" i="8" a="1"/>
  <c r="AE6" i="8" a="1"/>
  <c r="P2" i="41" a="1"/>
  <c r="M3" i="8" a="1"/>
  <c r="AH4" i="8" a="1"/>
  <c r="AK7" i="8" a="1"/>
  <c r="X4" i="8" a="1"/>
  <c r="D4" i="8" a="1"/>
  <c r="W2" i="41" a="1"/>
  <c r="D3" i="8" a="1"/>
  <c r="R6" i="8" a="1"/>
  <c r="AM4" i="8" a="1"/>
  <c r="F4" i="8" a="1"/>
  <c r="G2" i="41" a="1"/>
  <c r="C5" i="8" a="1"/>
  <c r="F7" i="8" a="1"/>
  <c r="I5" i="8" a="1"/>
  <c r="AE7" i="8" a="1"/>
  <c r="R3" i="8" a="1"/>
  <c r="K4" i="8" a="1"/>
  <c r="V5" i="8" a="1"/>
  <c r="D7" i="8" a="1"/>
  <c r="D2" i="41" a="1"/>
  <c r="AM5" i="8" a="1"/>
  <c r="V3" i="8" a="1"/>
  <c r="C2" i="41" a="1"/>
  <c r="K3" i="8" a="1"/>
  <c r="M5" i="8" a="1"/>
  <c r="V8" i="8" a="1"/>
  <c r="Y4" i="8" a="1"/>
  <c r="T7" i="8" a="1"/>
  <c r="AB8" i="8" a="1"/>
  <c r="I3" i="8" a="1"/>
  <c r="T8" i="8" a="1"/>
  <c r="W4" i="8" a="1"/>
  <c r="J7" i="8" a="1"/>
  <c r="AB7" i="8" a="1"/>
  <c r="O8" i="8" a="1"/>
  <c r="AH8" i="8" a="1"/>
  <c r="AH7" i="8" a="1"/>
  <c r="R4" i="8" a="1"/>
  <c r="U5" i="8" a="1"/>
  <c r="K7" i="8" a="1"/>
  <c r="AK8" i="8" a="1"/>
  <c r="K5" i="8" a="1"/>
  <c r="AB6" i="8" a="1"/>
  <c r="AJ6" i="8" a="1"/>
  <c r="T4" i="8" a="1"/>
  <c r="N2" i="41" a="1"/>
  <c r="H4" i="8" a="1"/>
  <c r="H5" i="8" a="1"/>
  <c r="T5" i="8" a="1"/>
  <c r="H3" i="8" a="1"/>
  <c r="I8" i="8" a="1"/>
  <c r="AJ3" i="8" a="1"/>
  <c r="Y6" i="8" a="1"/>
  <c r="W7" i="8" a="1"/>
  <c r="AB2" i="41" a="1"/>
  <c r="B6" i="8" a="1"/>
  <c r="V7" i="8" a="1"/>
  <c r="AM6" i="8" a="1"/>
  <c r="G3" i="8" a="1"/>
  <c r="O6" i="8" a="1"/>
  <c r="U3" i="8" a="1"/>
  <c r="AD3" i="8" a="1"/>
  <c r="Y7" i="8" a="1"/>
  <c r="O4" i="8" a="1"/>
  <c r="AK3" i="8" a="1"/>
  <c r="AK6" i="8" a="1"/>
  <c r="N8" i="8" a="1"/>
  <c r="L7" i="8" a="1"/>
  <c r="H7" i="8" a="1"/>
  <c r="O2" i="41" a="1"/>
  <c r="D6" i="8" a="1"/>
  <c r="R8" i="8" a="1"/>
  <c r="O7" i="8" a="1"/>
  <c r="AE3" i="8" a="1"/>
  <c r="J8" i="8" a="1"/>
  <c r="C4" i="8" a="1"/>
  <c r="G7" i="8" a="1"/>
  <c r="H8" i="8" a="1"/>
  <c r="S5" i="8" a="1"/>
  <c r="L2" i="41" a="1"/>
  <c r="I7" i="8" a="1"/>
  <c r="N7" i="8" a="1"/>
  <c r="S6" i="8" a="1"/>
  <c r="J3" i="8" a="1"/>
  <c r="B8" i="8" a="1"/>
  <c r="T2" i="41" a="1"/>
  <c r="K6" i="8" a="1"/>
  <c r="D8" i="8" a="1"/>
  <c r="AK4" i="8" a="1"/>
  <c r="C7" i="8" a="1"/>
  <c r="AJ5" i="8" a="1"/>
  <c r="B7" i="8" a="1"/>
  <c r="AE2" i="90" l="1"/>
  <c r="AB2" i="90"/>
  <c r="AM8" i="8"/>
  <c r="AK8" i="8"/>
  <c r="AB8" i="8"/>
  <c r="M8" i="8"/>
  <c r="G8" i="8"/>
  <c r="V8" i="8"/>
  <c r="T8" i="8"/>
  <c r="U8" i="8"/>
  <c r="AJ8" i="8"/>
  <c r="L8" i="8"/>
  <c r="F8" i="8"/>
  <c r="Y8" i="8"/>
  <c r="S8" i="8"/>
  <c r="AH8" i="8"/>
  <c r="K8" i="8"/>
  <c r="D8" i="8"/>
  <c r="N8" i="8"/>
  <c r="X8" i="8"/>
  <c r="R8" i="8"/>
  <c r="J8" i="8"/>
  <c r="C8" i="8"/>
  <c r="AD8" i="8"/>
  <c r="AE8" i="8"/>
  <c r="W8" i="8"/>
  <c r="H8" i="8"/>
  <c r="O8" i="8"/>
  <c r="I8" i="8"/>
  <c r="B8" i="8"/>
  <c r="E40" i="89"/>
  <c r="D40" i="89"/>
  <c r="F42" i="89" s="1"/>
  <c r="E41" i="89"/>
  <c r="L8" i="89"/>
  <c r="H38" i="89"/>
  <c r="B19" i="89" a="1"/>
  <c r="B19" i="89" s="1"/>
  <c r="R7" i="8"/>
  <c r="J7" i="8"/>
  <c r="W7" i="8"/>
  <c r="AD7" i="8"/>
  <c r="V7" i="8"/>
  <c r="H7" i="8"/>
  <c r="U7" i="8"/>
  <c r="AM7" i="8"/>
  <c r="N7" i="8"/>
  <c r="AK7" i="8"/>
  <c r="AB7" i="8"/>
  <c r="M7" i="8"/>
  <c r="G7" i="8"/>
  <c r="T7" i="8"/>
  <c r="AJ7" i="8"/>
  <c r="L7" i="8"/>
  <c r="F7" i="8"/>
  <c r="Y7" i="8"/>
  <c r="S7" i="8"/>
  <c r="AH7" i="8"/>
  <c r="K7" i="8"/>
  <c r="D7" i="8"/>
  <c r="X7" i="8"/>
  <c r="C7" i="8"/>
  <c r="AE7" i="8"/>
  <c r="O7" i="8"/>
  <c r="I7" i="8"/>
  <c r="B7" i="8"/>
  <c r="D36" i="88"/>
  <c r="D40" i="88" s="1"/>
  <c r="F42" i="88" s="1"/>
  <c r="H5" i="8"/>
  <c r="U5" i="8"/>
  <c r="N5" i="8"/>
  <c r="AK5" i="8"/>
  <c r="AB5" i="8"/>
  <c r="M5" i="8"/>
  <c r="G5" i="8"/>
  <c r="T5" i="8"/>
  <c r="AJ5" i="8"/>
  <c r="L5" i="8"/>
  <c r="F5" i="8"/>
  <c r="AM5" i="8"/>
  <c r="Y5" i="8"/>
  <c r="S5" i="8"/>
  <c r="AH5" i="8"/>
  <c r="K5" i="8"/>
  <c r="D5" i="8"/>
  <c r="X5" i="8"/>
  <c r="R5" i="8"/>
  <c r="AD5" i="8"/>
  <c r="J5" i="8"/>
  <c r="C5" i="8"/>
  <c r="AE5" i="8"/>
  <c r="W5" i="8"/>
  <c r="V5" i="8"/>
  <c r="O5" i="8"/>
  <c r="I5" i="8"/>
  <c r="B5" i="8"/>
  <c r="J6" i="8"/>
  <c r="AD6" i="8"/>
  <c r="V6" i="8"/>
  <c r="AM6" i="8"/>
  <c r="N6" i="8"/>
  <c r="H6" i="8"/>
  <c r="AK6" i="8"/>
  <c r="M6" i="8"/>
  <c r="AJ6" i="8"/>
  <c r="L6" i="8"/>
  <c r="F6" i="8"/>
  <c r="U6" i="8"/>
  <c r="T6" i="8"/>
  <c r="Y6" i="8"/>
  <c r="S6" i="8"/>
  <c r="AB6" i="8"/>
  <c r="G6" i="8"/>
  <c r="AH6" i="8"/>
  <c r="K6" i="8"/>
  <c r="D6" i="8"/>
  <c r="X6" i="8"/>
  <c r="R6" i="8"/>
  <c r="C6" i="8"/>
  <c r="AE6" i="8"/>
  <c r="W6" i="8"/>
  <c r="O6" i="8"/>
  <c r="I6" i="8"/>
  <c r="B6" i="8"/>
  <c r="H2" i="41"/>
  <c r="U2" i="41"/>
  <c r="O2" i="41"/>
  <c r="G2" i="41"/>
  <c r="T2" i="41"/>
  <c r="N2" i="41"/>
  <c r="AB2" i="41"/>
  <c r="E2" i="41"/>
  <c r="AA5" i="47" s="1"/>
  <c r="L2" i="41"/>
  <c r="Z2" i="41"/>
  <c r="R2" i="41"/>
  <c r="D2" i="41"/>
  <c r="C2" i="41"/>
  <c r="W2" i="41"/>
  <c r="P2" i="41"/>
  <c r="E40" i="88"/>
  <c r="E41" i="88" s="1"/>
  <c r="C19" i="88" a="1"/>
  <c r="C19" i="88" s="1"/>
  <c r="H38" i="88"/>
  <c r="L8" i="88"/>
  <c r="D19" i="87"/>
  <c r="D40" i="87" s="1"/>
  <c r="F42" i="87" s="1"/>
  <c r="H38" i="87"/>
  <c r="B19" i="87" a="1"/>
  <c r="B19" i="87" s="1"/>
  <c r="L8" i="87"/>
  <c r="E40" i="86"/>
  <c r="D19" i="86"/>
  <c r="D40" i="86" s="1"/>
  <c r="F42" i="86" s="1"/>
  <c r="H38" i="86"/>
  <c r="L8" i="86"/>
  <c r="K8" i="86"/>
  <c r="E41" i="86"/>
  <c r="B19" i="86" a="1"/>
  <c r="B19" i="86" s="1"/>
  <c r="B36" i="86" a="1"/>
  <c r="B36" i="86" s="1"/>
  <c r="V4" i="8"/>
  <c r="AM4" i="8"/>
  <c r="N4" i="8"/>
  <c r="H4" i="8"/>
  <c r="U4" i="8"/>
  <c r="AD4" i="8"/>
  <c r="AK4" i="8"/>
  <c r="AB4" i="8"/>
  <c r="M4" i="8"/>
  <c r="G4" i="8"/>
  <c r="T4" i="8"/>
  <c r="AJ4" i="8"/>
  <c r="L4" i="8"/>
  <c r="F4" i="8"/>
  <c r="Y4" i="8"/>
  <c r="S4" i="8"/>
  <c r="AH4" i="8"/>
  <c r="K4" i="8"/>
  <c r="D4" i="8"/>
  <c r="X4" i="8"/>
  <c r="R4" i="8"/>
  <c r="J4" i="8"/>
  <c r="C4" i="8"/>
  <c r="AE4" i="8"/>
  <c r="W4" i="8"/>
  <c r="O4" i="8"/>
  <c r="I4" i="8"/>
  <c r="B4" i="8"/>
  <c r="C3" i="8"/>
  <c r="AE3" i="8"/>
  <c r="AD3" i="8"/>
  <c r="V3" i="8"/>
  <c r="H3" i="8"/>
  <c r="U3" i="8"/>
  <c r="AM3" i="8"/>
  <c r="N3" i="8"/>
  <c r="AK3" i="8"/>
  <c r="AB3" i="8"/>
  <c r="M3" i="8"/>
  <c r="G3" i="8"/>
  <c r="T3" i="8"/>
  <c r="L3" i="8"/>
  <c r="AJ3" i="8"/>
  <c r="F3" i="8"/>
  <c r="Y3" i="8"/>
  <c r="S3" i="8"/>
  <c r="AH3" i="8"/>
  <c r="K3" i="8"/>
  <c r="D3" i="8"/>
  <c r="X3" i="8"/>
  <c r="R3" i="8"/>
  <c r="J3" i="8"/>
  <c r="W3" i="8"/>
  <c r="O3" i="8"/>
  <c r="I3" i="8"/>
  <c r="B3" i="8"/>
  <c r="H36" i="85"/>
  <c r="H38" i="85" s="1"/>
  <c r="E40" i="85"/>
  <c r="H36" i="84"/>
  <c r="H38" i="84" s="1"/>
  <c r="B19" i="85" a="1"/>
  <c r="B19" i="85" s="1"/>
  <c r="D40" i="85"/>
  <c r="L8" i="85"/>
  <c r="B36" i="85" a="1"/>
  <c r="B36" i="85" s="1"/>
  <c r="L8" i="84"/>
  <c r="B19" i="84" a="1"/>
  <c r="B19" i="84" s="1"/>
  <c r="D19" i="84"/>
  <c r="L8" i="83"/>
  <c r="E40" i="83"/>
  <c r="D19" i="83"/>
  <c r="D40" i="83" s="1"/>
  <c r="F42" i="83" s="1"/>
  <c r="H38" i="83"/>
  <c r="B19" i="83" a="1"/>
  <c r="B19" i="83" s="1"/>
  <c r="B36" i="83" a="1"/>
  <c r="B36" i="83" s="1"/>
  <c r="AM2" i="8" a="1"/>
  <c r="S2" i="41" a="1"/>
  <c r="I2" i="41" a="1"/>
  <c r="Q2" i="41" a="1"/>
  <c r="AC5" i="8" l="1"/>
  <c r="AC8" i="8"/>
  <c r="AC7" i="8"/>
  <c r="AC6" i="8"/>
  <c r="AC3" i="8"/>
  <c r="AC4" i="8"/>
  <c r="AH53" i="47"/>
  <c r="AH5" i="47"/>
  <c r="AA17" i="47"/>
  <c r="AA18" i="47"/>
  <c r="AA20" i="47"/>
  <c r="AA19" i="47"/>
  <c r="G7" i="47"/>
  <c r="Z8" i="8"/>
  <c r="P8" i="8"/>
  <c r="AF8" i="8"/>
  <c r="AO8" i="8"/>
  <c r="AP8" i="8" s="1"/>
  <c r="AQ8" i="8" s="1"/>
  <c r="Q2" i="41"/>
  <c r="X2" i="41" s="1"/>
  <c r="Y2" i="41" s="1"/>
  <c r="AA2" i="41" s="1"/>
  <c r="G17" i="47" s="1"/>
  <c r="H40" i="89"/>
  <c r="Z7" i="8"/>
  <c r="AO7" i="8"/>
  <c r="AP7" i="8" s="1"/>
  <c r="AQ7" i="8" s="1"/>
  <c r="P7" i="8"/>
  <c r="AF7" i="8"/>
  <c r="Z5" i="8"/>
  <c r="AO5" i="8"/>
  <c r="AP5" i="8" s="1"/>
  <c r="AQ5" i="8" s="1"/>
  <c r="P5" i="8"/>
  <c r="AF5" i="8"/>
  <c r="Z6" i="8"/>
  <c r="AF6" i="8"/>
  <c r="P6" i="8"/>
  <c r="AO6" i="8"/>
  <c r="AP6" i="8" s="1"/>
  <c r="AQ6" i="8" s="1"/>
  <c r="S2" i="41"/>
  <c r="I2" i="41"/>
  <c r="H40" i="88"/>
  <c r="H40" i="87"/>
  <c r="H40" i="86"/>
  <c r="AO4" i="8"/>
  <c r="AP4" i="8" s="1"/>
  <c r="AQ4" i="8" s="1"/>
  <c r="Z4" i="8"/>
  <c r="P4" i="8"/>
  <c r="AF4" i="8"/>
  <c r="Z3" i="8"/>
  <c r="AF3" i="8"/>
  <c r="P3" i="8"/>
  <c r="AO3" i="8"/>
  <c r="AP3" i="8" s="1"/>
  <c r="AQ3" i="8" s="1"/>
  <c r="F42" i="85"/>
  <c r="H40" i="85" s="1"/>
  <c r="D40" i="84"/>
  <c r="F42" i="84" s="1"/>
  <c r="H40" i="84"/>
  <c r="H40" i="83"/>
  <c r="AM2" i="8"/>
  <c r="AI53" i="47" l="1"/>
  <c r="AB17" i="47"/>
  <c r="AB18" i="47"/>
  <c r="AB20" i="47"/>
  <c r="AB19" i="47"/>
  <c r="AC2" i="41"/>
  <c r="AD2" i="41" s="1"/>
  <c r="J2" i="41"/>
  <c r="K2" i="41" s="1"/>
  <c r="M2" i="41" s="1"/>
  <c r="AH18" i="47"/>
  <c r="AH6" i="47"/>
  <c r="AH10" i="47"/>
  <c r="AH14" i="47"/>
  <c r="AH22" i="47"/>
  <c r="AH26" i="47"/>
  <c r="AH30" i="47"/>
  <c r="AH34" i="47"/>
  <c r="AH38" i="47"/>
  <c r="AH42" i="47"/>
  <c r="AH46" i="47"/>
  <c r="AH50" i="47"/>
  <c r="AH13" i="47"/>
  <c r="AH25" i="47"/>
  <c r="AH33" i="47"/>
  <c r="AH45" i="47"/>
  <c r="AH7" i="47"/>
  <c r="AH11" i="47"/>
  <c r="AH15" i="47"/>
  <c r="AH19" i="47"/>
  <c r="AH23" i="47"/>
  <c r="AH31" i="47"/>
  <c r="AH35" i="47"/>
  <c r="AH39" i="47"/>
  <c r="AH43" i="47"/>
  <c r="AH47" i="47"/>
  <c r="AH51" i="47"/>
  <c r="AH17" i="47"/>
  <c r="AH21" i="47"/>
  <c r="AH37" i="47"/>
  <c r="AH49" i="47"/>
  <c r="AH12" i="47"/>
  <c r="AH16" i="47"/>
  <c r="AH24" i="47"/>
  <c r="AH28" i="47"/>
  <c r="AH32" i="47"/>
  <c r="AH36" i="47"/>
  <c r="AH48" i="47"/>
  <c r="AH52" i="47"/>
  <c r="AH9" i="47"/>
  <c r="AH29" i="47"/>
  <c r="AH41" i="47"/>
  <c r="AA6" i="47"/>
  <c r="AA14" i="47"/>
  <c r="AA12" i="47"/>
  <c r="AA16" i="47"/>
  <c r="AA7" i="47"/>
  <c r="AA11" i="47"/>
  <c r="AA13" i="47"/>
  <c r="AH27" i="47"/>
  <c r="AA9" i="47" l="1"/>
  <c r="AH20" i="47"/>
  <c r="G12" i="47"/>
  <c r="AH8" i="47"/>
  <c r="A11" i="47" l="1"/>
  <c r="B2" i="8" a="1"/>
  <c r="C2" i="8" a="1"/>
  <c r="F2" i="8" a="1"/>
  <c r="F2" i="8" l="1"/>
  <c r="X53" i="47" s="1"/>
  <c r="B2" i="8"/>
  <c r="C2" i="8"/>
  <c r="X25" i="47" l="1"/>
  <c r="X11" i="47"/>
  <c r="X10" i="47"/>
  <c r="X32" i="47"/>
  <c r="X35" i="47"/>
  <c r="X48" i="47"/>
  <c r="X28" i="47"/>
  <c r="X9" i="47"/>
  <c r="X30" i="47"/>
  <c r="X15" i="47"/>
  <c r="X42" i="47"/>
  <c r="X45" i="47"/>
  <c r="X29" i="47"/>
  <c r="X7" i="47"/>
  <c r="X39" i="47"/>
  <c r="X5" i="47"/>
  <c r="X18" i="47"/>
  <c r="X49" i="47"/>
  <c r="X24" i="47"/>
  <c r="X26" i="47"/>
  <c r="X43" i="47"/>
  <c r="X37" i="47"/>
  <c r="X17" i="47"/>
  <c r="X14" i="47"/>
  <c r="X20" i="47"/>
  <c r="X12" i="47"/>
  <c r="X44" i="47"/>
  <c r="X16" i="47"/>
  <c r="X41" i="47"/>
  <c r="X19" i="47"/>
  <c r="X52" i="47"/>
  <c r="X47" i="47"/>
  <c r="X46" i="47"/>
  <c r="X23" i="47"/>
  <c r="X22" i="47"/>
  <c r="X6" i="47"/>
  <c r="X13" i="47"/>
  <c r="X51" i="47"/>
  <c r="X31" i="47"/>
  <c r="X21" i="47"/>
  <c r="X8" i="47"/>
  <c r="X36" i="47"/>
  <c r="X33" i="47"/>
  <c r="X38" i="47"/>
  <c r="X34" i="47"/>
  <c r="X50" i="47"/>
  <c r="G2" i="8" a="1"/>
  <c r="AA15" i="47" l="1"/>
  <c r="G2" i="8"/>
  <c r="T5" i="47" l="1"/>
  <c r="T19" i="47"/>
  <c r="T18" i="47"/>
  <c r="T20" i="47"/>
  <c r="AH44" i="47"/>
  <c r="AA10" i="47"/>
  <c r="AH40" i="47"/>
  <c r="AA8" i="47"/>
  <c r="T17" i="47"/>
  <c r="T6" i="47"/>
  <c r="T13" i="47"/>
  <c r="T7" i="47"/>
  <c r="T9" i="47"/>
  <c r="T15" i="47"/>
  <c r="T10" i="47"/>
  <c r="T16" i="47"/>
  <c r="T12" i="47"/>
  <c r="T11" i="47"/>
  <c r="O2" i="8" a="1"/>
  <c r="X2" i="8" a="1"/>
  <c r="N2" i="8" a="1"/>
  <c r="Y2" i="8" a="1"/>
  <c r="P2" i="90" a="1"/>
  <c r="P2" i="90" l="1"/>
  <c r="Y2" i="8"/>
  <c r="X2" i="8"/>
  <c r="O2" i="8"/>
  <c r="N2" i="8"/>
  <c r="AK2" i="8" a="1"/>
  <c r="AD2" i="8" a="1"/>
  <c r="M2" i="8" a="1"/>
  <c r="U2" i="8" a="1"/>
  <c r="V2" i="8" a="1"/>
  <c r="AJ2" i="8" a="1"/>
  <c r="W2" i="8" a="1"/>
  <c r="S2" i="90" a="1"/>
  <c r="L2" i="8" a="1"/>
  <c r="AE2" i="8" a="1"/>
  <c r="Q2" i="90" a="1"/>
  <c r="K2" i="8" a="1"/>
  <c r="G8" i="47" l="1"/>
  <c r="S2" i="90"/>
  <c r="Q2" i="90"/>
  <c r="AD2" i="90" s="1"/>
  <c r="U2" i="8"/>
  <c r="V2" i="8"/>
  <c r="W2" i="8"/>
  <c r="AK2" i="8"/>
  <c r="AF2" i="8"/>
  <c r="AE2" i="8"/>
  <c r="AD2" i="8"/>
  <c r="L2" i="8"/>
  <c r="K2" i="8"/>
  <c r="AJ2" i="8"/>
  <c r="M2" i="8"/>
  <c r="L2" i="90" a="1"/>
  <c r="R2" i="8" a="1"/>
  <c r="J2" i="8" a="1"/>
  <c r="AB2" i="8" a="1"/>
  <c r="T2" i="8" a="1"/>
  <c r="H2" i="8" a="1"/>
  <c r="S2" i="8" a="1"/>
  <c r="I2" i="8" a="1"/>
  <c r="AC2" i="8" l="1"/>
  <c r="Y2" i="90"/>
  <c r="J2" i="90"/>
  <c r="AD19" i="47"/>
  <c r="L2" i="90"/>
  <c r="AB2" i="8"/>
  <c r="H2" i="8"/>
  <c r="T2" i="8"/>
  <c r="S2" i="8"/>
  <c r="R2" i="8"/>
  <c r="J2" i="8"/>
  <c r="I2" i="8"/>
  <c r="AH2" i="8" a="1"/>
  <c r="G18" i="47" l="1"/>
  <c r="E18" i="47" s="1"/>
  <c r="AB5" i="47"/>
  <c r="AB6" i="47"/>
  <c r="AD6" i="47" s="1"/>
  <c r="AB7" i="47"/>
  <c r="AD7" i="47" s="1"/>
  <c r="AB9" i="47"/>
  <c r="AB10" i="47"/>
  <c r="AD10" i="47" s="1"/>
  <c r="AB8" i="47"/>
  <c r="AB11" i="47"/>
  <c r="AD11" i="47" s="1"/>
  <c r="AB12" i="47"/>
  <c r="AD12" i="47" s="1"/>
  <c r="AB13" i="47"/>
  <c r="AB14" i="47"/>
  <c r="AD14" i="47" s="1"/>
  <c r="AB15" i="47"/>
  <c r="AB16" i="47"/>
  <c r="AD16" i="47" s="1"/>
  <c r="AI5" i="47"/>
  <c r="AK5" i="47" s="1"/>
  <c r="AI10" i="47"/>
  <c r="AK10" i="47" s="1"/>
  <c r="AI22" i="47"/>
  <c r="AK22" i="47" s="1"/>
  <c r="AI34" i="47"/>
  <c r="AK34" i="47" s="1"/>
  <c r="AI46" i="47"/>
  <c r="AK46" i="47" s="1"/>
  <c r="AI12" i="47"/>
  <c r="AK12" i="47" s="1"/>
  <c r="AI36" i="47"/>
  <c r="AK36" i="47" s="1"/>
  <c r="AI25" i="47"/>
  <c r="AK25" i="47" s="1"/>
  <c r="AI37" i="47"/>
  <c r="AK37" i="47" s="1"/>
  <c r="AI14" i="47"/>
  <c r="AK14" i="47" s="1"/>
  <c r="AI26" i="47"/>
  <c r="AK26" i="47" s="1"/>
  <c r="AI38" i="47"/>
  <c r="AK38" i="47" s="1"/>
  <c r="AI50" i="47"/>
  <c r="AK50" i="47" s="1"/>
  <c r="AI15" i="47"/>
  <c r="AK15" i="47" s="1"/>
  <c r="AI27" i="47"/>
  <c r="AK27" i="47" s="1"/>
  <c r="AI39" i="47"/>
  <c r="AK39" i="47" s="1"/>
  <c r="AI51" i="47"/>
  <c r="AK51" i="47" s="1"/>
  <c r="AI19" i="47"/>
  <c r="AK19" i="47" s="1"/>
  <c r="AI43" i="47"/>
  <c r="AK43" i="47" s="1"/>
  <c r="AI20" i="47"/>
  <c r="AK20" i="47" s="1"/>
  <c r="AI32" i="47"/>
  <c r="AK32" i="47" s="1"/>
  <c r="AI9" i="47"/>
  <c r="AK9" i="47" s="1"/>
  <c r="AI45" i="47"/>
  <c r="AK45" i="47" s="1"/>
  <c r="AI11" i="47"/>
  <c r="AK11" i="47" s="1"/>
  <c r="AI23" i="47"/>
  <c r="AK23" i="47" s="1"/>
  <c r="AI35" i="47"/>
  <c r="AK35" i="47" s="1"/>
  <c r="AI47" i="47"/>
  <c r="AK47" i="47" s="1"/>
  <c r="AI24" i="47"/>
  <c r="AK24" i="47" s="1"/>
  <c r="AI48" i="47"/>
  <c r="AK48" i="47" s="1"/>
  <c r="AI13" i="47"/>
  <c r="AK13" i="47" s="1"/>
  <c r="AI49" i="47"/>
  <c r="AK49" i="47" s="1"/>
  <c r="AI16" i="47"/>
  <c r="AK16" i="47" s="1"/>
  <c r="AI28" i="47"/>
  <c r="AK28" i="47" s="1"/>
  <c r="AI52" i="47"/>
  <c r="AK52" i="47" s="1"/>
  <c r="AI17" i="47"/>
  <c r="AK17" i="47" s="1"/>
  <c r="AI29" i="47"/>
  <c r="AK29" i="47" s="1"/>
  <c r="AI41" i="47"/>
  <c r="AK41" i="47" s="1"/>
  <c r="AI6" i="47"/>
  <c r="AK6" i="47" s="1"/>
  <c r="AI30" i="47"/>
  <c r="AK30" i="47" s="1"/>
  <c r="AI42" i="47"/>
  <c r="AK42" i="47" s="1"/>
  <c r="AI7" i="47"/>
  <c r="AK7" i="47" s="1"/>
  <c r="AI31" i="47"/>
  <c r="AK31" i="47" s="1"/>
  <c r="AI8" i="47"/>
  <c r="AK8" i="47" s="1"/>
  <c r="AI44" i="47"/>
  <c r="AK44" i="47" s="1"/>
  <c r="AI21" i="47"/>
  <c r="AK21" i="47" s="1"/>
  <c r="AI33" i="47"/>
  <c r="AK33" i="47" s="1"/>
  <c r="AD15" i="47"/>
  <c r="E17" i="47"/>
  <c r="AO2" i="8"/>
  <c r="AP2" i="8" s="1"/>
  <c r="AQ2" i="8" s="1"/>
  <c r="AI18" i="47"/>
  <c r="AK18" i="47" s="1"/>
  <c r="AI40" i="47"/>
  <c r="L7" i="47"/>
  <c r="L8" i="47"/>
  <c r="L10" i="47"/>
  <c r="L11" i="47"/>
  <c r="L12" i="47"/>
  <c r="L13" i="47"/>
  <c r="L15" i="47"/>
  <c r="L16" i="47"/>
  <c r="K7" i="47"/>
  <c r="K8" i="47"/>
  <c r="K10" i="47"/>
  <c r="K11" i="47"/>
  <c r="K12" i="47"/>
  <c r="K13" i="47"/>
  <c r="K15" i="47"/>
  <c r="K16" i="47"/>
  <c r="G6" i="47"/>
  <c r="F2" i="90" s="1"/>
  <c r="AH2" i="8"/>
  <c r="Z2" i="8"/>
  <c r="P2" i="8"/>
  <c r="X27" i="47" l="1"/>
  <c r="G21" i="47"/>
  <c r="E8" i="47" s="1"/>
  <c r="AC20" i="47"/>
  <c r="AD20" i="47" s="1"/>
  <c r="AC17" i="47"/>
  <c r="AD17" i="47" s="1"/>
  <c r="AJ40" i="47"/>
  <c r="AK40" i="47" s="1"/>
  <c r="AC18" i="47"/>
  <c r="AD18" i="47" s="1"/>
  <c r="G16" i="47"/>
  <c r="F2" i="41"/>
  <c r="K5" i="47"/>
  <c r="E12" i="47"/>
  <c r="D16" i="47"/>
  <c r="T14" i="47"/>
  <c r="L9" i="47"/>
  <c r="K9" i="47"/>
  <c r="T8" i="47"/>
  <c r="X40" i="47"/>
  <c r="M15" i="47"/>
  <c r="L14" i="47"/>
  <c r="K14" i="47"/>
  <c r="K6" i="47"/>
  <c r="L6" i="47"/>
  <c r="L5" i="47"/>
  <c r="M12" i="47"/>
  <c r="M7" i="47"/>
  <c r="M8" i="47"/>
  <c r="M13" i="47"/>
  <c r="M11" i="47"/>
  <c r="M10" i="47"/>
  <c r="M16" i="47"/>
  <c r="O5" i="47"/>
  <c r="P5" i="47"/>
  <c r="P6" i="47"/>
  <c r="P7" i="47"/>
  <c r="P8" i="47"/>
  <c r="P9" i="47"/>
  <c r="P10" i="47"/>
  <c r="P11" i="47"/>
  <c r="P12" i="47"/>
  <c r="P13" i="47"/>
  <c r="P14" i="47"/>
  <c r="P15" i="47"/>
  <c r="P16" i="47"/>
  <c r="O6" i="47"/>
  <c r="O7" i="47"/>
  <c r="O8" i="47"/>
  <c r="O9" i="47"/>
  <c r="O10" i="47"/>
  <c r="O11" i="47"/>
  <c r="O12" i="47"/>
  <c r="O13" i="47"/>
  <c r="O14" i="47"/>
  <c r="O15" i="47"/>
  <c r="O16" i="47"/>
  <c r="AG2" i="90" l="1"/>
  <c r="M5" i="47"/>
  <c r="E7" i="47"/>
  <c r="G23" i="47"/>
  <c r="D23" i="47" s="1"/>
  <c r="M9" i="47"/>
  <c r="M14" i="47"/>
  <c r="M6" i="47"/>
  <c r="K4" i="47"/>
  <c r="L4" i="47"/>
  <c r="Q7" i="47"/>
  <c r="Q8" i="47"/>
  <c r="Q15" i="47"/>
  <c r="Q16" i="47"/>
  <c r="Q6" i="47"/>
  <c r="Q10" i="47"/>
  <c r="Q13" i="47"/>
  <c r="Q9" i="47"/>
  <c r="Q12" i="47"/>
  <c r="P4" i="47"/>
  <c r="Q14" i="47"/>
  <c r="Q11" i="47"/>
  <c r="O4" i="47"/>
  <c r="Q5" i="47"/>
  <c r="D6" i="47" l="1"/>
  <c r="M4" i="47"/>
  <c r="Q4" i="47"/>
  <c r="W8" i="92" l="1"/>
  <c r="K2" i="90" a="1"/>
  <c r="K2" i="90" l="1"/>
  <c r="M2" i="90" s="1"/>
  <c r="G13" i="47" l="1"/>
  <c r="AC8" i="47"/>
  <c r="AD8" i="47" s="1"/>
  <c r="AC9" i="47"/>
  <c r="AD9" i="47" s="1"/>
  <c r="AC13" i="47"/>
  <c r="AD13" i="47" s="1"/>
  <c r="AJ53" i="47"/>
  <c r="AK53" i="47" s="1"/>
  <c r="AC5" i="47"/>
  <c r="AD5" i="47" s="1"/>
  <c r="E13" i="47" l="1"/>
  <c r="D11" i="47" s="1"/>
  <c r="G11" i="47"/>
  <c r="G26" i="4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4"/>
        </ext>
      </extLst>
    </bk>
    <bk>
      <extLst>
        <ext uri="{3e2802c4-a4d2-4d8b-9148-e3be6c30e623}">
          <xlrd:rvb i="6"/>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<sst xmlns="http://schemas.openxmlformats.org/spreadsheetml/2006/main" count="1433" uniqueCount="257">
  <si>
    <t>Fecha</t>
  </si>
  <si>
    <t>OPERACIÓN</t>
  </si>
  <si>
    <t>ENTIDAD</t>
  </si>
  <si>
    <t>Acciones</t>
  </si>
  <si>
    <t>RESULTANTE</t>
  </si>
  <si>
    <t>Com. Bolsa</t>
  </si>
  <si>
    <t>OPERACIÓN Nº</t>
  </si>
  <si>
    <t>FECHA</t>
  </si>
  <si>
    <t>Precio</t>
  </si>
  <si>
    <t>Resultante</t>
  </si>
  <si>
    <t>Com. Broker</t>
  </si>
  <si>
    <t>RESULTADO</t>
  </si>
  <si>
    <t>Nº OP</t>
  </si>
  <si>
    <t>ACCIONES</t>
  </si>
  <si>
    <t>PRECIO</t>
  </si>
  <si>
    <t>C. BROKER</t>
  </si>
  <si>
    <t>C. BOLSA</t>
  </si>
  <si>
    <t>T. C. BROKER</t>
  </si>
  <si>
    <t>T. C. BOLSA</t>
  </si>
  <si>
    <t>FINAL</t>
  </si>
  <si>
    <t>Bruto</t>
  </si>
  <si>
    <t>Compra</t>
  </si>
  <si>
    <t>Venta</t>
  </si>
  <si>
    <t>HOJA</t>
  </si>
  <si>
    <t>GASTOS</t>
  </si>
  <si>
    <t>Sector</t>
  </si>
  <si>
    <t>SECTOR</t>
  </si>
  <si>
    <t>ESTADO ACTUAL</t>
  </si>
  <si>
    <t>MERCADO</t>
  </si>
  <si>
    <t>TICKER</t>
  </si>
  <si>
    <t>MONEDA</t>
  </si>
  <si>
    <t>CAMBIO%</t>
  </si>
  <si>
    <t>APERTURA</t>
  </si>
  <si>
    <t>MAXIMO</t>
  </si>
  <si>
    <t>MINIMO</t>
  </si>
  <si>
    <t>ANTERIOR</t>
  </si>
  <si>
    <t>1 EURO =</t>
  </si>
  <si>
    <t>EUR</t>
  </si>
  <si>
    <t>USD</t>
  </si>
  <si>
    <t>GBP</t>
  </si>
  <si>
    <t>CNY</t>
  </si>
  <si>
    <t>Cambio de Moneda</t>
  </si>
  <si>
    <t>STOP LOSS</t>
  </si>
  <si>
    <t>TAKE PROFIT</t>
  </si>
  <si>
    <t>% Cartera</t>
  </si>
  <si>
    <t>PRECIO ACTUAL</t>
  </si>
  <si>
    <t xml:space="preserve">RENTABILIDAD % </t>
  </si>
  <si>
    <t>BRUTO (€)</t>
  </si>
  <si>
    <t>mon.</t>
  </si>
  <si>
    <t>%</t>
  </si>
  <si>
    <t>TIPO DE CAMBIO</t>
  </si>
  <si>
    <t>PRECIO ENTRADA</t>
  </si>
  <si>
    <t>Precio (€)</t>
  </si>
  <si>
    <t>PRECIO €</t>
  </si>
  <si>
    <t>BRUTO</t>
  </si>
  <si>
    <t>Final</t>
  </si>
  <si>
    <t>LARGO / CORTO</t>
  </si>
  <si>
    <t>CAPITAL PARA INVERSIÓN</t>
  </si>
  <si>
    <t>A</t>
  </si>
  <si>
    <t>CAPITAL INVERTIDO (CARTERA)</t>
  </si>
  <si>
    <t>B</t>
  </si>
  <si>
    <t>C</t>
  </si>
  <si>
    <t xml:space="preserve">RESULTADOS </t>
  </si>
  <si>
    <t>D</t>
  </si>
  <si>
    <t>LIQUIDEZ</t>
  </si>
  <si>
    <t>TOTAL</t>
  </si>
  <si>
    <t>A + C + D</t>
  </si>
  <si>
    <t>NETO €</t>
  </si>
  <si>
    <t>INVERSIONES (Neto €)</t>
  </si>
  <si>
    <t>STOP LOSS (Neto €)</t>
  </si>
  <si>
    <t>S/ Ganador</t>
  </si>
  <si>
    <t>S/ Perdedor</t>
  </si>
  <si>
    <t>OP (+)</t>
  </si>
  <si>
    <t>Total</t>
  </si>
  <si>
    <t xml:space="preserve">BALANCE CARTERA </t>
  </si>
  <si>
    <t>OP (-)</t>
  </si>
  <si>
    <t>OPERACIONES CERRADAS POR MESES</t>
  </si>
  <si>
    <t>OPERACIONES CERRADAS POR SECTORES</t>
  </si>
  <si>
    <t>OPERACIONES CERRADAS POR MERCADOS</t>
  </si>
  <si>
    <t>Materiales Básicos</t>
  </si>
  <si>
    <t>Comunicaciones</t>
  </si>
  <si>
    <t>Energía</t>
  </si>
  <si>
    <t>Financieras</t>
  </si>
  <si>
    <t>Industriales</t>
  </si>
  <si>
    <t>Tecnologia</t>
  </si>
  <si>
    <t>Bienes de Consumo</t>
  </si>
  <si>
    <t>Inmobiliario</t>
  </si>
  <si>
    <t>Utilities (Serv. Pub.)</t>
  </si>
  <si>
    <t>Salud</t>
  </si>
  <si>
    <t>Discrecional (Serv. Consu.)</t>
  </si>
  <si>
    <t>Telecomunicaciones</t>
  </si>
  <si>
    <t>Rentabilidad</t>
  </si>
  <si>
    <t>OP0</t>
  </si>
  <si>
    <t>LARGO</t>
  </si>
  <si>
    <t>Mercado</t>
  </si>
  <si>
    <t>BMEX</t>
  </si>
  <si>
    <t>XPAR</t>
  </si>
  <si>
    <t>XETR</t>
  </si>
  <si>
    <t>XLIS</t>
  </si>
  <si>
    <t>XHEL</t>
  </si>
  <si>
    <t>XMIL</t>
  </si>
  <si>
    <t>XAMS</t>
  </si>
  <si>
    <t>XBRU</t>
  </si>
  <si>
    <t>XLON</t>
  </si>
  <si>
    <t>XNAS</t>
  </si>
  <si>
    <t>XNYS</t>
  </si>
  <si>
    <t>Ticker</t>
  </si>
  <si>
    <t>España</t>
  </si>
  <si>
    <t>Francia</t>
  </si>
  <si>
    <t>Alemania</t>
  </si>
  <si>
    <t>Portugal</t>
  </si>
  <si>
    <t>Finlandia</t>
  </si>
  <si>
    <t>Argentina</t>
  </si>
  <si>
    <t>Australia</t>
  </si>
  <si>
    <t>Austria</t>
  </si>
  <si>
    <t>Brazil</t>
  </si>
  <si>
    <t>Canada</t>
  </si>
  <si>
    <t>Chile</t>
  </si>
  <si>
    <t>China</t>
  </si>
  <si>
    <t>Estonia</t>
  </si>
  <si>
    <t>Hong Kong</t>
  </si>
  <si>
    <t>India</t>
  </si>
  <si>
    <t>Indonesia</t>
  </si>
  <si>
    <t>Mexico</t>
  </si>
  <si>
    <t>Russia</t>
  </si>
  <si>
    <t>Taiwan</t>
  </si>
  <si>
    <t>XBUE</t>
  </si>
  <si>
    <t>XASX</t>
  </si>
  <si>
    <t>XWBO</t>
  </si>
  <si>
    <t>BVMF</t>
  </si>
  <si>
    <t>XCNQ</t>
  </si>
  <si>
    <t>XTSE</t>
  </si>
  <si>
    <t>XTSX</t>
  </si>
  <si>
    <t>XSGO</t>
  </si>
  <si>
    <t>XSHE</t>
  </si>
  <si>
    <t>XCSE</t>
  </si>
  <si>
    <t>XTAL</t>
  </si>
  <si>
    <t>XFRA</t>
  </si>
  <si>
    <t>XHKG</t>
  </si>
  <si>
    <t>XICE</t>
  </si>
  <si>
    <t>XBOM</t>
  </si>
  <si>
    <t>XNSE</t>
  </si>
  <si>
    <t>XIDX</t>
  </si>
  <si>
    <t>XDUB</t>
  </si>
  <si>
    <t>XKRX</t>
  </si>
  <si>
    <t>XRIS</t>
  </si>
  <si>
    <t>XLIT</t>
  </si>
  <si>
    <t>XMEX</t>
  </si>
  <si>
    <t>XNZE</t>
  </si>
  <si>
    <t>XOSL</t>
  </si>
  <si>
    <t>XPHS</t>
  </si>
  <si>
    <t>XWAR</t>
  </si>
  <si>
    <t>XBSE</t>
  </si>
  <si>
    <t>MISX</t>
  </si>
  <si>
    <t>XJSE</t>
  </si>
  <si>
    <t>XSTO</t>
  </si>
  <si>
    <t>XSWX</t>
  </si>
  <si>
    <t>XTAI</t>
  </si>
  <si>
    <t>XUAX</t>
  </si>
  <si>
    <t>BATS</t>
  </si>
  <si>
    <t>XNASB</t>
  </si>
  <si>
    <t>ARCX</t>
  </si>
  <si>
    <t>OTCM</t>
  </si>
  <si>
    <t>Belgica</t>
  </si>
  <si>
    <t>Dinamarca</t>
  </si>
  <si>
    <t>Islandia</t>
  </si>
  <si>
    <t>Irlanda</t>
  </si>
  <si>
    <t>Italia</t>
  </si>
  <si>
    <t>Corea del Sur</t>
  </si>
  <si>
    <t>Letonia</t>
  </si>
  <si>
    <t>Lituania</t>
  </si>
  <si>
    <t>Nueva Zelanda</t>
  </si>
  <si>
    <t>Noruega</t>
  </si>
  <si>
    <t>Filipinas</t>
  </si>
  <si>
    <t>Polonia</t>
  </si>
  <si>
    <t>Rumania</t>
  </si>
  <si>
    <t>Sudafrica</t>
  </si>
  <si>
    <t>Suecia</t>
  </si>
  <si>
    <t>Suiza</t>
  </si>
  <si>
    <t>Paises Bajos</t>
  </si>
  <si>
    <t>Ucrania</t>
  </si>
  <si>
    <t>Reino Unido</t>
  </si>
  <si>
    <t>USA</t>
  </si>
  <si>
    <t>OPERACIONES ABIERTAS POR SECTORES</t>
  </si>
  <si>
    <t>OPERACIONES ABIERTAS POR MERCADOS</t>
  </si>
  <si>
    <t>% (Bruto)</t>
  </si>
  <si>
    <t>EXPOSICION</t>
  </si>
  <si>
    <t>Holanda</t>
  </si>
  <si>
    <t>PROFIT</t>
  </si>
  <si>
    <t>-</t>
  </si>
  <si>
    <t>Prox. Adquisicion</t>
  </si>
  <si>
    <t>Fecha Transmisión</t>
  </si>
  <si>
    <t>Puedo adquirir hoy?</t>
  </si>
  <si>
    <t>V. COMPRA</t>
  </si>
  <si>
    <t>V. VENTA</t>
  </si>
  <si>
    <t>Tipo</t>
  </si>
  <si>
    <t>A - B + D</t>
  </si>
  <si>
    <t>KBC</t>
  </si>
  <si>
    <t>ASM</t>
  </si>
  <si>
    <t>AZIMUT</t>
  </si>
  <si>
    <t>AZM</t>
  </si>
  <si>
    <t>NETO (€)</t>
  </si>
  <si>
    <t>NETO</t>
  </si>
  <si>
    <t>OP21.004</t>
  </si>
  <si>
    <t>OP21.005</t>
  </si>
  <si>
    <t>OP21.006</t>
  </si>
  <si>
    <t>WOLTERS KLUVER</t>
  </si>
  <si>
    <t>WKL</t>
  </si>
  <si>
    <t>OP22.001</t>
  </si>
  <si>
    <t>DSY</t>
  </si>
  <si>
    <t>DASSAULT SYSTEMS</t>
  </si>
  <si>
    <t>OP22.002</t>
  </si>
  <si>
    <t>SY1</t>
  </si>
  <si>
    <t>OP22.003</t>
  </si>
  <si>
    <t>SYMRISE AG</t>
  </si>
  <si>
    <t>KGX</t>
  </si>
  <si>
    <t>OP22.004</t>
  </si>
  <si>
    <t>ESTADO ACTUAL Entidad</t>
  </si>
  <si>
    <t>CFD</t>
  </si>
  <si>
    <t>Contratos</t>
  </si>
  <si>
    <t>CONTRATOS</t>
  </si>
  <si>
    <t>TIPO</t>
  </si>
  <si>
    <t>OP. ABIERTAS Acciones)</t>
  </si>
  <si>
    <t>OP. ABIERTAS (CFD)</t>
  </si>
  <si>
    <t>OP. ABIERTAS (Acciones)</t>
  </si>
  <si>
    <t>Garantía Utilizada (Exposición):</t>
  </si>
  <si>
    <t>Mercado OTC</t>
  </si>
  <si>
    <t>OTC</t>
  </si>
  <si>
    <t>Forex</t>
  </si>
  <si>
    <t>Índices</t>
  </si>
  <si>
    <t>Materias Primas</t>
  </si>
  <si>
    <t>Criptomonedas</t>
  </si>
  <si>
    <t>Rentabilidad (Acciones)</t>
  </si>
  <si>
    <t>Rentabilidad (CFD)</t>
  </si>
  <si>
    <t>OP22.005</t>
  </si>
  <si>
    <t>CORTO</t>
  </si>
  <si>
    <t>CFD Symrise</t>
  </si>
  <si>
    <t>LARGO/CORTO</t>
  </si>
  <si>
    <t>OP</t>
  </si>
  <si>
    <t>Nº Orden</t>
  </si>
  <si>
    <t>1445352-4182</t>
  </si>
  <si>
    <t>CFD Leonardo</t>
  </si>
  <si>
    <t>1451817-5403</t>
  </si>
  <si>
    <t>OP22.006</t>
  </si>
  <si>
    <t>CFD Iberdrola</t>
  </si>
  <si>
    <t>1457400-8917</t>
  </si>
  <si>
    <t>OP22.007</t>
  </si>
  <si>
    <t>CFD RWE</t>
  </si>
  <si>
    <t>OP22.008</t>
  </si>
  <si>
    <t>CFD ING</t>
  </si>
  <si>
    <t>OP22.009</t>
  </si>
  <si>
    <t>OP22.010</t>
  </si>
  <si>
    <t>1470046-5940</t>
  </si>
  <si>
    <t>OP22.011</t>
  </si>
  <si>
    <t>CFD Caixabank</t>
  </si>
  <si>
    <t>1472506-4664</t>
  </si>
  <si>
    <t>OP22.012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</si>
</sst>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 #,##0.00\ &quot;€&quot;_-;\-* #,##0.00\ &quot;€&quot;_-;_-* &quot;-&quot;??\ &quot;€&quot;_-;_-@_-"/>
    <numFmt numFmtId="43" formatCode="_-* #,##0.00_-;\-* #,##0.00_-;_-* &quot;-&quot;??_-;_-@_-"/>
    <numFmt numFmtId="164" formatCode="_-* #,##0_-;\-* #,##0_-;_-* &quot;-&quot;??_-;_-@_-"/>
    <numFmt numFmtId="165" formatCode="_-* #,##0.0000\ &quot;€&quot;_-;\-* #,##0.0000\ &quot;€&quot;_-;_-* &quot;-&quot;??\ &quot;€&quot;_-;_-@_-"/>
    <numFmt numFmtId="166" formatCode="[Green]#,##0.00\ &quot;€&quot;\ ;[Red]\-#,##0.00\ &quot;€&quot;"/>
    <numFmt numFmtId="167" formatCode="_-* #,##0.000_-;\-* #,##0.000_-;_-* &quot;-&quot;??_-;_-@_-"/>
    <numFmt numFmtId="168" formatCode="[Green]#,##0.00\ %\ ;[Red]\-#,##0.00\ %"/>
    <numFmt numFmtId="169" formatCode="_-* #,##0.00\ [$€-C0A]_-;\-* #,##0.00\ [$€-C0A]_-;_-* &quot;-&quot;??\ [$€-C0A]_-;_-@_-"/>
    <numFmt numFmtId="170" formatCode="_([$$-409]* #,##0.000_);_([$$-409]* \(#,##0.000\);_([$$-409]* &quot;-&quot;??_);_(@_)"/>
    <numFmt numFmtId="171" formatCode="_-[$£-809]* #,##0.000_-;\-[$£-809]* #,##0.000_-;_-[$£-809]* &quot;-&quot;??_-;_-@_-"/>
    <numFmt numFmtId="172" formatCode="_ [$¥-804]* #,##0.000_ ;_ [$¥-804]* \-#,##0.000_ ;_ [$¥-804]* &quot;-&quot;??_ ;_ @_ "/>
    <numFmt numFmtId="173" formatCode="_-* #,##0.000\ [$€-C0A]_-;\-* #,##0.000\ [$€-C0A]_-;_-* &quot;-&quot;??\ [$€-C0A]_-;_-@_-"/>
    <numFmt numFmtId="174" formatCode="0.000"/>
    <numFmt numFmtId="175" formatCode="_-* #,##0.000\ &quot;€&quot;_-;\-* #,##0.000\ &quot;€&quot;_-;_-* &quot;-&quot;??\ &quot;€&quot;_-;_-@_-"/>
    <numFmt numFmtId="176" formatCode="_-* #,##0.0000_-;\-* #,##0.0000_-;_-* &quot;-&quot;??_-;_-@_-"/>
    <numFmt numFmtId="177" formatCode="0.0000"/>
    <numFmt numFmtId="178" formatCode="[Blue]#,##0.00\ &quot;€&quot;\ ;[Red]\-#,##0.00\ &quot;€&quot;"/>
    <numFmt numFmtId="179" formatCode="[Blue]#,##0.00\ %\ ;[Red]\-#,##0.00\ %"/>
    <numFmt numFmtId="180" formatCode="[Green]#,##0.00\ %\ ;[Red]\-#,##0.00\ %;[Black]\ 0.00\ %"/>
    <numFmt numFmtId="181" formatCode="[Green]#,##0.00\ &quot;€&quot;\ ;[Red]\-#,##0.00\ &quot;€&quot;;[Black]\ 0.00\ &quot;€&quot;"/>
    <numFmt numFmtId="182" formatCode="[Blue]#,##0.00\ &quot;€&quot;\ ;[Red]\-#,##0.00\ &quot;€&quot;;[Black]\ 0.00\ &quot;€&quot;"/>
    <numFmt numFmtId="183" formatCode="_-* #,##0.000000_-;\-* #,##0.000000_-;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sz val="8"/>
      <name val="Calibri"/>
      <family val="2"/>
      <scheme val="minor"/>
    </font>
    <font>
      <u/>
      <sz val="11"/>
      <color theme="1"/>
      <name val="Calibri"/>
      <family val="2"/>
      <scheme val="minor"/>
    </font>
    <font>
      <sz val="11"/>
      <color theme="0"/>
      <name val="Calibri"/>
      <family val="2"/>
      <scheme val="minor"/>
    </font>
    <font>
      <b/>
      <sz val="14"/>
      <color theme="1"/>
      <name val="Calibri"/>
      <family val="2"/>
      <scheme val="minor"/>
    </font>
    <font>
      <b/>
      <sz val="12"/>
      <name val="Calibri"/>
      <family val="2"/>
      <scheme val="minor"/>
    </font>
    <font>
      <b/>
      <sz val="12"/>
      <color theme="1"/>
      <name val="Calibri"/>
      <family val="2"/>
      <scheme val="minor"/>
    </font>
    <font>
      <sz val="11"/>
      <name val="Calibri"/>
      <family val="2"/>
      <scheme val="minor"/>
    </font>
    <font>
      <sz val="12"/>
      <name val="Calibri"/>
      <family val="2"/>
      <scheme val="minor"/>
    </font>
    <font>
      <b/>
      <sz val="14"/>
      <name val="Calibri"/>
      <family val="2"/>
      <scheme val="minor"/>
    </font>
    <font>
      <b/>
      <sz val="11"/>
      <name val="Calibri"/>
      <family val="2"/>
      <scheme val="minor"/>
    </font>
    <font>
      <sz val="11"/>
      <color rgb="FFFF0000"/>
      <name val="Calibri"/>
      <family val="2"/>
      <scheme val="minor"/>
    </font>
    <font>
      <sz val="11"/>
      <color rgb="FF200FF9"/>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7"/>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00B0F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E482DD"/>
        <bgColor indexed="64"/>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theme="7" tint="0.59999389629810485"/>
        <bgColor indexed="64"/>
      </patternFill>
    </fill>
    <fill>
      <patternFill patternType="solid">
        <fgColor theme="0" tint="-0.14999847407452621"/>
        <bgColor indexed="64"/>
      </patternFill>
    </fill>
  </fills>
  <borders count="30">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ashDotDot">
        <color indexed="64"/>
      </left>
      <right/>
      <top style="dashDotDot">
        <color indexed="64"/>
      </top>
      <bottom/>
      <diagonal/>
    </border>
    <border>
      <left/>
      <right/>
      <top style="dashDotDot">
        <color indexed="64"/>
      </top>
      <bottom/>
      <diagonal/>
    </border>
    <border>
      <left/>
      <right style="dashDotDot">
        <color indexed="64"/>
      </right>
      <top style="dashDotDot">
        <color indexed="64"/>
      </top>
      <bottom/>
      <diagonal/>
    </border>
    <border>
      <left style="dashDotDot">
        <color indexed="64"/>
      </left>
      <right/>
      <top/>
      <bottom/>
      <diagonal/>
    </border>
    <border>
      <left/>
      <right style="dashDotDot">
        <color indexed="64"/>
      </right>
      <top/>
      <bottom/>
      <diagonal/>
    </border>
    <border>
      <left style="dashDotDot">
        <color indexed="64"/>
      </left>
      <right/>
      <top/>
      <bottom style="dashDotDot">
        <color indexed="64"/>
      </bottom>
      <diagonal/>
    </border>
    <border>
      <left/>
      <right/>
      <top/>
      <bottom style="dashDotDot">
        <color indexed="64"/>
      </bottom>
      <diagonal/>
    </border>
    <border>
      <left/>
      <right style="dashDotDot">
        <color indexed="64"/>
      </right>
      <top/>
      <bottom style="dashDotDot">
        <color indexed="64"/>
      </bottom>
      <diagonal/>
    </border>
    <border>
      <left style="medium">
        <color indexed="64"/>
      </left>
      <right style="medium">
        <color indexed="64"/>
      </right>
      <top/>
      <bottom/>
      <diagonal/>
    </border>
    <border>
      <left/>
      <right style="dotted">
        <color indexed="64"/>
      </right>
      <top/>
      <bottom/>
      <diagonal/>
    </border>
    <border>
      <left style="thin">
        <color indexed="64"/>
      </left>
      <right style="thin">
        <color indexed="64"/>
      </right>
      <top style="thin">
        <color indexed="64"/>
      </top>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25">
    <xf numFmtId="0" fontId="0" fillId="0" borderId="0" xfId="0"/>
    <xf numFmtId="0" fontId="0" fillId="0" borderId="0" xfId="0" applyProtection="1">
      <protection locked="0"/>
    </xf>
    <xf numFmtId="0" fontId="2" fillId="0" borderId="0" xfId="0" applyFont="1" applyAlignment="1" applyProtection="1">
      <alignment horizontal="right"/>
      <protection locked="0"/>
    </xf>
    <xf numFmtId="0" fontId="2" fillId="0" borderId="0" xfId="0" applyFont="1" applyAlignment="1" applyProtection="1">
      <alignment horizontal="left"/>
      <protection locked="0"/>
    </xf>
    <xf numFmtId="14" fontId="0" fillId="0" borderId="0" xfId="0" applyNumberFormat="1" applyAlignment="1" applyProtection="1">
      <alignment horizontal="left"/>
      <protection locked="0"/>
    </xf>
    <xf numFmtId="0" fontId="0" fillId="0" borderId="1" xfId="0" applyBorder="1" applyAlignment="1" applyProtection="1">
      <alignment horizontal="left"/>
      <protection locked="0"/>
    </xf>
    <xf numFmtId="0" fontId="0" fillId="0" borderId="1" xfId="0" applyBorder="1" applyProtection="1">
      <protection locked="0"/>
    </xf>
    <xf numFmtId="164" fontId="3" fillId="0" borderId="0" xfId="2" applyNumberFormat="1" applyFont="1" applyProtection="1">
      <protection locked="0"/>
    </xf>
    <xf numFmtId="165" fontId="3" fillId="0" borderId="0" xfId="1" applyNumberFormat="1" applyFont="1" applyProtection="1">
      <protection locked="0"/>
    </xf>
    <xf numFmtId="44" fontId="3" fillId="0" borderId="0" xfId="1" applyFont="1" applyProtection="1">
      <protection locked="0"/>
    </xf>
    <xf numFmtId="0" fontId="2" fillId="0" borderId="0" xfId="0" applyFont="1" applyProtection="1">
      <protection locked="0"/>
    </xf>
    <xf numFmtId="44" fontId="4" fillId="0" borderId="0" xfId="1" applyFont="1" applyProtection="1"/>
    <xf numFmtId="44" fontId="4" fillId="0" borderId="0" xfId="0" applyNumberFormat="1" applyFont="1"/>
    <xf numFmtId="44" fontId="3" fillId="0" borderId="6" xfId="0" applyNumberFormat="1" applyFont="1" applyBorder="1"/>
    <xf numFmtId="164" fontId="3" fillId="0" borderId="7" xfId="2" applyNumberFormat="1" applyFont="1" applyBorder="1" applyProtection="1"/>
    <xf numFmtId="165" fontId="3" fillId="0" borderId="7" xfId="1" applyNumberFormat="1" applyFont="1" applyBorder="1" applyProtection="1"/>
    <xf numFmtId="44" fontId="3" fillId="0" borderId="7" xfId="1" applyFont="1" applyBorder="1" applyProtection="1"/>
    <xf numFmtId="44" fontId="3" fillId="0" borderId="8" xfId="1" applyFont="1" applyBorder="1" applyProtection="1"/>
    <xf numFmtId="44" fontId="3" fillId="0" borderId="2" xfId="0" applyNumberFormat="1" applyFont="1" applyBorder="1"/>
    <xf numFmtId="44" fontId="3" fillId="0" borderId="0" xfId="0" applyNumberFormat="1" applyFont="1"/>
    <xf numFmtId="43" fontId="3" fillId="0" borderId="0" xfId="2" applyFont="1" applyProtection="1"/>
    <xf numFmtId="0" fontId="0" fillId="0" borderId="0" xfId="0" applyAlignment="1" applyProtection="1">
      <alignment horizontal="left"/>
      <protection locked="0"/>
    </xf>
    <xf numFmtId="0" fontId="2" fillId="0" borderId="3" xfId="0" applyFont="1" applyBorder="1" applyAlignment="1" applyProtection="1">
      <alignment horizontal="left"/>
      <protection locked="0"/>
    </xf>
    <xf numFmtId="0" fontId="2" fillId="0" borderId="4" xfId="0" applyFont="1" applyBorder="1" applyAlignment="1" applyProtection="1">
      <alignment horizontal="center"/>
      <protection locked="0"/>
    </xf>
    <xf numFmtId="167" fontId="0" fillId="0" borderId="0" xfId="2" applyNumberFormat="1" applyFont="1" applyProtection="1">
      <protection locked="0"/>
    </xf>
    <xf numFmtId="168" fontId="0" fillId="0" borderId="0" xfId="0" applyNumberFormat="1" applyProtection="1">
      <protection locked="0"/>
    </xf>
    <xf numFmtId="167" fontId="2" fillId="0" borderId="0" xfId="2" applyNumberFormat="1" applyFont="1" applyProtection="1">
      <protection locked="0"/>
    </xf>
    <xf numFmtId="169" fontId="0" fillId="0" borderId="0" xfId="0" applyNumberFormat="1" applyProtection="1">
      <protection locked="0"/>
    </xf>
    <xf numFmtId="173" fontId="0" fillId="0" borderId="0" xfId="0" applyNumberFormat="1" applyProtection="1">
      <protection locked="0"/>
    </xf>
    <xf numFmtId="174" fontId="0" fillId="0" borderId="0" xfId="0" applyNumberFormat="1" applyProtection="1">
      <protection locked="0"/>
    </xf>
    <xf numFmtId="169" fontId="0" fillId="0" borderId="0" xfId="0" applyNumberFormat="1" applyAlignment="1">
      <alignment horizontal="center"/>
    </xf>
    <xf numFmtId="0" fontId="0" fillId="0" borderId="0" xfId="0" applyAlignment="1">
      <alignment horizontal="right"/>
    </xf>
    <xf numFmtId="170" fontId="0" fillId="0" borderId="0" xfId="0" applyNumberFormat="1"/>
    <xf numFmtId="171" fontId="0" fillId="0" borderId="0" xfId="0" applyNumberFormat="1"/>
    <xf numFmtId="172" fontId="0" fillId="0" borderId="0" xfId="0" applyNumberFormat="1"/>
    <xf numFmtId="0" fontId="2" fillId="3" borderId="0" xfId="0" applyFont="1" applyFill="1"/>
    <xf numFmtId="0" fontId="2" fillId="4" borderId="0" xfId="0" applyFont="1" applyFill="1"/>
    <xf numFmtId="0" fontId="2" fillId="0" borderId="0" xfId="0" applyFont="1"/>
    <xf numFmtId="0" fontId="2" fillId="2" borderId="0" xfId="0" applyFont="1" applyFill="1"/>
    <xf numFmtId="0" fontId="2" fillId="5" borderId="0" xfId="0" applyFont="1" applyFill="1"/>
    <xf numFmtId="0" fontId="2" fillId="6" borderId="0" xfId="0" applyFont="1" applyFill="1"/>
    <xf numFmtId="0" fontId="0" fillId="0" borderId="0" xfId="2" applyNumberFormat="1" applyFont="1" applyProtection="1"/>
    <xf numFmtId="0" fontId="2" fillId="3" borderId="0" xfId="0" applyFont="1" applyFill="1" applyAlignment="1">
      <alignment horizontal="center"/>
    </xf>
    <xf numFmtId="49" fontId="6" fillId="7" borderId="0" xfId="0" applyNumberFormat="1" applyFont="1" applyFill="1" applyAlignment="1" applyProtection="1">
      <alignment horizontal="left"/>
      <protection locked="0"/>
    </xf>
    <xf numFmtId="49" fontId="6" fillId="2" borderId="0" xfId="0" applyNumberFormat="1" applyFont="1" applyFill="1" applyAlignment="1" applyProtection="1">
      <alignment horizontal="left"/>
      <protection locked="0"/>
    </xf>
    <xf numFmtId="0" fontId="2" fillId="8" borderId="0" xfId="0" applyFont="1" applyFill="1" applyProtection="1">
      <protection locked="0"/>
    </xf>
    <xf numFmtId="43" fontId="2" fillId="8" borderId="0" xfId="2" applyFont="1" applyFill="1" applyAlignment="1" applyProtection="1">
      <alignment horizontal="center"/>
      <protection locked="0"/>
    </xf>
    <xf numFmtId="168" fontId="0" fillId="0" borderId="0" xfId="3" applyNumberFormat="1" applyFont="1" applyProtection="1">
      <protection locked="0"/>
    </xf>
    <xf numFmtId="166" fontId="0" fillId="0" borderId="0" xfId="0" applyNumberFormat="1" applyProtection="1">
      <protection locked="0"/>
    </xf>
    <xf numFmtId="174" fontId="0" fillId="0" borderId="0" xfId="0" applyNumberFormat="1"/>
    <xf numFmtId="44" fontId="0" fillId="0" borderId="0" xfId="1" applyFont="1" applyProtection="1"/>
    <xf numFmtId="14" fontId="0" fillId="0" borderId="0" xfId="0" applyNumberFormat="1"/>
    <xf numFmtId="175" fontId="0" fillId="0" borderId="0" xfId="1" applyNumberFormat="1" applyFont="1" applyProtection="1"/>
    <xf numFmtId="167" fontId="0" fillId="0" borderId="0" xfId="2" applyNumberFormat="1" applyFont="1" applyProtection="1"/>
    <xf numFmtId="0" fontId="2" fillId="9" borderId="0" xfId="0" applyFont="1" applyFill="1" applyAlignment="1" applyProtection="1">
      <alignment horizontal="center"/>
      <protection locked="0"/>
    </xf>
    <xf numFmtId="0" fontId="2" fillId="0" borderId="4" xfId="0" applyFont="1" applyBorder="1" applyAlignment="1" applyProtection="1">
      <alignment horizontal="left"/>
      <protection locked="0"/>
    </xf>
    <xf numFmtId="44" fontId="0" fillId="0" borderId="0" xfId="0" applyNumberFormat="1"/>
    <xf numFmtId="176" fontId="3" fillId="0" borderId="0" xfId="2" applyNumberFormat="1" applyFont="1" applyProtection="1">
      <protection locked="0"/>
    </xf>
    <xf numFmtId="177" fontId="3" fillId="0" borderId="7" xfId="1" applyNumberFormat="1" applyFont="1" applyBorder="1" applyProtection="1"/>
    <xf numFmtId="0" fontId="0" fillId="0" borderId="11" xfId="0" applyBorder="1"/>
    <xf numFmtId="49" fontId="8" fillId="0" borderId="0" xfId="0" applyNumberFormat="1" applyFont="1" applyProtection="1">
      <protection locked="0"/>
    </xf>
    <xf numFmtId="0" fontId="0" fillId="0" borderId="27" xfId="0" applyBorder="1"/>
    <xf numFmtId="0" fontId="0" fillId="0" borderId="3" xfId="0" applyBorder="1" applyProtection="1">
      <protection locked="0"/>
    </xf>
    <xf numFmtId="0" fontId="2" fillId="10" borderId="5" xfId="0" applyFont="1" applyFill="1" applyBorder="1" applyProtection="1">
      <protection locked="0"/>
    </xf>
    <xf numFmtId="0" fontId="2" fillId="10" borderId="4" xfId="0" applyFont="1" applyFill="1" applyBorder="1" applyProtection="1">
      <protection locked="0"/>
    </xf>
    <xf numFmtId="0" fontId="0" fillId="10" borderId="0" xfId="0" applyFill="1" applyProtection="1">
      <protection locked="0"/>
    </xf>
    <xf numFmtId="49" fontId="8" fillId="11" borderId="0" xfId="0" applyNumberFormat="1" applyFont="1" applyFill="1" applyAlignment="1" applyProtection="1">
      <alignment horizontal="center"/>
      <protection locked="0"/>
    </xf>
    <xf numFmtId="0" fontId="8" fillId="11" borderId="0" xfId="0" applyFont="1" applyFill="1" applyProtection="1">
      <protection locked="0"/>
    </xf>
    <xf numFmtId="0" fontId="0" fillId="11" borderId="0" xfId="0" applyFill="1" applyProtection="1">
      <protection locked="0"/>
    </xf>
    <xf numFmtId="0" fontId="9" fillId="11" borderId="3" xfId="0" applyFont="1" applyFill="1" applyBorder="1" applyAlignment="1" applyProtection="1">
      <alignment vertical="center"/>
      <protection locked="0"/>
    </xf>
    <xf numFmtId="0" fontId="9" fillId="11" borderId="4" xfId="0" applyFont="1" applyFill="1" applyBorder="1" applyAlignment="1" applyProtection="1">
      <alignment vertical="center"/>
      <protection locked="0"/>
    </xf>
    <xf numFmtId="0" fontId="10" fillId="11" borderId="4" xfId="0" applyFont="1" applyFill="1" applyBorder="1" applyAlignment="1" applyProtection="1">
      <alignment horizontal="center" vertical="center"/>
      <protection locked="0"/>
    </xf>
    <xf numFmtId="0" fontId="0" fillId="11" borderId="4" xfId="0" applyFill="1" applyBorder="1" applyProtection="1">
      <protection locked="0"/>
    </xf>
    <xf numFmtId="0" fontId="11" fillId="11" borderId="4" xfId="0" applyFont="1" applyFill="1" applyBorder="1" applyProtection="1">
      <protection locked="0"/>
    </xf>
    <xf numFmtId="178" fontId="9" fillId="11" borderId="4" xfId="1" applyNumberFormat="1" applyFont="1" applyFill="1" applyBorder="1" applyAlignment="1" applyProtection="1">
      <alignment horizontal="center" vertical="center"/>
      <protection locked="0"/>
    </xf>
    <xf numFmtId="178" fontId="12" fillId="11" borderId="5" xfId="1" applyNumberFormat="1" applyFont="1" applyFill="1" applyBorder="1" applyAlignment="1" applyProtection="1">
      <alignment vertical="center"/>
      <protection locked="0"/>
    </xf>
    <xf numFmtId="0" fontId="13" fillId="11" borderId="0" xfId="0" applyFont="1" applyFill="1" applyProtection="1">
      <protection locked="0"/>
    </xf>
    <xf numFmtId="0" fontId="11" fillId="11" borderId="0" xfId="0" applyFont="1" applyFill="1" applyProtection="1">
      <protection locked="0"/>
    </xf>
    <xf numFmtId="0" fontId="2" fillId="11" borderId="0" xfId="0" applyFont="1" applyFill="1" applyAlignment="1" applyProtection="1">
      <alignment horizontal="center"/>
      <protection locked="0"/>
    </xf>
    <xf numFmtId="0" fontId="9" fillId="11" borderId="9" xfId="0" applyFont="1" applyFill="1" applyBorder="1" applyAlignment="1" applyProtection="1">
      <alignment vertical="center"/>
      <protection locked="0"/>
    </xf>
    <xf numFmtId="0" fontId="9" fillId="11" borderId="1" xfId="0" applyFont="1" applyFill="1" applyBorder="1" applyAlignment="1" applyProtection="1">
      <alignment vertical="center"/>
      <protection locked="0"/>
    </xf>
    <xf numFmtId="0" fontId="10" fillId="11" borderId="1" xfId="0" applyFont="1" applyFill="1" applyBorder="1" applyAlignment="1" applyProtection="1">
      <alignment horizontal="center" vertical="center"/>
      <protection locked="0"/>
    </xf>
    <xf numFmtId="0" fontId="0" fillId="11" borderId="1" xfId="0" applyFill="1" applyBorder="1" applyProtection="1">
      <protection locked="0"/>
    </xf>
    <xf numFmtId="0" fontId="11" fillId="11" borderId="1" xfId="0" applyFont="1" applyFill="1" applyBorder="1" applyProtection="1">
      <protection locked="0"/>
    </xf>
    <xf numFmtId="178" fontId="12" fillId="11" borderId="10" xfId="1" applyNumberFormat="1" applyFont="1" applyFill="1" applyBorder="1" applyAlignment="1" applyProtection="1">
      <alignment vertical="center"/>
    </xf>
    <xf numFmtId="0" fontId="9" fillId="11" borderId="11" xfId="0" applyFont="1" applyFill="1" applyBorder="1" applyAlignment="1" applyProtection="1">
      <alignment vertical="center"/>
      <protection locked="0"/>
    </xf>
    <xf numFmtId="0" fontId="9" fillId="11" borderId="0" xfId="0" applyFont="1" applyFill="1" applyAlignment="1" applyProtection="1">
      <alignment vertical="center"/>
      <protection locked="0"/>
    </xf>
    <xf numFmtId="0" fontId="2" fillId="11" borderId="0" xfId="0" applyFont="1" applyFill="1" applyAlignment="1" applyProtection="1">
      <alignment horizontal="left" vertical="center"/>
      <protection locked="0"/>
    </xf>
    <xf numFmtId="0" fontId="10" fillId="11" borderId="0" xfId="0" applyFont="1" applyFill="1" applyAlignment="1" applyProtection="1">
      <alignment horizontal="center" vertical="center"/>
      <protection locked="0"/>
    </xf>
    <xf numFmtId="0" fontId="9" fillId="11" borderId="13" xfId="0" applyFont="1" applyFill="1" applyBorder="1" applyAlignment="1" applyProtection="1">
      <alignment vertical="center"/>
      <protection locked="0"/>
    </xf>
    <xf numFmtId="0" fontId="9" fillId="11" borderId="14" xfId="0" applyFont="1" applyFill="1" applyBorder="1" applyAlignment="1" applyProtection="1">
      <alignment vertical="center"/>
      <protection locked="0"/>
    </xf>
    <xf numFmtId="0" fontId="2" fillId="11" borderId="14" xfId="0" applyFont="1" applyFill="1" applyBorder="1" applyAlignment="1" applyProtection="1">
      <alignment horizontal="left" vertical="center"/>
      <protection locked="0"/>
    </xf>
    <xf numFmtId="0" fontId="0" fillId="11" borderId="14" xfId="0" applyFill="1" applyBorder="1" applyProtection="1">
      <protection locked="0"/>
    </xf>
    <xf numFmtId="0" fontId="10" fillId="11" borderId="14" xfId="0" applyFont="1" applyFill="1" applyBorder="1" applyAlignment="1" applyProtection="1">
      <alignment horizontal="center" vertical="center"/>
      <protection locked="0"/>
    </xf>
    <xf numFmtId="178" fontId="12" fillId="11" borderId="0" xfId="1" applyNumberFormat="1" applyFont="1" applyFill="1" applyBorder="1" applyAlignment="1" applyProtection="1">
      <alignment vertical="center"/>
    </xf>
    <xf numFmtId="0" fontId="7" fillId="11" borderId="0" xfId="0" applyFont="1" applyFill="1" applyProtection="1">
      <protection locked="0"/>
    </xf>
    <xf numFmtId="0" fontId="9" fillId="11" borderId="9" xfId="0" applyFont="1" applyFill="1" applyBorder="1" applyProtection="1">
      <protection locked="0"/>
    </xf>
    <xf numFmtId="179" fontId="0" fillId="11" borderId="1" xfId="3" applyNumberFormat="1" applyFont="1" applyFill="1" applyBorder="1" applyProtection="1"/>
    <xf numFmtId="0" fontId="9" fillId="11" borderId="1" xfId="0" applyFont="1" applyFill="1" applyBorder="1" applyAlignment="1" applyProtection="1">
      <alignment horizontal="center"/>
      <protection locked="0"/>
    </xf>
    <xf numFmtId="0" fontId="14" fillId="11" borderId="11" xfId="0" applyFont="1" applyFill="1" applyBorder="1" applyProtection="1">
      <protection locked="0"/>
    </xf>
    <xf numFmtId="179" fontId="0" fillId="11" borderId="0" xfId="3" applyNumberFormat="1" applyFont="1" applyFill="1" applyBorder="1" applyProtection="1"/>
    <xf numFmtId="0" fontId="9" fillId="11" borderId="0" xfId="0" applyFont="1" applyFill="1" applyAlignment="1" applyProtection="1">
      <alignment horizontal="center"/>
      <protection locked="0"/>
    </xf>
    <xf numFmtId="0" fontId="14" fillId="11" borderId="13" xfId="0" applyFont="1" applyFill="1" applyBorder="1" applyProtection="1">
      <protection locked="0"/>
    </xf>
    <xf numFmtId="179" fontId="0" fillId="11" borderId="14" xfId="3" applyNumberFormat="1" applyFont="1" applyFill="1" applyBorder="1" applyProtection="1"/>
    <xf numFmtId="0" fontId="9" fillId="11" borderId="14" xfId="0" applyFont="1" applyFill="1" applyBorder="1" applyAlignment="1" applyProtection="1">
      <alignment horizontal="center"/>
      <protection locked="0"/>
    </xf>
    <xf numFmtId="0" fontId="14" fillId="11" borderId="0" xfId="0" applyFont="1" applyFill="1" applyProtection="1">
      <protection locked="0"/>
    </xf>
    <xf numFmtId="166" fontId="12" fillId="11" borderId="0" xfId="1" applyNumberFormat="1" applyFont="1" applyFill="1" applyBorder="1" applyAlignment="1" applyProtection="1">
      <alignment vertical="center"/>
    </xf>
    <xf numFmtId="179" fontId="0" fillId="11" borderId="0" xfId="3" applyNumberFormat="1" applyFont="1" applyFill="1" applyBorder="1" applyProtection="1">
      <protection locked="0"/>
    </xf>
    <xf numFmtId="0" fontId="14" fillId="11" borderId="0" xfId="0" applyFont="1" applyFill="1" applyAlignment="1" applyProtection="1">
      <alignment horizontal="center"/>
      <protection locked="0"/>
    </xf>
    <xf numFmtId="166" fontId="12" fillId="11" borderId="0" xfId="1" applyNumberFormat="1" applyFont="1" applyFill="1" applyBorder="1" applyAlignment="1" applyProtection="1">
      <alignment vertical="center"/>
      <protection locked="0"/>
    </xf>
    <xf numFmtId="0" fontId="9" fillId="11" borderId="19" xfId="0" applyFont="1" applyFill="1" applyBorder="1" applyProtection="1">
      <protection locked="0"/>
    </xf>
    <xf numFmtId="0" fontId="0" fillId="11" borderId="20" xfId="0" applyFill="1" applyBorder="1" applyProtection="1">
      <protection locked="0"/>
    </xf>
    <xf numFmtId="179" fontId="0" fillId="11" borderId="20" xfId="3" applyNumberFormat="1" applyFont="1" applyFill="1" applyBorder="1" applyProtection="1"/>
    <xf numFmtId="0" fontId="2" fillId="11" borderId="20" xfId="0" applyFont="1" applyFill="1" applyBorder="1" applyAlignment="1" applyProtection="1">
      <alignment horizontal="center"/>
      <protection locked="0"/>
    </xf>
    <xf numFmtId="0" fontId="14" fillId="11" borderId="22" xfId="0" applyFont="1" applyFill="1" applyBorder="1" applyProtection="1">
      <protection locked="0"/>
    </xf>
    <xf numFmtId="0" fontId="14" fillId="11" borderId="24" xfId="0" applyFont="1" applyFill="1" applyBorder="1" applyProtection="1">
      <protection locked="0"/>
    </xf>
    <xf numFmtId="0" fontId="9" fillId="11" borderId="25" xfId="0" applyFont="1" applyFill="1" applyBorder="1" applyAlignment="1" applyProtection="1">
      <alignment horizontal="center"/>
      <protection locked="0"/>
    </xf>
    <xf numFmtId="179" fontId="0" fillId="11" borderId="4" xfId="3" applyNumberFormat="1" applyFont="1" applyFill="1" applyBorder="1" applyProtection="1">
      <protection locked="0"/>
    </xf>
    <xf numFmtId="178" fontId="12" fillId="11" borderId="5" xfId="1" applyNumberFormat="1" applyFont="1" applyFill="1" applyBorder="1" applyAlignment="1" applyProtection="1">
      <alignment vertical="center"/>
    </xf>
    <xf numFmtId="179" fontId="0" fillId="11" borderId="4" xfId="3" applyNumberFormat="1" applyFont="1" applyFill="1" applyBorder="1" applyProtection="1"/>
    <xf numFmtId="179" fontId="0" fillId="11" borderId="1" xfId="3" applyNumberFormat="1" applyFont="1" applyFill="1" applyBorder="1" applyAlignment="1" applyProtection="1">
      <alignment horizontal="left"/>
      <protection locked="0"/>
    </xf>
    <xf numFmtId="0" fontId="14" fillId="11" borderId="4" xfId="0" applyFont="1" applyFill="1" applyBorder="1" applyAlignment="1" applyProtection="1">
      <alignment horizontal="right"/>
      <protection locked="0"/>
    </xf>
    <xf numFmtId="178" fontId="9" fillId="11" borderId="5" xfId="1" applyNumberFormat="1" applyFont="1" applyFill="1" applyBorder="1" applyAlignment="1" applyProtection="1">
      <alignment vertical="center"/>
    </xf>
    <xf numFmtId="0" fontId="0" fillId="10" borderId="0" xfId="0" applyFill="1"/>
    <xf numFmtId="0" fontId="0" fillId="10" borderId="9" xfId="0" applyFill="1" applyBorder="1"/>
    <xf numFmtId="0" fontId="0" fillId="10" borderId="1" xfId="0" applyFill="1" applyBorder="1"/>
    <xf numFmtId="0" fontId="0" fillId="10" borderId="10" xfId="0" applyFill="1" applyBorder="1"/>
    <xf numFmtId="0" fontId="0" fillId="10" borderId="12" xfId="0" applyFill="1" applyBorder="1"/>
    <xf numFmtId="0" fontId="11" fillId="10" borderId="14" xfId="0" applyFont="1" applyFill="1" applyBorder="1"/>
    <xf numFmtId="14" fontId="0" fillId="10" borderId="0" xfId="0" applyNumberFormat="1" applyFill="1"/>
    <xf numFmtId="14" fontId="0" fillId="10" borderId="0" xfId="0" applyNumberFormat="1" applyFill="1" applyAlignment="1">
      <alignment horizontal="right"/>
    </xf>
    <xf numFmtId="0" fontId="11" fillId="10" borderId="0" xfId="0" applyFont="1" applyFill="1"/>
    <xf numFmtId="0" fontId="0" fillId="4" borderId="0" xfId="0" applyFill="1"/>
    <xf numFmtId="0" fontId="0" fillId="2" borderId="0" xfId="0" applyFill="1"/>
    <xf numFmtId="0" fontId="2" fillId="2" borderId="28" xfId="0" applyFont="1" applyFill="1" applyBorder="1" applyAlignment="1">
      <alignment horizontal="center" vertical="center"/>
    </xf>
    <xf numFmtId="0" fontId="2" fillId="2" borderId="0" xfId="0" applyFont="1" applyFill="1" applyAlignment="1">
      <alignment horizontal="center" vertical="center"/>
    </xf>
    <xf numFmtId="166" fontId="0" fillId="0" borderId="0" xfId="1" applyNumberFormat="1" applyFont="1" applyProtection="1"/>
    <xf numFmtId="174" fontId="0" fillId="0" borderId="0" xfId="2" applyNumberFormat="1" applyFont="1" applyProtection="1"/>
    <xf numFmtId="0" fontId="15" fillId="10" borderId="14" xfId="0" applyFont="1" applyFill="1" applyBorder="1"/>
    <xf numFmtId="0" fontId="16" fillId="10" borderId="13" xfId="0" applyFont="1" applyFill="1" applyBorder="1"/>
    <xf numFmtId="182" fontId="0" fillId="10" borderId="13" xfId="1" applyNumberFormat="1" applyFont="1" applyFill="1" applyBorder="1"/>
    <xf numFmtId="182" fontId="0" fillId="10" borderId="14" xfId="1" applyNumberFormat="1" applyFont="1" applyFill="1" applyBorder="1"/>
    <xf numFmtId="182" fontId="0" fillId="10" borderId="0" xfId="1" applyNumberFormat="1" applyFont="1" applyFill="1"/>
    <xf numFmtId="182" fontId="0" fillId="4" borderId="0" xfId="0" applyNumberFormat="1" applyFill="1"/>
    <xf numFmtId="182" fontId="12" fillId="11" borderId="10" xfId="1" applyNumberFormat="1" applyFont="1" applyFill="1" applyBorder="1" applyAlignment="1" applyProtection="1">
      <alignment vertical="center"/>
    </xf>
    <xf numFmtId="182" fontId="11" fillId="11" borderId="12" xfId="1" applyNumberFormat="1" applyFont="1" applyFill="1" applyBorder="1" applyAlignment="1" applyProtection="1">
      <alignment vertical="center"/>
    </xf>
    <xf numFmtId="182" fontId="11" fillId="11" borderId="15" xfId="1" applyNumberFormat="1" applyFont="1" applyFill="1" applyBorder="1" applyAlignment="1" applyProtection="1">
      <alignment vertical="center"/>
    </xf>
    <xf numFmtId="181" fontId="12" fillId="11" borderId="10" xfId="1" applyNumberFormat="1" applyFont="1" applyFill="1" applyBorder="1" applyAlignment="1" applyProtection="1">
      <alignment vertical="center"/>
    </xf>
    <xf numFmtId="181" fontId="11" fillId="11" borderId="12" xfId="1" applyNumberFormat="1" applyFont="1" applyFill="1" applyBorder="1" applyAlignment="1" applyProtection="1">
      <alignment vertical="center"/>
    </xf>
    <xf numFmtId="181" fontId="11" fillId="11" borderId="15" xfId="1" applyNumberFormat="1" applyFont="1" applyFill="1" applyBorder="1" applyAlignment="1" applyProtection="1">
      <alignment vertical="center"/>
    </xf>
    <xf numFmtId="181" fontId="12" fillId="11" borderId="21" xfId="1" applyNumberFormat="1" applyFont="1" applyFill="1" applyBorder="1" applyAlignment="1" applyProtection="1">
      <alignment vertical="center"/>
    </xf>
    <xf numFmtId="181" fontId="11" fillId="11" borderId="23" xfId="1" applyNumberFormat="1" applyFont="1" applyFill="1" applyBorder="1" applyAlignment="1" applyProtection="1">
      <alignment vertical="center"/>
    </xf>
    <xf numFmtId="181" fontId="11" fillId="11" borderId="26" xfId="1" applyNumberFormat="1" applyFont="1" applyFill="1" applyBorder="1" applyAlignment="1" applyProtection="1">
      <alignment vertical="center"/>
    </xf>
    <xf numFmtId="180" fontId="0" fillId="2" borderId="0" xfId="3" applyNumberFormat="1" applyFont="1" applyFill="1"/>
    <xf numFmtId="182" fontId="0" fillId="2" borderId="0" xfId="0" applyNumberFormat="1" applyFill="1"/>
    <xf numFmtId="10" fontId="0" fillId="0" borderId="0" xfId="3" applyNumberFormat="1" applyFont="1" applyProtection="1"/>
    <xf numFmtId="181" fontId="2" fillId="0" borderId="0" xfId="0" applyNumberFormat="1" applyFont="1"/>
    <xf numFmtId="180" fontId="2" fillId="0" borderId="0" xfId="3" applyNumberFormat="1" applyFont="1" applyProtection="1"/>
    <xf numFmtId="0" fontId="2" fillId="5" borderId="0" xfId="0" applyFont="1" applyFill="1" applyAlignment="1">
      <alignment horizontal="left"/>
    </xf>
    <xf numFmtId="180" fontId="0" fillId="0" borderId="0" xfId="3" applyNumberFormat="1" applyFont="1" applyProtection="1"/>
    <xf numFmtId="0" fontId="2" fillId="12" borderId="0" xfId="0" applyFont="1" applyFill="1" applyProtection="1">
      <protection locked="0"/>
    </xf>
    <xf numFmtId="43" fontId="2" fillId="12" borderId="0" xfId="2" applyFont="1" applyFill="1" applyAlignment="1" applyProtection="1">
      <alignment horizontal="center"/>
      <protection locked="0"/>
    </xf>
    <xf numFmtId="180" fontId="0" fillId="0" borderId="0" xfId="3" applyNumberFormat="1" applyFont="1" applyProtection="1">
      <protection locked="0"/>
    </xf>
    <xf numFmtId="0" fontId="2" fillId="0" borderId="0" xfId="0" applyFont="1" applyAlignment="1">
      <alignment horizontal="center"/>
    </xf>
    <xf numFmtId="0" fontId="0" fillId="10" borderId="4" xfId="0" applyFill="1" applyBorder="1" applyAlignment="1" applyProtection="1">
      <alignment horizontal="right"/>
      <protection locked="0"/>
    </xf>
    <xf numFmtId="0" fontId="2" fillId="10" borderId="2" xfId="0" applyFont="1" applyFill="1" applyBorder="1" applyProtection="1">
      <protection locked="0"/>
    </xf>
    <xf numFmtId="0" fontId="0" fillId="0" borderId="0" xfId="0" applyAlignment="1" applyProtection="1">
      <alignment horizontal="right"/>
      <protection locked="0"/>
    </xf>
    <xf numFmtId="177" fontId="0" fillId="0" borderId="0" xfId="0" applyNumberFormat="1" applyProtection="1">
      <protection locked="0"/>
    </xf>
    <xf numFmtId="0" fontId="0" fillId="0" borderId="0" xfId="0" applyAlignment="1">
      <alignment horizontal="center"/>
    </xf>
    <xf numFmtId="14" fontId="0" fillId="0" borderId="0" xfId="0" applyNumberFormat="1" applyProtection="1">
      <protection locked="0"/>
    </xf>
    <xf numFmtId="0" fontId="0" fillId="0" borderId="0" xfId="0" applyAlignment="1" applyProtection="1">
      <alignment horizontal="center"/>
      <protection locked="0"/>
    </xf>
    <xf numFmtId="10" fontId="0" fillId="2" borderId="0" xfId="3" applyNumberFormat="1" applyFont="1" applyFill="1"/>
    <xf numFmtId="2" fontId="0" fillId="0" borderId="0" xfId="0" applyNumberFormat="1"/>
    <xf numFmtId="2" fontId="0" fillId="0" borderId="0" xfId="0" applyNumberFormat="1" applyProtection="1">
      <protection locked="0"/>
    </xf>
    <xf numFmtId="3" fontId="2" fillId="10" borderId="5" xfId="0" applyNumberFormat="1" applyFont="1" applyFill="1" applyBorder="1" applyProtection="1">
      <protection locked="0"/>
    </xf>
    <xf numFmtId="0" fontId="0" fillId="10" borderId="10" xfId="0" applyFill="1" applyBorder="1" applyAlignment="1">
      <alignment horizontal="center"/>
    </xf>
    <xf numFmtId="182" fontId="0" fillId="10" borderId="15" xfId="1" applyNumberFormat="1" applyFont="1" applyFill="1" applyBorder="1"/>
    <xf numFmtId="0" fontId="2" fillId="0" borderId="0" xfId="0" applyFont="1" applyAlignment="1" applyProtection="1">
      <alignment horizontal="center"/>
      <protection locked="0"/>
    </xf>
    <xf numFmtId="0" fontId="2" fillId="13" borderId="0" xfId="0" applyFont="1" applyFill="1"/>
    <xf numFmtId="0" fontId="2" fillId="13" borderId="0" xfId="0" applyFont="1" applyFill="1" applyAlignment="1">
      <alignment horizontal="center"/>
    </xf>
    <xf numFmtId="0" fontId="2" fillId="14" borderId="0" xfId="0" applyFont="1" applyFill="1"/>
    <xf numFmtId="44" fontId="0" fillId="0" borderId="0" xfId="1" applyFont="1" applyProtection="1">
      <protection locked="0"/>
    </xf>
    <xf numFmtId="43" fontId="2" fillId="0" borderId="0" xfId="2" applyFont="1" applyProtection="1">
      <protection locked="0"/>
    </xf>
    <xf numFmtId="0" fontId="0" fillId="14" borderId="0" xfId="0" applyFill="1" applyProtection="1">
      <protection locked="0"/>
    </xf>
    <xf numFmtId="43" fontId="0" fillId="0" borderId="0" xfId="2" applyFont="1" applyProtection="1">
      <protection locked="0"/>
    </xf>
    <xf numFmtId="43" fontId="0" fillId="0" borderId="0" xfId="2" applyFont="1" applyProtection="1"/>
    <xf numFmtId="167" fontId="2" fillId="0" borderId="0" xfId="2" applyNumberFormat="1" applyFont="1" applyProtection="1"/>
    <xf numFmtId="168" fontId="0" fillId="0" borderId="0" xfId="0" applyNumberFormat="1"/>
    <xf numFmtId="43" fontId="3" fillId="0" borderId="0" xfId="2" applyFont="1" applyProtection="1">
      <protection locked="0"/>
    </xf>
    <xf numFmtId="44" fontId="1" fillId="0" borderId="0" xfId="1" applyFont="1" applyProtection="1"/>
    <xf numFmtId="10" fontId="1" fillId="0" borderId="0" xfId="3" applyNumberFormat="1" applyFont="1" applyProtection="1"/>
    <xf numFmtId="43" fontId="0" fillId="10" borderId="0" xfId="2" applyFont="1" applyFill="1" applyProtection="1">
      <protection locked="0"/>
    </xf>
    <xf numFmtId="164" fontId="0" fillId="0" borderId="0" xfId="2" applyNumberFormat="1" applyFont="1" applyProtection="1"/>
    <xf numFmtId="43" fontId="2" fillId="0" borderId="0" xfId="2" applyFont="1" applyProtection="1"/>
    <xf numFmtId="168" fontId="1" fillId="0" borderId="0" xfId="3" applyNumberFormat="1" applyFont="1" applyProtection="1"/>
    <xf numFmtId="166" fontId="0" fillId="0" borderId="0" xfId="0" applyNumberFormat="1"/>
    <xf numFmtId="0" fontId="2" fillId="10" borderId="29" xfId="0" applyFont="1" applyFill="1" applyBorder="1" applyProtection="1">
      <protection locked="0"/>
    </xf>
    <xf numFmtId="179" fontId="0" fillId="11" borderId="1" xfId="0" applyNumberFormat="1" applyFill="1" applyBorder="1"/>
    <xf numFmtId="0" fontId="7" fillId="11" borderId="0" xfId="0" applyFont="1" applyFill="1"/>
    <xf numFmtId="0" fontId="6" fillId="7" borderId="0" xfId="0" applyFont="1" applyFill="1" applyAlignment="1">
      <alignment horizontal="left"/>
    </xf>
    <xf numFmtId="0" fontId="6" fillId="2" borderId="0" xfId="0" applyFont="1" applyFill="1" applyAlignment="1">
      <alignment horizontal="left"/>
    </xf>
    <xf numFmtId="167" fontId="0" fillId="10" borderId="0" xfId="2" applyNumberFormat="1" applyFont="1" applyFill="1" applyProtection="1">
      <protection locked="0"/>
    </xf>
    <xf numFmtId="167" fontId="3" fillId="0" borderId="0" xfId="2" applyNumberFormat="1" applyFont="1" applyProtection="1">
      <protection locked="0"/>
    </xf>
    <xf numFmtId="167" fontId="3" fillId="0" borderId="0" xfId="1" applyNumberFormat="1" applyFont="1" applyProtection="1">
      <protection locked="0"/>
    </xf>
    <xf numFmtId="183" fontId="3" fillId="0" borderId="0" xfId="2" applyNumberFormat="1" applyFont="1" applyProtection="1">
      <protection locked="0"/>
    </xf>
    <xf numFmtId="183" fontId="3" fillId="0" borderId="0" xfId="1" applyNumberFormat="1" applyFont="1" applyProtection="1">
      <protection locked="0"/>
    </xf>
    <xf numFmtId="49" fontId="8" fillId="2" borderId="16" xfId="0" applyNumberFormat="1" applyFont="1" applyFill="1" applyBorder="1" applyAlignment="1" applyProtection="1">
      <alignment horizontal="center"/>
      <protection locked="0"/>
    </xf>
    <xf numFmtId="49" fontId="8" fillId="2" borderId="17" xfId="0" applyNumberFormat="1" applyFont="1" applyFill="1" applyBorder="1" applyAlignment="1" applyProtection="1">
      <alignment horizontal="center"/>
      <protection locked="0"/>
    </xf>
    <xf numFmtId="49" fontId="8" fillId="2" borderId="18" xfId="0" applyNumberFormat="1" applyFont="1" applyFill="1" applyBorder="1" applyAlignment="1" applyProtection="1">
      <alignment horizontal="center"/>
      <protection locked="0"/>
    </xf>
    <xf numFmtId="49" fontId="8" fillId="4" borderId="16" xfId="0" applyNumberFormat="1" applyFont="1" applyFill="1" applyBorder="1" applyAlignment="1" applyProtection="1">
      <alignment horizontal="left"/>
      <protection locked="0"/>
    </xf>
    <xf numFmtId="49" fontId="8" fillId="4" borderId="17" xfId="0" applyNumberFormat="1" applyFont="1" applyFill="1" applyBorder="1" applyAlignment="1" applyProtection="1">
      <alignment horizontal="left"/>
      <protection locked="0"/>
    </xf>
    <xf numFmtId="49" fontId="8" fillId="11" borderId="16" xfId="0" applyNumberFormat="1" applyFont="1" applyFill="1" applyBorder="1" applyAlignment="1" applyProtection="1">
      <alignment horizontal="center"/>
      <protection locked="0"/>
    </xf>
    <xf numFmtId="49" fontId="8" fillId="11" borderId="17" xfId="0" applyNumberFormat="1" applyFont="1" applyFill="1" applyBorder="1" applyAlignment="1" applyProtection="1">
      <alignment horizontal="center"/>
      <protection locked="0"/>
    </xf>
    <xf numFmtId="49" fontId="8" fillId="11" borderId="18" xfId="0" applyNumberFormat="1" applyFont="1" applyFill="1" applyBorder="1" applyAlignment="1" applyProtection="1">
      <alignment horizontal="center"/>
      <protection locked="0"/>
    </xf>
    <xf numFmtId="49" fontId="8" fillId="10" borderId="16" xfId="0" applyNumberFormat="1" applyFont="1" applyFill="1" applyBorder="1" applyAlignment="1" applyProtection="1">
      <alignment horizontal="center"/>
      <protection locked="0"/>
    </xf>
    <xf numFmtId="49" fontId="8" fillId="10" borderId="17" xfId="0" applyNumberFormat="1" applyFont="1" applyFill="1" applyBorder="1" applyAlignment="1" applyProtection="1">
      <alignment horizontal="center"/>
      <protection locked="0"/>
    </xf>
    <xf numFmtId="49" fontId="8" fillId="10" borderId="18" xfId="0" applyNumberFormat="1" applyFont="1" applyFill="1" applyBorder="1" applyAlignment="1" applyProtection="1">
      <alignment horizontal="center"/>
      <protection locked="0"/>
    </xf>
    <xf numFmtId="49" fontId="8" fillId="4" borderId="16" xfId="0" applyNumberFormat="1" applyFont="1" applyFill="1" applyBorder="1" applyAlignment="1" applyProtection="1">
      <alignment horizontal="center"/>
      <protection locked="0"/>
    </xf>
    <xf numFmtId="49" fontId="8" fillId="4" borderId="17" xfId="0" applyNumberFormat="1" applyFont="1" applyFill="1" applyBorder="1" applyAlignment="1" applyProtection="1">
      <alignment horizontal="center"/>
      <protection locked="0"/>
    </xf>
    <xf numFmtId="0" fontId="2" fillId="0" borderId="14" xfId="0" applyFont="1" applyBorder="1" applyAlignment="1" applyProtection="1">
      <alignment horizontal="center"/>
      <protection locked="0"/>
    </xf>
    <xf numFmtId="0" fontId="0" fillId="10" borderId="3" xfId="0" applyFill="1" applyBorder="1" applyAlignment="1" applyProtection="1">
      <alignment horizontal="center"/>
      <protection locked="0"/>
    </xf>
    <xf numFmtId="0" fontId="0" fillId="10" borderId="5" xfId="0" applyFill="1" applyBorder="1" applyAlignment="1" applyProtection="1">
      <alignment horizontal="center"/>
      <protection locked="0"/>
    </xf>
    <xf numFmtId="0" fontId="0" fillId="10" borderId="4" xfId="0" applyFill="1" applyBorder="1" applyAlignment="1" applyProtection="1">
      <alignment horizontal="center"/>
      <protection locked="0"/>
    </xf>
    <xf numFmtId="0" fontId="0" fillId="0" borderId="0" xfId="0" applyAlignment="1">
      <alignment horizontal="center"/>
    </xf>
    <xf numFmtId="0" fontId="0" fillId="0" borderId="0" xfId="0" applyAlignment="1" applyProtection="1">
      <alignment horizontal="center"/>
      <protection locked="0"/>
    </xf>
  </cellXfs>
  <cellStyles count="4">
    <cellStyle name="Millares" xfId="2" builtinId="3"/>
    <cellStyle name="Moneda" xfId="1" builtinId="4"/>
    <cellStyle name="Normal" xfId="0" builtinId="0"/>
    <cellStyle name="Porcentaje" xfId="3" builtinId="5"/>
  </cellStyles>
  <dxfs count="0"/>
  <tableStyles count="0" defaultTableStyle="TableStyleMedium2" defaultPivotStyle="PivotStyleLight16"/>
  <colors>
    <mruColors>
      <color rgb="FF200FF9"/>
      <color rgb="FFE482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ichStyles" Target="richData/richStyles.xml"/><Relationship Id="rId30"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
  <rv s="0">
    <v>https://www.bing.com/financeapi/forcetrigger?t=amfs1h&amp;q=BMEX%3aBBVA&amp;form=skydnc</v>
    <v>Learn more on Bing</v>
  </rv>
  <rv s="1">
    <v>es-ES</v>
    <v>amfs1h</v>
    <v>268435456</v>
    <v>1</v>
    <v>Con tecnología de Refinitiv</v>
    <v>0</v>
    <v>1</v>
    <v>Banco Bilbao Vizcaya Argentaria, S.A. (BMEX:BBVA)</v>
    <v>3</v>
    <v>4</v>
    <v>Finance</v>
    <v>5</v>
    <v>BMEX</v>
    <v>6030117000</v>
    <v>2000</v>
    <v>6.82</v>
    <v>1.8085</v>
    <v>-2.4E-2</v>
    <v>-2.0730000000000002E-3</v>
    <v>-3.5410000000000003E-3</v>
    <v>-1.4E-2</v>
    <v>40866100000</v>
    <v>6.7770000000000001</v>
    <v>Banco Bilbao Vizcaya Argentaria S.A. (BBVA) es una empresa financiera internacional diversificada dedicada a la banca minorista, banca mayorista, gestión de activos y banca privada. Sus segmentos incluyen Actividad de la banca en España, Actividad inmobiliaria en España, los Estados Unidos, Turquía, México, América del Sur y Resto de Eurasia. Su Actividad de la banca en España incluye la Red de Banca Minorista en España, Banca Corporativa y de Negocios, así como unidades de BBVA Seguros y Gestión de Activos en España. Su Actividad inmobiliaria en España consiste de gestión especial de activos inmobiliarios en el país. En los Estados Unidos ofrece servicios a través de BBVA Compass Bancshares Inc. y filial de BBVA Nueva York. El segmento de Turquía representa su participación en el banco turco Turkiye Garanti Bankasi A.S. Ofrece negocios de seguros y banca en México. En América del Sur proporciona negocios de seguros y banca. El segmento del Resto de Eurasia incluye actividades de negocio en el resto de Europa y Asia.</v>
    <v>115675</v>
    <v>BMEX</v>
    <v>44965.709027777775</v>
    <v>Bolsas y Mercados Espanoles</v>
    <v>0</v>
    <v>6.82</v>
    <v>6.96</v>
    <v>6.7210000000000001</v>
    <v>3.972</v>
    <v>EUR</v>
    <v>Banco Bilbao Vizcaya Argentaria, S.A.</v>
    <v>Banco Bilbao Vizcaya Argentaria, S.A.</v>
    <v>6.9245000000000001</v>
    <v>6.7530000000000001</v>
    <v>6.7389999999999999</v>
    <v>Banking Services</v>
    <v>Calle Azul 4, MADRID, MADRID, 28050 ES</v>
    <v>BBVA</v>
    <v>Acciones</v>
    <v>Banco Bilbao Vizcaya Argentaria, S.A. (BMEX:BBVA)</v>
    <v>14556556</v>
    <v>15426680</v>
  </rv>
  <rv s="2">
    <v>1</v>
  </rv>
  <rv s="3">
    <v>es-ES</v>
    <v>av932w</v>
    <v>268435456</v>
    <v>1</v>
    <v>Con tecnología de Refinitiv</v>
    <v>6</v>
    <v>7</v>
    <v>EUR/USD</v>
    <v>8</v>
    <v>9</v>
    <v>Finance</v>
    <v>10</v>
    <v>1.0724</v>
    <v>6.9999999999999999E-4</v>
    <v>6.5280000000000004E-4</v>
    <v>1.0723</v>
    <v>EUR</v>
    <v>44965.79047453704</v>
    <v>1.0760000000000001</v>
    <v>1.1495</v>
    <v>1.0714999999999999</v>
    <v>0.95340000000000003</v>
    <v>USD</v>
    <v>Euro/US Dollar FX Spot Rate</v>
    <v>1.073</v>
    <v>EURUSD</v>
    <v>Par de divisa</v>
    <v>EUR/USD</v>
  </rv>
  <rv s="2">
    <v>3</v>
  </rv>
  <rv s="3">
    <v>es-ES</v>
    <v>av92z2</v>
    <v>268435456</v>
    <v>1</v>
    <v>Con tecnología de Refinitiv</v>
    <v>6</v>
    <v>7</v>
    <v>EUR/GBP</v>
    <v>8</v>
    <v>11</v>
    <v>Finance</v>
    <v>10</v>
    <v>0.89</v>
    <v>-2.2000000000000001E-3</v>
    <v>-2.4720000000000002E-3</v>
    <v>0.8901</v>
    <v>EUR</v>
    <v>44965.790462962963</v>
    <v>0.89100000000000001</v>
    <v>0.92420000000000002</v>
    <v>0.88749999999999996</v>
    <v>0.81989999999999996</v>
    <v>GBP</v>
    <v>Euro/UK Pound Sterling FX Cross Rate</v>
    <v>0.88790000000000002</v>
    <v>EURGBP</v>
    <v>Par de divisa</v>
    <v>EUR/GBP</v>
  </rv>
  <rv s="2">
    <v>5</v>
  </rv>
  <rv s="3">
    <v>es-ES</v>
    <v>av8u5r</v>
    <v>268435456</v>
    <v>1</v>
    <v>Con tecnología de Refinitiv</v>
    <v>6</v>
    <v>7</v>
    <v>EUR/CNY</v>
    <v>8</v>
    <v>12</v>
    <v>Finance</v>
    <v>10</v>
    <v>7.2832999999999997</v>
    <v>-1.2999999999999999E-3</v>
    <v>-1.785E-4</v>
    <v>7.2839999999999998</v>
    <v>EUR</v>
    <v>44965.79047453704</v>
    <v>7.298</v>
    <v>7.5457999999999998</v>
    <v>7.2666000000000004</v>
    <v>6.7202000000000002</v>
    <v>CNY</v>
    <v>Euro/Chinese Renminbi FX Cross Rate</v>
    <v>7.2827000000000002</v>
    <v>EURCNY</v>
    <v>Par de divisa</v>
    <v>EUR/CNY</v>
  </rv>
  <rv s="2">
    <v>7</v>
  </rv>
  <rv s="4">
    <v>12</v>
    <v>Símbolo bursátil</v>
    <v>0</v>
  </rv>
  <rv s="4">
    <v>12</v>
    <v>Abreviatura de intercambio</v>
    <v>0</v>
  </rv>
  <rv s="4">
    <v>12</v>
    <v>Moneda</v>
    <v>0</v>
  </rv>
  <rv s="4">
    <v>12</v>
    <v>Precio</v>
    <v>0</v>
  </rv>
  <rv s="5">
    <v>12</v>
    <v>1</v>
  </rv>
  <rv s="4">
    <v>12</v>
    <v>Cambio (%)</v>
    <v>0</v>
  </rv>
  <rv s="4">
    <v>12</v>
    <v>Apertura</v>
    <v>0</v>
  </rv>
  <rv s="4">
    <v>12</v>
    <v>Máximo</v>
    <v>0</v>
  </rv>
  <rv s="4">
    <v>12</v>
    <v>Mínimo</v>
    <v>0</v>
  </rv>
  <rv s="4">
    <v>12</v>
    <v>Cierre anterior</v>
    <v>0</v>
  </rv>
  <rv s="0">
    <v>https://www.bing.com/financeapi/forcetrigger?t=afsmbh&amp;q=XETR%3aKGX&amp;form=skydnc</v>
    <v>Learn more on Bing</v>
  </rv>
  <rv s="6">
    <v>es-ES</v>
    <v>afsmbh</v>
    <v>268435456</v>
    <v>1</v>
    <v>Con tecnología de Refinitiv</v>
    <v>13</v>
    <v>14</v>
    <v>Kion Group AG (XETR:KGX)</v>
    <v>3</v>
    <v>15</v>
    <v>Finance</v>
    <v>16</v>
    <v>XETR</v>
    <v>131198700</v>
    <v>2018</v>
    <v>39.26</v>
    <v>1.6463000000000001</v>
    <v>-0.32</v>
    <v>-8.2279999999999992E-3</v>
    <v>5102315000</v>
    <v>38.89</v>
    <v>KION GROUP AG es un proveedor con sede en Alemania de camiones industriales, servicios relacionados y soluciones de cadena de suministro. Las actividades de la Compañía se dividen en tres segmentos: Camiones y Servicios Industriales, Soluciones de Cadena de Suministro y Servicios Corporativos. El segmento de Camiones y Servicios Industriales comprende carretillas elevadoras, tecnología de almacenes, camiones de contrapeso, vehículos de remolque, así como camiones automatizados y camiones autónomos. Opera a través de tres marcas internacionales: Linde, STILL y Baoli, así como a través de tres marcas regionales: Fenwick (Francia), OM STILL (Italia) y OM Voltas (India). El segmento de Soluciones de Cadena de Suministro ofrece soluciones integradas de tecnología y software, equipos de recolección, sistemas automatizados de almacenamiento y recuperación, clasificadores y transportadores, comercializados bajo la marca Dematic. La Compañía está activa en más de 100 países en todo el mundo.</v>
    <v>41156</v>
    <v>XETR</v>
    <v>44965.697916666664</v>
    <v>Xetra</v>
    <v>19</v>
    <v>39.92</v>
    <v>81.88</v>
    <v>38.35</v>
    <v>18.66</v>
    <v>EUR</v>
    <v>Kion Group AG</v>
    <v>Kion Group AG</v>
    <v>24.93</v>
    <v>38.57</v>
    <v>Machinery, Equipment &amp; Components</v>
    <v>Thea-Rasche-Strasse 8, FRANKFURT AM MAIN, HESSEN, 60549 DE</v>
    <v>KGX</v>
    <v>Acciones</v>
    <v>Kion Group AG (XETR:KGX)</v>
    <v>219532</v>
    <v>360100</v>
  </rv>
  <rv s="2">
    <v>20</v>
  </rv>
  <rv s="0">
    <v>https://www.bing.com/financeapi/forcetrigger?t=aftz5r&amp;q=XETR%3aSY1&amp;form=skydnc</v>
    <v>Learn more on Bing</v>
  </rv>
  <rv s="6">
    <v>es-ES</v>
    <v>aftz5r</v>
    <v>268435456</v>
    <v>1</v>
    <v>Con tecnología de Refinitiv</v>
    <v>13</v>
    <v>14</v>
    <v>Symrise AG (XETR:SY1)</v>
    <v>3</v>
    <v>15</v>
    <v>Finance</v>
    <v>16</v>
    <v>XETR</v>
    <v>139772000</v>
    <v>2006</v>
    <v>99.4</v>
    <v>0.49759999999999999</v>
    <v>0.44</v>
    <v>4.4429999999999999E-3</v>
    <v>13843020000</v>
    <v>99.04</v>
    <v>Symrise AG es un proveedor con sede en Alemania de fragancias, saborizantes, ingredientes activos cosméticos, materias primas e ingredientes funcionales, así como soluciones nutricionales y sensoriales. La Compañía opera a través de tres segmentos: Sabor, Nutrición, así como Aroma y Cuidado. El segmento de Sabor desarrolla, produce y vende sabores e ingredientes funcionales que se utilizan en alimentos, bebidas y productos de salud. El segmento de Nutrición ofrece soluciones a medida de materias primas naturales para las industrias de alimentos y bebidas, alimentos para mascotas, acuacultura y cosméticos. El segmento de Aroma y Cuidado produce fragancias, ingredientes cosméticos, moléculas de aroma y aromas de menta para la fabricación de perfumes, productos de cuidado personal y cosméticos, productos de limpieza y detergentes, fragancias para el hogar y productos para el cuidado oral. La Compañía opera en Europa, Oriente Medio y África, América del Norte, Asia-Pacífico y América Latina.</v>
    <v>11627</v>
    <v>XETR</v>
    <v>44965.697916666664</v>
    <v>Xetra</v>
    <v>22</v>
    <v>100.6</v>
    <v>115.65</v>
    <v>99.04</v>
    <v>91.94</v>
    <v>EUR</v>
    <v>Symrise AG</v>
    <v>Symrise AG</v>
    <v>33.51</v>
    <v>99.48</v>
    <v>Chemicals</v>
    <v>Muehlenfeldstrasse 1, HOLZMINDEN, NIEDERSACHSEN, 37603 DE</v>
    <v>SY1</v>
    <v>Acciones</v>
    <v>Symrise AG (XETR:SY1)</v>
    <v>249341</v>
    <v>391080</v>
  </rv>
  <rv s="2">
    <v>23</v>
  </rv>
  <rv s="0">
    <v>https://www.bing.com/financeapi/forcetrigger?t=ae8e9c&amp;q=XPAR%3aDSY&amp;form=skydnc</v>
    <v>Learn more on Bing</v>
  </rv>
  <rv s="6">
    <v>es-ES</v>
    <v>ae8e9c</v>
    <v>268435456</v>
    <v>1</v>
    <v>Con tecnología de Refinitiv</v>
    <v>13</v>
    <v>14</v>
    <v>Dassault Systemes SE (XPAR:DSY)</v>
    <v>3</v>
    <v>15</v>
    <v>Finance</v>
    <v>16</v>
    <v>XPAR</v>
    <v>1333064000</v>
    <v>1981</v>
    <v>38.414999999999999</v>
    <v>0.62880000000000003</v>
    <v>-0.21</v>
    <v>-5.5279999999999999E-3</v>
    <v>50643110000</v>
    <v>37.99</v>
    <v>Dassault Systemes SE es una empresa con sede en Francia, que opera como una sociedad de cartera. La Empresa se dedica a la venta de soluciones de software. La Empresa se dedica al desarrollo de varias soluciones de software integradas en una plataforma 3DEXPERIENCE. La cartera de 3DEXPERIENCE consiste de aplicaciones de modelado tridimensional (3D), aplicaciones de simulación creando copias virtuales de productos o sistemas de producción, aplicaciones sociales y de colaboración, así como aplicaciones de inteligencia de información. La cartera de software de la Empresa abarca un espectro de dominios desde el modelado y la simulación científica hasta la optimización de la producción y la logística, así como es aplicable desde los recursos naturales hasta las ciudades, el transporte, los edificios, los productos inteligentes, los bienes de consumo, por los sistemas biológicos y la química. Los productos y servicios de la Empresa incluyen ENOVIA, 3DEXCITE, DELMIA, CATIA, SOLIDWORKS, GEOVIA, BIOVIA, SIMULIA, DELMIA, 3DVIA, EXALEAD y NETVIBES. Opera a través de Outscale SASU.</v>
    <v>24162</v>
    <v>XPAR</v>
    <v>44965.708333333336</v>
    <v>Euronext Paris</v>
    <v>25</v>
    <v>38.515000000000001</v>
    <v>46.55</v>
    <v>37.78</v>
    <v>32.229999999999997</v>
    <v>EUR</v>
    <v>Dassault Systemes SE</v>
    <v>Dassault Systemes SE</v>
    <v>53.522100000000002</v>
    <v>37.78</v>
    <v>Software &amp; IT Services</v>
    <v>10 rue Marcel Dassault, BP 310, VELIZY VILLACOUBLAY, ILE-DE-FRANCE, 78140 FR</v>
    <v>DSY</v>
    <v>Acciones</v>
    <v>Dassault Systemes SE (XPAR:DSY)</v>
    <v>1720596</v>
    <v>1701180</v>
  </rv>
  <rv s="2">
    <v>26</v>
  </rv>
  <rv s="0">
    <v>https://www.bing.com/financeapi/forcetrigger?t=alotgh&amp;q=XAMS%3aWKL&amp;form=skydnc</v>
    <v>Learn more on Bing</v>
  </rv>
  <rv s="7">
    <v>es-ES</v>
    <v>alotgh</v>
    <v>268435456</v>
    <v>1</v>
    <v>Con tecnología de Refinitiv</v>
    <v>17</v>
    <v>18</v>
    <v>Wolters Kluwer NV (XAMS:WKL)</v>
    <v>3</v>
    <v>19</v>
    <v>Finance</v>
    <v>16</v>
    <v>XAMS</v>
    <v>257516100</v>
    <v>100.95</v>
    <v>0.50660000000000005</v>
    <v>-0.15</v>
    <v>-1.4920000000000001E-3</v>
    <v>25893250000</v>
    <v>100.55</v>
    <v>Wolters Kluwer N.V. es una empresa con sede en los Países Bajos que proporciona información, software y servicios a los profesionales del derecho, negocios, impuestos, contabilidad, finanzas, auditoría, riesgo, cumplimiento y salud en todo el mundo. Las cuatro divisiones operativas de la Empresa se basan en segmentos estratégicos de clientes: Salud; Impuestos y Contabilidad; Gobierno, Riesgo y Cumplimiento, Legal y Regulatorio. Sus segmentos geográficos incluyen los Países Bajos, Europa, Norteamérica, Asia Pacífico y el Resto del Mundo. La cartera de productos de la Empresa ofrece herramientas de software junto con contenidos y servicios que permiten a sus clientes tomar decisiones basadas en pruebas, a través de soluciones de gestión de flujos de trabajo, información regulatoria, análisis e informe, adaptados a las especificidades de su sector. Además, la Compañía está activa en la publicación digital e impresa.</v>
    <v>19827</v>
    <v>XAMS</v>
    <v>44965.708333333336</v>
    <v>Euronext Amsterdam</v>
    <v>28</v>
    <v>101.4</v>
    <v>111.4</v>
    <v>100.4</v>
    <v>84.18</v>
    <v>EUR</v>
    <v>Wolters Kluwer NV</v>
    <v>Wolters Kluwer NV</v>
    <v>31.533200000000001</v>
    <v>100.4</v>
    <v>Professional &amp; Commercial Services</v>
    <v>Zuidpoolsingel 2, ALPHEN AAN DEN RIJN, ZUID-HOLLAND, 2408 ZE NL</v>
    <v>WKL</v>
    <v>Acciones</v>
    <v>Wolters Kluwer NV (XAMS:WKL)</v>
    <v>409390</v>
    <v>472570</v>
  </rv>
  <rv s="2">
    <v>29</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pertura"/>
    <k n="Cambio"/>
    <k n="Cambio (%)"/>
    <k n="Cierre anterior"/>
    <k n="De la moneda" t="s"/>
    <k n="Hora de la última operación"/>
    <k n="Máximo"/>
    <k n="Máximo en 52 semanas"/>
    <k n="Mínimo"/>
    <k n="Mínimo en 52 semanas"/>
    <k n="Moneda" t="s"/>
    <k n="Nombre" t="s"/>
    <k n="Precio"/>
    <k n="Símbolo bursátil" t="s"/>
    <k n="Tipo de instrumento" t="s"/>
    <k n="UniqueName" t="s"/>
  </s>
  <s t="_error">
    <k n="errorType" t="i"/>
    <k n="field" t="s"/>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rvStructures>
</file>

<file path=xl/richData/rdsupportingpropertybag.xml><?xml version="1.0" encoding="utf-8"?>
<supportingPropertyBags xmlns="http://schemas.microsoft.com/office/spreadsheetml/2017/richdata2">
  <spbArrays count="4">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28">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Apertura</v>
      <v t="s">Máximo</v>
      <v t="s">Mínimo</v>
      <v t="s">Máximo en 52 semanas</v>
      <v t="s">Mínimo en 52 semanas</v>
      <v t="s">Tipo de instrumento</v>
      <v t="s">_Flags</v>
      <v t="s">UniqueName</v>
      <v t="s">_DisplayString</v>
      <v t="s">%ProviderInfo</v>
    </a>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2">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_Flags</v>
      <v t="s">UniqueName</v>
      <v t="s">_DisplayString</v>
      <v t="s">LearnMoreOnLink</v>
      <v t="s">ExchangeID</v>
      <v t="s">%ProviderInfo</v>
    </a>
  </spbArrays>
  <spbData count="20">
    <spb s="0">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0</v>
      <v>Name</v>
      <v>LearnMoreOnLink</v>
    </spb>
    <spb s="2">
      <v>0</v>
      <v>0</v>
      <v>0</v>
    </spb>
    <spb s="3">
      <v>2</v>
      <v>2</v>
      <v>2</v>
      <v>2</v>
    </spb>
    <spb s="4">
      <v>1</v>
      <v>1</v>
      <v>2</v>
      <v>2</v>
      <v>2</v>
      <v>3</v>
      <v>2</v>
      <v>4</v>
      <v>2</v>
      <v>4</v>
      <v>5</v>
      <v>2</v>
      <v>4</v>
      <v>6</v>
      <v>7</v>
      <v>2</v>
      <v>2</v>
      <v>4</v>
      <v>2</v>
      <v>8</v>
      <v>2</v>
      <v>5</v>
      <v>9</v>
    </spb>
    <spb s="5">
      <v xml:space="preserve">desde el cierre anterior </v>
      <v xml:space="preserve">al cierre </v>
      <v xml:space="preserve">desde el cierre anterior </v>
      <v xml:space="preserve">desde el cierre </v>
      <v>Retrasado 15 minutos</v>
      <v xml:space="preserve">desde el cierre </v>
      <v>GMT</v>
    </spb>
    <spb s="6">
      <v>Change</v>
      <v>Currency</v>
      <v>High</v>
      <v>Low</v>
      <v>Name</v>
      <v>Price</v>
      <v>Open</v>
      <v>Change (%)</v>
      <v>UniqueName</v>
      <v>From currency</v>
      <v>%ProviderInfo</v>
      <v>Previous close</v>
      <v>Ticker symbol</v>
      <v>Instrument type</v>
      <v>52 week high</v>
      <v>52 week low</v>
      <v>Last trade time</v>
    </spb>
    <spb s="7">
      <v>1</v>
      <v>Name</v>
    </spb>
    <spb s="8">
      <v>2</v>
      <v>2</v>
    </spb>
    <spb s="9">
      <v>10</v>
      <v>10</v>
      <v>10</v>
      <v>3</v>
      <v>10</v>
      <v>10</v>
      <v>5</v>
      <v>10</v>
      <v>6</v>
      <v>10</v>
      <v>10</v>
      <v>9</v>
    </spb>
    <spb s="10">
      <v>GMT</v>
    </spb>
    <spb s="9">
      <v>11</v>
      <v>11</v>
      <v>11</v>
      <v>3</v>
      <v>11</v>
      <v>11</v>
      <v>5</v>
      <v>11</v>
      <v>6</v>
      <v>11</v>
      <v>11</v>
      <v>9</v>
    </spb>
    <spb s="9">
      <v>12</v>
      <v>12</v>
      <v>12</v>
      <v>3</v>
      <v>12</v>
      <v>12</v>
      <v>5</v>
      <v>12</v>
      <v>6</v>
      <v>12</v>
      <v>12</v>
      <v>9</v>
    </spb>
    <spb s="11">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2</v>
      <v>Name</v>
      <v>LearnMoreOnLink</v>
    </spb>
    <spb s="12">
      <v>1</v>
      <v>1</v>
      <v>2</v>
      <v>2</v>
      <v>2</v>
      <v>3</v>
      <v>2</v>
      <v>4</v>
      <v>2</v>
      <v>4</v>
      <v>5</v>
      <v>2</v>
      <v>4</v>
      <v>6</v>
      <v>7</v>
      <v>2</v>
      <v>2</v>
      <v>4</v>
      <v>8</v>
      <v>9</v>
    </spb>
    <spb s="13">
      <v xml:space="preserve">desde el cierre anterior </v>
      <v>Retrasado 15 minutos</v>
      <v xml:space="preserve">desde el cierre anterior </v>
      <v>GMT</v>
    </spb>
    <spb s="14">
      <v>P/E</v>
      <v>Beta</v>
      <v>Change</v>
      <v>Currency</v>
      <v>High</v>
      <v>Low</v>
      <v>Name</v>
      <v>Price</v>
      <v>Industry</v>
      <v>Volume</v>
      <v>Open</v>
      <v>Employees</v>
      <v>Change (%)</v>
      <v>ExchangeID</v>
      <v>UniqueName</v>
      <v>Description</v>
      <v>Exchange</v>
      <v>Headquarters</v>
      <v>%ProviderInfo</v>
      <v>Official name</v>
      <v>Previous close</v>
      <v>LearnMoreOnLink</v>
      <v>Ticker symbol</v>
      <v>Volume average</v>
      <v>Instrument type</v>
      <v>52 week high</v>
      <v>52 week low</v>
      <v>Shares outstanding</v>
      <v>Market cap</v>
      <v>Exchange abbreviation</v>
      <v>Last trade time</v>
    </spb>
    <spb s="1">
      <v>3</v>
      <v>Name</v>
      <v>LearnMoreOnLink</v>
    </spb>
    <spb s="15">
      <v>1</v>
      <v>1</v>
      <v>2</v>
      <v>2</v>
      <v>2</v>
      <v>3</v>
      <v>2</v>
      <v>4</v>
      <v>2</v>
      <v>4</v>
      <v>5</v>
      <v>2</v>
      <v>4</v>
      <v>6</v>
      <v>2</v>
      <v>2</v>
      <v>4</v>
      <v>8</v>
      <v>9</v>
    </spb>
  </spbData>
</supportingPropertyBags>
</file>

<file path=xl/richData/rdsupportingpropertybagstructure.xml><?xml version="1.0" encoding="utf-8"?>
<spbStructures xmlns="http://schemas.microsoft.com/office/spreadsheetml/2017/richdata2" count="16">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Order" t="spba"/>
    <k n="TitleProperty" t="s"/>
    <k n="SubTitleProperty" t="s"/>
  </s>
  <s>
    <k n="ShowInCardView" t="b"/>
    <k n="ShowInDotNotation" t="b"/>
    <k n="ShowInAutoComplete" t="b"/>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Cambio (horario ampliado)" t="s"/>
    <k n="Precio (horario ampliado)" t="s"/>
    <k n="Cambio % (horario ampliado)" t="s"/>
    <k n="Hora de la última operación" t="s"/>
  </s>
  <s>
    <k n="Cambio" t="s"/>
    <k n="Moneda" t="s"/>
    <k n="Máximo" t="s"/>
    <k n="Mínimo" t="s"/>
    <k n="Nombre" t="s"/>
    <k n="Precio" t="s"/>
    <k n="Apertura" t="s"/>
    <k n="Cambio (%)" t="s"/>
    <k n="UniqueName" t="s"/>
    <k n="De la moneda" t="s"/>
    <k n="%ProviderInfo" t="s"/>
    <k n="Cierre anterior" t="s"/>
    <k n="Símbolo bursátil" t="s"/>
    <k n="Tipo de instrumento" t="s"/>
    <k n="Máximo en 52 semanas" t="s"/>
    <k n="Mínimo en 52 semanas" t="s"/>
    <k n="Hora de la última operación" t="s"/>
  </s>
  <s>
    <k n="^Order" t="spba"/>
    <k n="TitleProperty" t="s"/>
  </s>
  <s>
    <k n="UniqueName" t="spb"/>
    <k n="`%ProviderInfo" t="spb"/>
  </s>
  <s>
    <k n="Cambio" t="i"/>
    <k n="Máximo" t="i"/>
    <k n="Mínimo" t="i"/>
    <k n="Nombre" t="i"/>
    <k n="Precio" t="i"/>
    <k n="Apertura" t="i"/>
    <k n="Cambio (%)" t="i"/>
    <k n="Cierre anterior" t="i"/>
    <k n="`%EntityServiceId" t="i"/>
    <k n="Máximo en 52 semanas" t="i"/>
    <k n="Mínimo en 52 semanas" t="i"/>
    <k n="Hora de la última operación" t="i"/>
  </s>
  <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Tipo de instrumento" t="s"/>
    <k n="Máximo en 52 semanas" t="s"/>
    <k n="Mínimo en 52 semanas" t="s"/>
    <k n="Acciones en circulación" t="s"/>
    <k n="Capitalización de mercado" t="s"/>
    <k n="Abreviatura de intercambio" t="s"/>
    <k n="Hora de la última operación" t="s"/>
  </s>
  <s>
    <k n="P/I" t="i"/>
    <k n="Beta" t="i"/>
    <k n="Cambio" t="i"/>
    <k n="Máximo" t="i"/>
    <k n="Mínimo" t="i"/>
    <k n="Nombre" t="i"/>
    <k n="Precio" t="i"/>
    <k n="Volumen" t="i"/>
    <k n="Apertura" t="i"/>
    <k n="Empleados" t="i"/>
    <k n="Cambio (%)" t="i"/>
    <k n="Cierre anterior" t="i"/>
    <k n="Volumen promedio" t="i"/>
    <k n="`%EntityServiceId" t="i"/>
    <k n="Máximo en 52 semanas" t="i"/>
    <k n="Mínimo en 52 semanas" t="i"/>
    <k n="Acciones en circulación" t="i"/>
    <k n="Capitalización de mercado" t="i"/>
    <k n="Hora de la última operació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 formatCode="0.00"/>
    </x:dxf>
    <x:dxf>
      <x:numFmt numFmtId="1" formatCode="0"/>
    </x:dxf>
    <x:dxf>
      <x:numFmt numFmtId="27" formatCode="dd/mm/yyyy\ h:mm"/>
    </x:dxf>
    <x:dxf>
      <x:numFmt numFmtId="0" formatCode="General"/>
    </x:dxf>
  </dxfs>
  <richProperties>
    <rPr n="NumberFormat" t="s"/>
    <rPr n="IsTitleField" t="b"/>
  </richProperties>
  <richStyles>
    <rSty dxfid="0">
      <rpv i="0">#,##0.00</rpv>
    </rSty>
    <rSty dxfid="6">
      <rpv i="0">_([$€-x-euro2] * #,##0.00_);_([$€-x-euro2] * (#,##0.00);_([$€-x-euro2] * "-"??_);_(@_)</rpv>
    </rSty>
    <rSty>
      <rpv i="1">1</rpv>
    </rSty>
    <rSty dxfid="1">
      <rpv i="0">#,##0</rpv>
    </rSty>
    <rSty dxfid="2"/>
    <rSty dxfid="3">
      <rpv i="0">0.00</rpv>
    </rSty>
    <rSty dxfid="4">
      <rpv i="0">0</rpv>
    </rSty>
    <rSty dxfid="6">
      <rpv i="0">_([$€-x-euro2] * #,##0_);_([$€-x-euro2] * (#,##0);_([$€-x-euro2] * "-"_);_(@_)</rpv>
    </rSty>
    <rSty dxfid="5"/>
    <rSty dxfid="6">
      <rpv i="0">_([$$-en-US]* #,##0.00_);_([$$-en-US]* (#,##0.00);_([$$-en-US]* "-"??_);_(@_)</rpv>
    </rSty>
    <rSty dxfid="6">
      <rpv i="0">_-[$£-en-GB]* #,##0.00_-;-[$£-en-GB]* #,##0.00_-;_-[$£-en-GB]* "-"??_-;_-@_-</rpv>
    </rSty>
    <rSty dxfid="6">
      <rpv i="0" xml:space="preserve">_ [$¥-zh-CN]* #,##0.00_ ;_ [$¥-zh-CN]* -#,##0.00_ ;_ [$¥-zh-CN]* "-"??_ ;_ @_ </rpv>
    </rSty>
  </richStyles>
</rich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10CA-5C7E-44F8-9E0A-DF83035C6E4B}">
  <sheetPr>
    <tabColor rgb="FFFF0000"/>
  </sheetPr>
  <dimension ref="A1:AK53"/>
  <sheetViews>
    <sheetView tabSelected="1" workbookViewId="0">
      <pane xSplit="7" ySplit="1" topLeftCell="H2" activePane="bottomRight" state="frozen"/>
      <selection pane="topRight" activeCell="H1" sqref="H1"/>
      <selection pane="bottomLeft" activeCell="A2" sqref="A2"/>
      <selection pane="bottomRight" activeCell="I22" sqref="I22"/>
    </sheetView>
  </sheetViews>
  <sheetFormatPr baseColWidth="10" defaultRowHeight="15" x14ac:dyDescent="0.25"/>
  <cols>
    <col min="4" max="4" width="12.5703125" bestFit="1" customWidth="1"/>
    <col min="7" max="7" width="18.85546875" customWidth="1"/>
    <col min="14" max="14" width="1" customWidth="1"/>
    <col min="15" max="15" width="11.42578125" customWidth="1"/>
    <col min="19" max="19" width="24.5703125" customWidth="1"/>
    <col min="20" max="20" width="22.28515625" customWidth="1"/>
    <col min="21" max="21" width="2.140625" customWidth="1"/>
    <col min="22" max="22" width="14.28515625" customWidth="1"/>
    <col min="23" max="23" width="7.5703125" customWidth="1"/>
    <col min="24" max="24" width="28.5703125" customWidth="1"/>
    <col min="26" max="26" width="24.5703125" customWidth="1"/>
    <col min="27" max="27" width="21.42578125" customWidth="1"/>
    <col min="29" max="29" width="19.42578125" customWidth="1"/>
    <col min="31" max="31" width="2" customWidth="1"/>
    <col min="32" max="32" width="14.28515625" customWidth="1"/>
    <col min="33" max="33" width="7.42578125" customWidth="1"/>
    <col min="34" max="34" width="22" customWidth="1"/>
    <col min="36" max="36" width="18.7109375" customWidth="1"/>
  </cols>
  <sheetData>
    <row r="1" spans="1:37" ht="19.5" thickBot="1" x14ac:dyDescent="0.35">
      <c r="A1" s="211" t="s">
        <v>74</v>
      </c>
      <c r="B1" s="212"/>
      <c r="C1" s="212"/>
      <c r="D1" s="212"/>
      <c r="E1" s="212"/>
      <c r="F1" s="212"/>
      <c r="G1" s="213"/>
      <c r="H1" s="61"/>
      <c r="I1" s="214" t="s">
        <v>76</v>
      </c>
      <c r="J1" s="215"/>
      <c r="K1" s="215"/>
      <c r="L1" s="215"/>
      <c r="M1" s="215"/>
      <c r="N1" s="215"/>
      <c r="O1" s="215"/>
      <c r="P1" s="215"/>
      <c r="Q1" s="216"/>
      <c r="S1" s="217" t="s">
        <v>77</v>
      </c>
      <c r="T1" s="218"/>
      <c r="U1" s="60"/>
      <c r="V1" s="209" t="s">
        <v>78</v>
      </c>
      <c r="W1" s="210"/>
      <c r="X1" s="210"/>
      <c r="Y1" s="60"/>
      <c r="Z1" s="206" t="s">
        <v>183</v>
      </c>
      <c r="AA1" s="207"/>
      <c r="AB1" s="207"/>
      <c r="AC1" s="207"/>
      <c r="AD1" s="208"/>
      <c r="AE1" s="60"/>
      <c r="AF1" s="206" t="s">
        <v>184</v>
      </c>
      <c r="AG1" s="207"/>
      <c r="AH1" s="207"/>
      <c r="AI1" s="207"/>
      <c r="AJ1" s="207"/>
      <c r="AK1" s="208"/>
    </row>
    <row r="2" spans="1:37" ht="15" customHeight="1" x14ac:dyDescent="0.3">
      <c r="A2" s="66"/>
      <c r="B2" s="66"/>
      <c r="C2" s="66"/>
      <c r="D2" s="66"/>
      <c r="E2" s="66"/>
      <c r="F2" s="66"/>
      <c r="G2" s="66"/>
      <c r="I2" s="123"/>
      <c r="J2" s="123"/>
      <c r="K2" s="123"/>
      <c r="L2" s="123"/>
      <c r="M2" s="123"/>
      <c r="N2" s="123"/>
      <c r="O2" s="123"/>
      <c r="P2" s="123"/>
      <c r="Q2" s="123"/>
      <c r="S2" s="132"/>
      <c r="T2" s="132"/>
      <c r="V2" s="132"/>
      <c r="W2" s="132"/>
      <c r="X2" s="132"/>
      <c r="Z2" s="133"/>
      <c r="AA2" s="133"/>
      <c r="AB2" s="133"/>
      <c r="AC2" s="133"/>
      <c r="AD2" s="133"/>
      <c r="AF2" s="133"/>
      <c r="AG2" s="133"/>
      <c r="AH2" s="133" t="s">
        <v>3</v>
      </c>
      <c r="AI2" s="133"/>
      <c r="AJ2" s="133" t="s">
        <v>218</v>
      </c>
      <c r="AK2" s="133"/>
    </row>
    <row r="3" spans="1:37" ht="15" customHeight="1" x14ac:dyDescent="0.3">
      <c r="A3" s="67"/>
      <c r="B3" s="68"/>
      <c r="C3" s="68"/>
      <c r="D3" s="68"/>
      <c r="E3" s="68"/>
      <c r="F3" s="68"/>
      <c r="G3" s="68"/>
      <c r="I3" s="123"/>
      <c r="J3" s="123"/>
      <c r="K3" s="124" t="s">
        <v>70</v>
      </c>
      <c r="L3" s="125" t="s">
        <v>71</v>
      </c>
      <c r="M3" s="175" t="s">
        <v>73</v>
      </c>
      <c r="N3" s="123"/>
      <c r="O3" s="124" t="s">
        <v>72</v>
      </c>
      <c r="P3" s="125" t="s">
        <v>75</v>
      </c>
      <c r="Q3" s="126" t="s">
        <v>73</v>
      </c>
      <c r="S3" s="36" t="s">
        <v>25</v>
      </c>
      <c r="T3" s="36" t="s">
        <v>91</v>
      </c>
      <c r="V3" s="36" t="s">
        <v>94</v>
      </c>
      <c r="W3" s="36" t="s">
        <v>106</v>
      </c>
      <c r="X3" s="36" t="s">
        <v>91</v>
      </c>
      <c r="Z3" s="38" t="s">
        <v>25</v>
      </c>
      <c r="AA3" s="38" t="s">
        <v>232</v>
      </c>
      <c r="AB3" s="134" t="s">
        <v>49</v>
      </c>
      <c r="AC3" s="38" t="s">
        <v>233</v>
      </c>
      <c r="AD3" s="135" t="s">
        <v>49</v>
      </c>
      <c r="AF3" s="38" t="s">
        <v>94</v>
      </c>
      <c r="AG3" s="38" t="s">
        <v>106</v>
      </c>
      <c r="AH3" s="38" t="s">
        <v>232</v>
      </c>
      <c r="AI3" s="134" t="s">
        <v>49</v>
      </c>
      <c r="AJ3" s="38" t="s">
        <v>233</v>
      </c>
      <c r="AK3" s="135" t="s">
        <v>49</v>
      </c>
    </row>
    <row r="4" spans="1:37" ht="15.75" x14ac:dyDescent="0.25">
      <c r="A4" s="69" t="s">
        <v>57</v>
      </c>
      <c r="B4" s="70"/>
      <c r="C4" s="71"/>
      <c r="D4" s="72"/>
      <c r="E4" s="73"/>
      <c r="F4" s="74" t="s">
        <v>58</v>
      </c>
      <c r="G4" s="75">
        <v>15000</v>
      </c>
      <c r="I4" s="123"/>
      <c r="J4" s="123"/>
      <c r="K4" s="140">
        <f ca="1">SUM(K5:K16)</f>
        <v>1694.9989999999991</v>
      </c>
      <c r="L4" s="141">
        <f t="shared" ref="L4:M4" ca="1" si="0">SUM(L5:L16)</f>
        <v>-993.62</v>
      </c>
      <c r="M4" s="176">
        <f t="shared" ca="1" si="0"/>
        <v>701.37899999999922</v>
      </c>
      <c r="N4" s="127"/>
      <c r="O4" s="139">
        <f ca="1">SUM(O5:O16)</f>
        <v>13</v>
      </c>
      <c r="P4" s="138">
        <f t="shared" ref="P4" ca="1" si="1">SUM(P5:P16)</f>
        <v>2</v>
      </c>
      <c r="Q4" s="128">
        <f t="shared" ref="Q4" ca="1" si="2">SUM(Q5:Q16)</f>
        <v>15</v>
      </c>
      <c r="R4" s="59"/>
      <c r="S4" s="132"/>
      <c r="T4" s="132"/>
      <c r="V4" s="132"/>
      <c r="W4" s="132"/>
      <c r="X4" s="132"/>
      <c r="Z4" s="38"/>
      <c r="AA4" s="38"/>
      <c r="AB4" s="134"/>
      <c r="AC4" s="38"/>
      <c r="AD4" s="135"/>
      <c r="AF4" s="38"/>
      <c r="AG4" s="38"/>
      <c r="AH4" s="38"/>
      <c r="AI4" s="134"/>
      <c r="AJ4" s="38"/>
      <c r="AK4" s="135"/>
    </row>
    <row r="5" spans="1:37" ht="15" customHeight="1" x14ac:dyDescent="0.3">
      <c r="A5" s="76"/>
      <c r="B5" s="77"/>
      <c r="C5" s="68"/>
      <c r="D5" s="68"/>
      <c r="E5" s="68"/>
      <c r="F5" s="78"/>
      <c r="G5" s="68"/>
      <c r="I5" s="129">
        <v>44562</v>
      </c>
      <c r="J5" s="130">
        <v>44592</v>
      </c>
      <c r="K5" s="142">
        <f ca="1">SUMIFS('Resumen OPERACIONES'!$AH$2:$AH$1006,'Resumen OPERACIONES'!$S$2:$S$1006,"&gt;="&amp;I5,'Resumen OPERACIONES'!$S$2:$S$1006,"&lt;="&amp;J5,'Resumen OPERACIONES'!$AH$2:$AH$1006,"&gt;0")</f>
        <v>223.09999999999991</v>
      </c>
      <c r="L5" s="142">
        <f ca="1">SUMIFS('Resumen OPERACIONES'!$AH$2:$AH$1006,'Resumen OPERACIONES'!$S$2:$S$1006,"&gt;="&amp;I5,'Resumen OPERACIONES'!$S$2:$S$1006,"&lt;="&amp;J5,'Resumen OPERACIONES'!$AH$2:$AH$1006,"&lt;0")</f>
        <v>-514</v>
      </c>
      <c r="M5" s="142">
        <f ca="1">(K5+L5)</f>
        <v>-290.90000000000009</v>
      </c>
      <c r="N5" s="123"/>
      <c r="O5" s="131">
        <f ca="1">COUNTIFS('Resumen OPERACIONES'!$AH$2:$AH$1006,"&gt;0",'Resumen OPERACIONES'!$S$2:$S$1006,"&gt;="&amp;I5,'Resumen OPERACIONES'!$S$2:$S$1006,"&lt;="&amp;J5)</f>
        <v>2</v>
      </c>
      <c r="P5" s="131">
        <f ca="1">COUNTIFS('Resumen OPERACIONES'!$AH$2:$AH$1006,"&lt;0",'Resumen OPERACIONES'!$S$2:$S$1006,"&gt;="&amp;I5,'Resumen OPERACIONES'!$S$2:$S$1006,"&lt;="&amp;J5)</f>
        <v>1</v>
      </c>
      <c r="Q5" s="131">
        <f ca="1">(O5+P5)</f>
        <v>3</v>
      </c>
      <c r="S5" s="132" t="s">
        <v>79</v>
      </c>
      <c r="T5" s="143">
        <f ca="1">SUMIFS('Resumen OPERACIONES'!$AH$2:$AH$1006,'Resumen OPERACIONES'!$G$2:$G$1006, "="&amp;S5)</f>
        <v>223.39</v>
      </c>
      <c r="V5" s="132" t="s">
        <v>112</v>
      </c>
      <c r="W5" s="132" t="s">
        <v>126</v>
      </c>
      <c r="X5" s="143">
        <f ca="1">SUMIFS('Resumen OPERACIONES'!$AH$2:$AH$1006,'Resumen OPERACIONES'!$F$2:$F$1006, "="&amp;W5)</f>
        <v>0</v>
      </c>
      <c r="Z5" s="133" t="s">
        <v>79</v>
      </c>
      <c r="AA5" s="154">
        <f ca="1">SUMIFS('OP. ABIERTAS (ACCIONES)'!$M$2:$M$972,'OP. ABIERTAS (ACCIONES)'!$E$2:$E$972, "="&amp;Z5)</f>
        <v>0</v>
      </c>
      <c r="AB5" s="171">
        <f ca="1">IF($G$7,AA5/$G$7,0)</f>
        <v>0</v>
      </c>
      <c r="AC5" s="154">
        <f ca="1">SUMIFS('OP. ABIERTAS (CFD)'!$M$2:$M$972,'OP. ABIERTAS (CFD)'!$E$2:$E$972, "="&amp;Z5)</f>
        <v>0</v>
      </c>
      <c r="AD5" s="171">
        <f ca="1">IF($G$8,AC5/$G$8,0)</f>
        <v>0</v>
      </c>
      <c r="AF5" s="133" t="s">
        <v>112</v>
      </c>
      <c r="AG5" s="133" t="s">
        <v>126</v>
      </c>
      <c r="AH5" s="154">
        <f ca="1">SUMIFS('OP. ABIERTAS (ACCIONES)'!$M$2:$M$972,'OP. ABIERTAS (ACCIONES)'!$D$2:$D$972, "="&amp;AG5)</f>
        <v>0</v>
      </c>
      <c r="AI5" s="171">
        <f ca="1">IF($G$7,AH5/$G$7,0)</f>
        <v>0</v>
      </c>
      <c r="AJ5" s="154">
        <f ca="1">SUMIFS('OP. ABIERTAS (CFD)'!$M$2:$M$972,'OP. ABIERTAS (CFD)'!$D$2:$D$972, "="&amp;AG5)</f>
        <v>0</v>
      </c>
      <c r="AK5" s="171">
        <f ca="1">IF($G$8,AJ5/$G$8,0)</f>
        <v>0</v>
      </c>
    </row>
    <row r="6" spans="1:37" ht="15.75" x14ac:dyDescent="0.25">
      <c r="A6" s="79" t="s">
        <v>59</v>
      </c>
      <c r="B6" s="80"/>
      <c r="C6" s="81"/>
      <c r="D6" s="197">
        <f ca="1">SUM(E7:E8)</f>
        <v>0</v>
      </c>
      <c r="E6" s="83"/>
      <c r="F6" s="81" t="s">
        <v>60</v>
      </c>
      <c r="G6" s="144">
        <f ca="1">(G7+G8)</f>
        <v>0</v>
      </c>
      <c r="I6" s="129">
        <v>44593</v>
      </c>
      <c r="J6" s="129">
        <v>44620</v>
      </c>
      <c r="K6" s="142">
        <f ca="1">SUMIFS('Resumen OPERACIONES'!$AH$2:$AH$1006,'Resumen OPERACIONES'!$S$2:$S$1006,"&gt;="&amp;I6,'Resumen OPERACIONES'!$S$2:$S$1006,"&lt;="&amp;J6,'Resumen OPERACIONES'!$AH$2:$AH$1006,"&gt;0")</f>
        <v>0</v>
      </c>
      <c r="L6" s="142">
        <f ca="1">SUMIFS('Resumen OPERACIONES'!$AH$2:$AH$1006,'Resumen OPERACIONES'!$S$2:$S$1006,"&gt;="&amp;I6,'Resumen OPERACIONES'!$S$2:$S$1006,"&lt;="&amp;J6,'Resumen OPERACIONES'!$AH$2:$AH$1006,"&lt;0")</f>
        <v>0</v>
      </c>
      <c r="M6" s="142">
        <f t="shared" ref="M6:M16" ca="1" si="3">(K6+L6)</f>
        <v>0</v>
      </c>
      <c r="N6" s="123"/>
      <c r="O6" s="131">
        <f ca="1">COUNTIFS('Resumen OPERACIONES'!$AH$2:$AH$1006,"&gt;0",'Resumen OPERACIONES'!$S$2:$S$1006,"&gt;="&amp;I6,'Resumen OPERACIONES'!$S$2:$S$1006,"&lt;="&amp;J6)</f>
        <v>0</v>
      </c>
      <c r="P6" s="131">
        <f ca="1">COUNTIFS('Resumen OPERACIONES'!$AH$2:$AH$1006,"&lt;0",'Resumen OPERACIONES'!$S$2:$S$1006,"&gt;="&amp;I6,'Resumen OPERACIONES'!$S$2:$S$1006,"&lt;="&amp;J6)</f>
        <v>0</v>
      </c>
      <c r="Q6" s="131">
        <f t="shared" ref="Q6:Q16" ca="1" si="4">(O6+P6)</f>
        <v>0</v>
      </c>
      <c r="S6" s="132" t="s">
        <v>80</v>
      </c>
      <c r="T6" s="143">
        <f ca="1">SUMIFS('Resumen OPERACIONES'!$AH$2:$AH$1006,'Resumen OPERACIONES'!$G$2:$G$1006, "="&amp;S6)</f>
        <v>0</v>
      </c>
      <c r="V6" s="132" t="s">
        <v>113</v>
      </c>
      <c r="W6" s="132" t="s">
        <v>127</v>
      </c>
      <c r="X6" s="143">
        <f ca="1">SUMIFS('Resumen OPERACIONES'!$AH$2:$AH$1006,'Resumen OPERACIONES'!$F$2:$F$1006, "="&amp;W6)</f>
        <v>0</v>
      </c>
      <c r="Z6" s="133" t="s">
        <v>80</v>
      </c>
      <c r="AA6" s="154">
        <f ca="1">SUMIFS('OP. ABIERTAS (ACCIONES)'!$M$2:$M$972,'OP. ABIERTAS (ACCIONES)'!$E$2:$E$972, "="&amp;Z6)</f>
        <v>0</v>
      </c>
      <c r="AB6" s="171">
        <f ca="1">IF($G$7,AA6/$G$7,0)</f>
        <v>0</v>
      </c>
      <c r="AC6" s="154">
        <f ca="1">SUMIFS('OP. ABIERTAS (CFD)'!$M$2:$M$972,'OP. ABIERTAS (CFD)'!$E$2:$E$972, "="&amp;Z6)</f>
        <v>0</v>
      </c>
      <c r="AD6" s="171">
        <f t="shared" ref="AD6:AD16" ca="1" si="5">IF($G$8,AC6/$G$8,0)</f>
        <v>0</v>
      </c>
      <c r="AF6" s="133" t="s">
        <v>113</v>
      </c>
      <c r="AG6" s="133" t="s">
        <v>127</v>
      </c>
      <c r="AH6" s="154">
        <f ca="1">SUMIFS('OP. ABIERTAS (ACCIONES)'!$M$2:$M$972,'OP. ABIERTAS (ACCIONES)'!$D$2:$D$972, "="&amp;AG6)</f>
        <v>0</v>
      </c>
      <c r="AI6" s="171">
        <f t="shared" ref="AI6:AI52" ca="1" si="6">IF($G$7,AH6/$G$7,0)</f>
        <v>0</v>
      </c>
      <c r="AJ6" s="154">
        <f ca="1">SUMIFS('OP. ABIERTAS (CFD)'!$M$2:$M$972,'OP. ABIERTAS (CFD)'!$D$2:$D$972, "="&amp;AG6)</f>
        <v>0</v>
      </c>
      <c r="AK6" s="171">
        <f t="shared" ref="AK6:AK52" ca="1" si="7">IF($G$8,AJ6/$G$8,0)</f>
        <v>0</v>
      </c>
    </row>
    <row r="7" spans="1:37" ht="15.75" x14ac:dyDescent="0.25">
      <c r="A7" s="85"/>
      <c r="B7" s="86"/>
      <c r="C7" s="87" t="s">
        <v>224</v>
      </c>
      <c r="D7" s="68"/>
      <c r="E7" s="100">
        <f ca="1">(G7/(G4+G21))</f>
        <v>0</v>
      </c>
      <c r="F7" s="88"/>
      <c r="G7" s="145">
        <f ca="1">SUMIF('OP. ABIERTAS (ACCIONES)'!T2:T50972, "&gt;0",'OP. ABIERTAS (ACCIONES)'!U2:U972)</f>
        <v>0</v>
      </c>
      <c r="I7" s="129">
        <v>44621</v>
      </c>
      <c r="J7" s="129">
        <v>44651</v>
      </c>
      <c r="K7" s="142">
        <f ca="1">SUMIFS('Resumen OPERACIONES'!$AH$2:$AH$1006,'Resumen OPERACIONES'!$S$2:$S$1006,"&gt;="&amp;I7,'Resumen OPERACIONES'!$S$2:$S$1006,"&lt;="&amp;J7,'Resumen OPERACIONES'!$AH$2:$AH$1006,"&gt;0")</f>
        <v>288.42500000000109</v>
      </c>
      <c r="L7" s="142">
        <f ca="1">SUMIFS('Resumen OPERACIONES'!$AH$2:$AH$1006,'Resumen OPERACIONES'!$S$2:$S$1006,"&gt;="&amp;I7,'Resumen OPERACIONES'!$S$2:$S$1006,"&lt;="&amp;J7,'Resumen OPERACIONES'!$AH$2:$AH$1006,"&lt;0")</f>
        <v>0</v>
      </c>
      <c r="M7" s="142">
        <f t="shared" ca="1" si="3"/>
        <v>288.42500000000109</v>
      </c>
      <c r="N7" s="123"/>
      <c r="O7" s="131">
        <f ca="1">COUNTIFS('Resumen OPERACIONES'!$AH$2:$AH$1006,"&gt;0",'Resumen OPERACIONES'!$S$2:$S$1006,"&gt;="&amp;I7,'Resumen OPERACIONES'!$S$2:$S$1006,"&lt;="&amp;J7)</f>
        <v>4</v>
      </c>
      <c r="P7" s="131">
        <f ca="1">COUNTIFS('Resumen OPERACIONES'!$AH$2:$AH$1006,"&lt;0",'Resumen OPERACIONES'!$S$2:$S$1006,"&gt;="&amp;I7,'Resumen OPERACIONES'!$S$2:$S$1006,"&lt;="&amp;J7)</f>
        <v>0</v>
      </c>
      <c r="Q7" s="131">
        <f t="shared" ca="1" si="4"/>
        <v>4</v>
      </c>
      <c r="S7" s="132" t="s">
        <v>81</v>
      </c>
      <c r="T7" s="143">
        <f ca="1">SUMIFS('Resumen OPERACIONES'!$AH$2:$AH$1006,'Resumen OPERACIONES'!$G$2:$G$1006, "="&amp;S7)</f>
        <v>0</v>
      </c>
      <c r="V7" s="132" t="s">
        <v>114</v>
      </c>
      <c r="W7" s="132" t="s">
        <v>128</v>
      </c>
      <c r="X7" s="143">
        <f ca="1">SUMIFS('Resumen OPERACIONES'!$AH$2:$AH$1006,'Resumen OPERACIONES'!$F$2:$F$1006, "="&amp;W7)</f>
        <v>0</v>
      </c>
      <c r="Z7" s="133" t="s">
        <v>81</v>
      </c>
      <c r="AA7" s="154">
        <f ca="1">SUMIFS('OP. ABIERTAS (ACCIONES)'!$M$2:$M$972,'OP. ABIERTAS (ACCIONES)'!$E$2:$E$972, "="&amp;Z7)</f>
        <v>0</v>
      </c>
      <c r="AB7" s="171">
        <f t="shared" ref="AB7:AB16" ca="1" si="8">IF($G$7,AA7/$G$7,0)</f>
        <v>0</v>
      </c>
      <c r="AC7" s="154">
        <f ca="1">SUMIFS('OP. ABIERTAS (CFD)'!$M$2:$M$972,'OP. ABIERTAS (CFD)'!$E$2:$E$972, "="&amp;Z7)</f>
        <v>0</v>
      </c>
      <c r="AD7" s="171">
        <f t="shared" ca="1" si="5"/>
        <v>0</v>
      </c>
      <c r="AF7" s="133" t="s">
        <v>114</v>
      </c>
      <c r="AG7" s="133" t="s">
        <v>128</v>
      </c>
      <c r="AH7" s="154">
        <f ca="1">SUMIFS('OP. ABIERTAS (ACCIONES)'!$M$2:$M$972,'OP. ABIERTAS (ACCIONES)'!$D$2:$D$972, "="&amp;AG7)</f>
        <v>0</v>
      </c>
      <c r="AI7" s="171">
        <f t="shared" ca="1" si="6"/>
        <v>0</v>
      </c>
      <c r="AJ7" s="154">
        <f ca="1">SUMIFS('OP. ABIERTAS (CFD)'!$M$2:$M$972,'OP. ABIERTAS (CFD)'!$D$2:$D$972, "="&amp;AG7)</f>
        <v>0</v>
      </c>
      <c r="AK7" s="171">
        <f t="shared" ca="1" si="7"/>
        <v>0</v>
      </c>
    </row>
    <row r="8" spans="1:37" ht="15.75" x14ac:dyDescent="0.25">
      <c r="A8" s="89"/>
      <c r="B8" s="90"/>
      <c r="C8" s="91" t="s">
        <v>223</v>
      </c>
      <c r="D8" s="92"/>
      <c r="E8" s="103">
        <f ca="1">(G8/(G4+G21))</f>
        <v>0</v>
      </c>
      <c r="F8" s="93"/>
      <c r="G8" s="146">
        <f ca="1">SUMIF('OP. ABIERTAS (CFD)'!T2:T50972, "&gt;0",'OP. ABIERTAS (CFD)'!U2:U972)</f>
        <v>0</v>
      </c>
      <c r="I8" s="129">
        <v>44652</v>
      </c>
      <c r="J8" s="129">
        <v>44681</v>
      </c>
      <c r="K8" s="142">
        <f ca="1">SUMIFS('Resumen OPERACIONES'!$AH$2:$AH$1006,'Resumen OPERACIONES'!$S$2:$S$1006,"&gt;="&amp;I8,'Resumen OPERACIONES'!$S$2:$S$1006,"&lt;="&amp;J8,'Resumen OPERACIONES'!$AH$2:$AH$1006,"&gt;0")</f>
        <v>392.78999999999888</v>
      </c>
      <c r="L8" s="142">
        <f ca="1">SUMIFS('Resumen OPERACIONES'!$AH$2:$AH$1006,'Resumen OPERACIONES'!$S$2:$S$1006,"&gt;="&amp;I8,'Resumen OPERACIONES'!$S$2:$S$1006,"&lt;="&amp;J8,'Resumen OPERACIONES'!$AH$2:$AH$1006,"&lt;0")</f>
        <v>0</v>
      </c>
      <c r="M8" s="142">
        <f t="shared" ca="1" si="3"/>
        <v>392.78999999999888</v>
      </c>
      <c r="N8" s="123"/>
      <c r="O8" s="131">
        <f ca="1">COUNTIFS('Resumen OPERACIONES'!$AH$2:$AH$1006,"&gt;0",'Resumen OPERACIONES'!$S$2:$S$1006,"&gt;="&amp;I8,'Resumen OPERACIONES'!$S$2:$S$1006,"&lt;="&amp;J8)</f>
        <v>2</v>
      </c>
      <c r="P8" s="131">
        <f ca="1">COUNTIFS('Resumen OPERACIONES'!$AH$2:$AH$1006,"&lt;0",'Resumen OPERACIONES'!$S$2:$S$1006,"&gt;="&amp;I8,'Resumen OPERACIONES'!$S$2:$S$1006,"&lt;="&amp;J8)</f>
        <v>0</v>
      </c>
      <c r="Q8" s="131">
        <f t="shared" ca="1" si="4"/>
        <v>2</v>
      </c>
      <c r="S8" s="132" t="s">
        <v>82</v>
      </c>
      <c r="T8" s="143">
        <f ca="1">SUMIFS('Resumen OPERACIONES'!$AH$2:$AH$1006,'Resumen OPERACIONES'!$G$2:$G$1006, "="&amp;S8)</f>
        <v>-49.66599999999957</v>
      </c>
      <c r="V8" s="132" t="s">
        <v>163</v>
      </c>
      <c r="W8" s="132" t="s">
        <v>102</v>
      </c>
      <c r="X8" s="143">
        <f ca="1">SUMIFS('Resumen OPERACIONES'!$AH$2:$AH$1006,'Resumen OPERACIONES'!$F$2:$F$1006, "="&amp;W8)</f>
        <v>127.92000000000007</v>
      </c>
      <c r="Z8" s="133" t="s">
        <v>82</v>
      </c>
      <c r="AA8" s="154">
        <f ca="1">SUMIFS('OP. ABIERTAS (ACCIONES)'!$M$2:$M$972,'OP. ABIERTAS (ACCIONES)'!$E$2:$E$972, "="&amp;Z8)</f>
        <v>0</v>
      </c>
      <c r="AB8" s="171">
        <f t="shared" ca="1" si="8"/>
        <v>0</v>
      </c>
      <c r="AC8" s="154">
        <f ca="1">SUMIFS('OP. ABIERTAS (CFD)'!$M$2:$M$972,'OP. ABIERTAS (CFD)'!$E$2:$E$972, "="&amp;Z8)</f>
        <v>0</v>
      </c>
      <c r="AD8" s="171">
        <f t="shared" ca="1" si="5"/>
        <v>0</v>
      </c>
      <c r="AF8" s="133" t="s">
        <v>163</v>
      </c>
      <c r="AG8" s="133" t="s">
        <v>102</v>
      </c>
      <c r="AH8" s="154">
        <f ca="1">SUMIFS('OP. ABIERTAS (ACCIONES)'!$M$2:$M$972,'OP. ABIERTAS (ACCIONES)'!$D$2:$D$972, "="&amp;AG8)</f>
        <v>0</v>
      </c>
      <c r="AI8" s="171">
        <f t="shared" ca="1" si="6"/>
        <v>0</v>
      </c>
      <c r="AJ8" s="154">
        <f ca="1">SUMIFS('OP. ABIERTAS (CFD)'!$M$2:$M$972,'OP. ABIERTAS (CFD)'!$D$2:$D$972, "="&amp;AG8)</f>
        <v>0</v>
      </c>
      <c r="AK8" s="171">
        <f t="shared" ca="1" si="7"/>
        <v>0</v>
      </c>
    </row>
    <row r="9" spans="1:37" ht="15" customHeight="1" x14ac:dyDescent="0.25">
      <c r="A9" s="86"/>
      <c r="B9" s="86"/>
      <c r="C9" s="88"/>
      <c r="D9" s="68"/>
      <c r="E9" s="77"/>
      <c r="F9" s="88"/>
      <c r="G9" s="94"/>
      <c r="I9" s="129">
        <v>44682</v>
      </c>
      <c r="J9" s="129">
        <v>44712</v>
      </c>
      <c r="K9" s="142">
        <f ca="1">SUMIFS('Resumen OPERACIONES'!$AH$2:$AH$1006,'Resumen OPERACIONES'!$S$2:$S$1006,"&gt;="&amp;I9,'Resumen OPERACIONES'!$S$2:$S$1006,"&lt;="&amp;J9,'Resumen OPERACIONES'!$AH$2:$AH$1006,"&gt;0")</f>
        <v>790.68399999999929</v>
      </c>
      <c r="L9" s="142">
        <f ca="1">SUMIFS('Resumen OPERACIONES'!$AH$2:$AH$1006,'Resumen OPERACIONES'!$S$2:$S$1006,"&gt;="&amp;I9,'Resumen OPERACIONES'!$S$2:$S$1006,"&lt;="&amp;J9,'Resumen OPERACIONES'!$AH$2:$AH$1006,"&lt;0")</f>
        <v>-479.62</v>
      </c>
      <c r="M9" s="142">
        <f t="shared" ca="1" si="3"/>
        <v>311.06399999999928</v>
      </c>
      <c r="N9" s="123"/>
      <c r="O9" s="131">
        <f ca="1">COUNTIFS('Resumen OPERACIONES'!$AH$2:$AH$1006,"&gt;0",'Resumen OPERACIONES'!$S$2:$S$1006,"&gt;="&amp;I9,'Resumen OPERACIONES'!$S$2:$S$1006,"&lt;="&amp;J9)</f>
        <v>5</v>
      </c>
      <c r="P9" s="131">
        <f ca="1">COUNTIFS('Resumen OPERACIONES'!$AH$2:$AH$1006,"&lt;0",'Resumen OPERACIONES'!$S$2:$S$1006,"&gt;="&amp;I9,'Resumen OPERACIONES'!$S$2:$S$1006,"&lt;="&amp;J9)</f>
        <v>1</v>
      </c>
      <c r="Q9" s="131">
        <f t="shared" ca="1" si="4"/>
        <v>6</v>
      </c>
      <c r="S9" s="132" t="s">
        <v>83</v>
      </c>
      <c r="T9" s="143">
        <f ca="1">SUMIFS('Resumen OPERACIONES'!$AH$2:$AH$1006,'Resumen OPERACIONES'!$G$2:$G$1006, "="&amp;S9)</f>
        <v>338.51999999999924</v>
      </c>
      <c r="V9" s="132" t="s">
        <v>115</v>
      </c>
      <c r="W9" s="132" t="s">
        <v>129</v>
      </c>
      <c r="X9" s="143">
        <f ca="1">SUMIFS('Resumen OPERACIONES'!$AH$2:$AH$1006,'Resumen OPERACIONES'!$F$2:$F$1006, "="&amp;W9)</f>
        <v>0</v>
      </c>
      <c r="Z9" s="133" t="s">
        <v>83</v>
      </c>
      <c r="AA9" s="154">
        <f ca="1">SUMIFS('OP. ABIERTAS (ACCIONES)'!$M$2:$M$972,'OP. ABIERTAS (ACCIONES)'!$E$2:$E$972, "="&amp;Z9)</f>
        <v>0</v>
      </c>
      <c r="AB9" s="171">
        <f t="shared" ca="1" si="8"/>
        <v>0</v>
      </c>
      <c r="AC9" s="154">
        <f ca="1">SUMIFS('OP. ABIERTAS (CFD)'!$M$2:$M$972,'OP. ABIERTAS (CFD)'!$E$2:$E$972, "="&amp;Z9)</f>
        <v>0</v>
      </c>
      <c r="AD9" s="171">
        <f t="shared" ca="1" si="5"/>
        <v>0</v>
      </c>
      <c r="AF9" s="133" t="s">
        <v>115</v>
      </c>
      <c r="AG9" s="133" t="s">
        <v>129</v>
      </c>
      <c r="AH9" s="154">
        <f ca="1">SUMIFS('OP. ABIERTAS (ACCIONES)'!$M$2:$M$972,'OP. ABIERTAS (ACCIONES)'!$D$2:$D$972, "="&amp;AG9)</f>
        <v>0</v>
      </c>
      <c r="AI9" s="171">
        <f t="shared" ca="1" si="6"/>
        <v>0</v>
      </c>
      <c r="AJ9" s="154">
        <f ca="1">SUMIFS('OP. ABIERTAS (CFD)'!$M$2:$M$972,'OP. ABIERTAS (CFD)'!$D$2:$D$972, "="&amp;AG9)</f>
        <v>0</v>
      </c>
      <c r="AK9" s="171">
        <f t="shared" ca="1" si="7"/>
        <v>0</v>
      </c>
    </row>
    <row r="10" spans="1:37" x14ac:dyDescent="0.25">
      <c r="A10" s="77"/>
      <c r="B10" s="77"/>
      <c r="C10" s="68"/>
      <c r="D10" s="68"/>
      <c r="E10" s="68"/>
      <c r="F10" s="78"/>
      <c r="G10" s="68"/>
      <c r="I10" s="129">
        <v>44713</v>
      </c>
      <c r="J10" s="129">
        <v>44742</v>
      </c>
      <c r="K10" s="142">
        <f ca="1">SUMIFS('Resumen OPERACIONES'!$AH$2:$AH$1006,'Resumen OPERACIONES'!$S$2:$S$1006,"&gt;="&amp;I10,'Resumen OPERACIONES'!$S$2:$S$1006,"&lt;="&amp;J10,'Resumen OPERACIONES'!$AH$2:$AH$1006,"&gt;0")</f>
        <v>0</v>
      </c>
      <c r="L10" s="142">
        <f ca="1">SUMIFS('Resumen OPERACIONES'!$AH$2:$AH$1006,'Resumen OPERACIONES'!$S$2:$S$1006,"&gt;="&amp;I10,'Resumen OPERACIONES'!$S$2:$S$1006,"&lt;="&amp;J10,'Resumen OPERACIONES'!$AH$2:$AH$1006,"&lt;0")</f>
        <v>0</v>
      </c>
      <c r="M10" s="142">
        <f t="shared" ca="1" si="3"/>
        <v>0</v>
      </c>
      <c r="N10" s="123"/>
      <c r="O10" s="131">
        <f ca="1">COUNTIFS('Resumen OPERACIONES'!$AH$2:$AH$1006,"&gt;0",'Resumen OPERACIONES'!$S$2:$S$1006,"&gt;="&amp;I10,'Resumen OPERACIONES'!$S$2:$S$1006,"&lt;="&amp;J10)</f>
        <v>0</v>
      </c>
      <c r="P10" s="131">
        <f ca="1">COUNTIFS('Resumen OPERACIONES'!$AH$2:$AH$1006,"&lt;0",'Resumen OPERACIONES'!$S$2:$S$1006,"&gt;="&amp;I10,'Resumen OPERACIONES'!$S$2:$S$1006,"&lt;="&amp;J10)</f>
        <v>0</v>
      </c>
      <c r="Q10" s="131">
        <f t="shared" ca="1" si="4"/>
        <v>0</v>
      </c>
      <c r="S10" s="132" t="s">
        <v>84</v>
      </c>
      <c r="T10" s="143">
        <f ca="1">SUMIFS('Resumen OPERACIONES'!$AH$2:$AH$1006,'Resumen OPERACIONES'!$G$2:$G$1006, "="&amp;S10)</f>
        <v>-460.57499999999982</v>
      </c>
      <c r="V10" s="132" t="s">
        <v>116</v>
      </c>
      <c r="W10" s="132" t="s">
        <v>130</v>
      </c>
      <c r="X10" s="143">
        <f ca="1">SUMIFS('Resumen OPERACIONES'!$AH$2:$AH$1006,'Resumen OPERACIONES'!$F$2:$F$1006, "="&amp;W10)</f>
        <v>0</v>
      </c>
      <c r="Z10" s="133" t="s">
        <v>84</v>
      </c>
      <c r="AA10" s="154">
        <f ca="1">SUMIFS('OP. ABIERTAS (ACCIONES)'!$M$2:$M$972,'OP. ABIERTAS (ACCIONES)'!$E$2:$E$972, "="&amp;Z10)</f>
        <v>0</v>
      </c>
      <c r="AB10" s="171">
        <f t="shared" ca="1" si="8"/>
        <v>0</v>
      </c>
      <c r="AC10" s="154">
        <f ca="1">SUMIFS('OP. ABIERTAS (CFD)'!$M$2:$M$972,'OP. ABIERTAS (CFD)'!$E$2:$E$972, "="&amp;Z10)</f>
        <v>0</v>
      </c>
      <c r="AD10" s="171">
        <f t="shared" ca="1" si="5"/>
        <v>0</v>
      </c>
      <c r="AF10" s="133" t="s">
        <v>116</v>
      </c>
      <c r="AG10" s="133" t="s">
        <v>130</v>
      </c>
      <c r="AH10" s="154">
        <f ca="1">SUMIFS('OP. ABIERTAS (ACCIONES)'!$M$2:$M$972,'OP. ABIERTAS (ACCIONES)'!$D$2:$D$972, "="&amp;AG10)</f>
        <v>0</v>
      </c>
      <c r="AI10" s="171">
        <f t="shared" ca="1" si="6"/>
        <v>0</v>
      </c>
      <c r="AJ10" s="154">
        <f ca="1">SUMIFS('OP. ABIERTAS (CFD)'!$M$2:$M$972,'OP. ABIERTAS (CFD)'!$D$2:$D$972, "="&amp;AG10)</f>
        <v>0</v>
      </c>
      <c r="AK10" s="171">
        <f t="shared" ca="1" si="7"/>
        <v>0</v>
      </c>
    </row>
    <row r="11" spans="1:37" ht="15.75" x14ac:dyDescent="0.25">
      <c r="A11" s="198" t="str">
        <f>B11</f>
        <v>INVERSIONES (Neto €)</v>
      </c>
      <c r="B11" s="96" t="s">
        <v>68</v>
      </c>
      <c r="C11" s="82"/>
      <c r="D11" s="97">
        <f ca="1">SUM(E12:E13)</f>
        <v>0</v>
      </c>
      <c r="E11" s="83"/>
      <c r="F11" s="98" t="s">
        <v>61</v>
      </c>
      <c r="G11" s="147">
        <f ca="1">(G12+G13)</f>
        <v>0</v>
      </c>
      <c r="I11" s="129">
        <v>44743</v>
      </c>
      <c r="J11" s="129">
        <v>44773</v>
      </c>
      <c r="K11" s="142">
        <f ca="1">SUMIFS('Resumen OPERACIONES'!$AH$2:$AH$1006,'Resumen OPERACIONES'!$S$2:$S$1006,"&gt;="&amp;I11,'Resumen OPERACIONES'!$S$2:$S$1006,"&lt;="&amp;J11,'Resumen OPERACIONES'!$AH$2:$AH$1006,"&gt;0")</f>
        <v>0</v>
      </c>
      <c r="L11" s="142">
        <f ca="1">SUMIFS('Resumen OPERACIONES'!$AH$2:$AH$1006,'Resumen OPERACIONES'!$S$2:$S$1006,"&gt;="&amp;I11,'Resumen OPERACIONES'!$S$2:$S$1006,"&lt;="&amp;J11,'Resumen OPERACIONES'!$AH$2:$AH$1006,"&lt;0")</f>
        <v>0</v>
      </c>
      <c r="M11" s="142">
        <f t="shared" ca="1" si="3"/>
        <v>0</v>
      </c>
      <c r="N11" s="123"/>
      <c r="O11" s="131">
        <f ca="1">COUNTIFS('Resumen OPERACIONES'!$AH$2:$AH$1006,"&gt;0",'Resumen OPERACIONES'!$S$2:$S$1006,"&gt;="&amp;I11,'Resumen OPERACIONES'!$S$2:$S$1006,"&lt;="&amp;J11)</f>
        <v>0</v>
      </c>
      <c r="P11" s="131">
        <f ca="1">COUNTIFS('Resumen OPERACIONES'!$AH$2:$AH$1006,"&lt;0",'Resumen OPERACIONES'!$S$2:$S$1006,"&gt;="&amp;I11,'Resumen OPERACIONES'!$S$2:$S$1006,"&lt;="&amp;J11)</f>
        <v>0</v>
      </c>
      <c r="Q11" s="131">
        <f t="shared" ca="1" si="4"/>
        <v>0</v>
      </c>
      <c r="S11" s="132" t="s">
        <v>85</v>
      </c>
      <c r="T11" s="143">
        <f ca="1">SUMIFS('Resumen OPERACIONES'!$AH$2:$AH$1006,'Resumen OPERACIONES'!$G$2:$G$1006, "="&amp;S11)</f>
        <v>0</v>
      </c>
      <c r="V11" s="132" t="s">
        <v>116</v>
      </c>
      <c r="W11" s="132" t="s">
        <v>131</v>
      </c>
      <c r="X11" s="143">
        <f ca="1">SUMIFS('Resumen OPERACIONES'!$AH$2:$AH$1006,'Resumen OPERACIONES'!$F$2:$F$1006, "="&amp;W11)</f>
        <v>0</v>
      </c>
      <c r="Z11" s="133" t="s">
        <v>85</v>
      </c>
      <c r="AA11" s="154">
        <f ca="1">SUMIFS('OP. ABIERTAS (ACCIONES)'!$M$2:$M$972,'OP. ABIERTAS (ACCIONES)'!$E$2:$E$972, "="&amp;Z11)</f>
        <v>0</v>
      </c>
      <c r="AB11" s="171">
        <f t="shared" ca="1" si="8"/>
        <v>0</v>
      </c>
      <c r="AC11" s="154">
        <f ca="1">SUMIFS('OP. ABIERTAS (CFD)'!$M$2:$M$972,'OP. ABIERTAS (CFD)'!$E$2:$E$972, "="&amp;Z11)</f>
        <v>0</v>
      </c>
      <c r="AD11" s="171">
        <f t="shared" ca="1" si="5"/>
        <v>0</v>
      </c>
      <c r="AF11" s="133" t="s">
        <v>116</v>
      </c>
      <c r="AG11" s="133" t="s">
        <v>131</v>
      </c>
      <c r="AH11" s="154">
        <f ca="1">SUMIFS('OP. ABIERTAS (ACCIONES)'!$M$2:$M$972,'OP. ABIERTAS (ACCIONES)'!$D$2:$D$972, "="&amp;AG11)</f>
        <v>0</v>
      </c>
      <c r="AI11" s="171">
        <f t="shared" ca="1" si="6"/>
        <v>0</v>
      </c>
      <c r="AJ11" s="154">
        <f ca="1">SUMIFS('OP. ABIERTAS (CFD)'!$M$2:$M$972,'OP. ABIERTAS (CFD)'!$D$2:$D$972, "="&amp;AG11)</f>
        <v>0</v>
      </c>
      <c r="AK11" s="171">
        <f t="shared" ca="1" si="7"/>
        <v>0</v>
      </c>
    </row>
    <row r="12" spans="1:37" ht="15.75" x14ac:dyDescent="0.25">
      <c r="A12" s="95"/>
      <c r="B12" s="99"/>
      <c r="C12" s="87" t="s">
        <v>222</v>
      </c>
      <c r="D12" s="68"/>
      <c r="E12" s="100">
        <f ca="1">IF(G6,G12/G6,0)</f>
        <v>0</v>
      </c>
      <c r="F12" s="101"/>
      <c r="G12" s="148">
        <f ca="1">SUMIF('OP. ABIERTAS (ACCIONES)'!T2:T972, "&gt;0", 'OP. ABIERTAS (ACCIONES)'!M2:M972)</f>
        <v>0</v>
      </c>
      <c r="I12" s="129">
        <v>44774</v>
      </c>
      <c r="J12" s="129">
        <v>44804</v>
      </c>
      <c r="K12" s="142">
        <f ca="1">SUMIFS('Resumen OPERACIONES'!$AH$2:$AH$1006,'Resumen OPERACIONES'!$S$2:$S$1006,"&gt;="&amp;I12,'Resumen OPERACIONES'!$S$2:$S$1006,"&lt;="&amp;J12,'Resumen OPERACIONES'!$AH$2:$AH$1006,"&gt;0")</f>
        <v>0</v>
      </c>
      <c r="L12" s="142">
        <f ca="1">SUMIFS('Resumen OPERACIONES'!$AH$2:$AH$1006,'Resumen OPERACIONES'!$S$2:$S$1006,"&gt;="&amp;I12,'Resumen OPERACIONES'!$S$2:$S$1006,"&lt;="&amp;J12,'Resumen OPERACIONES'!$AH$2:$AH$1006,"&lt;0")</f>
        <v>0</v>
      </c>
      <c r="M12" s="142">
        <f t="shared" ca="1" si="3"/>
        <v>0</v>
      </c>
      <c r="N12" s="123"/>
      <c r="O12" s="131">
        <f ca="1">COUNTIFS('Resumen OPERACIONES'!$AH$2:$AH$1006,"&gt;0",'Resumen OPERACIONES'!$S$2:$S$1006,"&gt;="&amp;I12,'Resumen OPERACIONES'!$S$2:$S$1006,"&lt;="&amp;J12)</f>
        <v>0</v>
      </c>
      <c r="P12" s="131">
        <f ca="1">COUNTIFS('Resumen OPERACIONES'!$AH$2:$AH$1006,"&lt;0",'Resumen OPERACIONES'!$S$2:$S$1006,"&gt;="&amp;I12,'Resumen OPERACIONES'!$S$2:$S$1006,"&lt;="&amp;J12)</f>
        <v>0</v>
      </c>
      <c r="Q12" s="131">
        <f t="shared" ca="1" si="4"/>
        <v>0</v>
      </c>
      <c r="S12" s="132" t="s">
        <v>86</v>
      </c>
      <c r="T12" s="143">
        <f ca="1">SUMIFS('Resumen OPERACIONES'!$AH$2:$AH$1006,'Resumen OPERACIONES'!$G$2:$G$1006, "="&amp;S12)</f>
        <v>0</v>
      </c>
      <c r="V12" s="132" t="s">
        <v>116</v>
      </c>
      <c r="W12" s="132" t="s">
        <v>132</v>
      </c>
      <c r="X12" s="143">
        <f ca="1">SUMIFS('Resumen OPERACIONES'!$AH$2:$AH$1006,'Resumen OPERACIONES'!$F$2:$F$1006, "="&amp;W12)</f>
        <v>0</v>
      </c>
      <c r="Z12" s="133" t="s">
        <v>86</v>
      </c>
      <c r="AA12" s="154">
        <f ca="1">SUMIFS('OP. ABIERTAS (ACCIONES)'!$M$2:$M$972,'OP. ABIERTAS (ACCIONES)'!$E$2:$E$972, "="&amp;Z12)</f>
        <v>0</v>
      </c>
      <c r="AB12" s="171">
        <f t="shared" ca="1" si="8"/>
        <v>0</v>
      </c>
      <c r="AC12" s="154">
        <f ca="1">SUMIFS('OP. ABIERTAS (CFD)'!$M$2:$M$972,'OP. ABIERTAS (CFD)'!$E$2:$E$972, "="&amp;Z12)</f>
        <v>0</v>
      </c>
      <c r="AD12" s="171">
        <f t="shared" ca="1" si="5"/>
        <v>0</v>
      </c>
      <c r="AF12" s="133" t="s">
        <v>116</v>
      </c>
      <c r="AG12" s="133" t="s">
        <v>132</v>
      </c>
      <c r="AH12" s="154">
        <f ca="1">SUMIFS('OP. ABIERTAS (ACCIONES)'!$M$2:$M$972,'OP. ABIERTAS (ACCIONES)'!$D$2:$D$972, "="&amp;AG12)</f>
        <v>0</v>
      </c>
      <c r="AI12" s="171">
        <f t="shared" ca="1" si="6"/>
        <v>0</v>
      </c>
      <c r="AJ12" s="154">
        <f ca="1">SUMIFS('OP. ABIERTAS (CFD)'!$M$2:$M$972,'OP. ABIERTAS (CFD)'!$D$2:$D$972, "="&amp;AG12)</f>
        <v>0</v>
      </c>
      <c r="AK12" s="171">
        <f t="shared" ca="1" si="7"/>
        <v>0</v>
      </c>
    </row>
    <row r="13" spans="1:37" ht="15.75" x14ac:dyDescent="0.25">
      <c r="A13" s="95"/>
      <c r="B13" s="102"/>
      <c r="C13" s="91" t="s">
        <v>223</v>
      </c>
      <c r="D13" s="92"/>
      <c r="E13" s="103">
        <f ca="1">IF(G8,G13/G8,0)</f>
        <v>0</v>
      </c>
      <c r="F13" s="104"/>
      <c r="G13" s="149">
        <f ca="1">SUMIF('OP. ABIERTAS (CFD)'!T2:T972, "&gt;0", 'OP. ABIERTAS (CFD)'!M2:M972)</f>
        <v>0</v>
      </c>
      <c r="I13" s="129">
        <v>44805</v>
      </c>
      <c r="J13" s="129">
        <v>44834</v>
      </c>
      <c r="K13" s="142">
        <f ca="1">SUMIFS('Resumen OPERACIONES'!$AH$2:$AH$1006,'Resumen OPERACIONES'!$S$2:$S$1006,"&gt;="&amp;I13,'Resumen OPERACIONES'!$S$2:$S$1006,"&lt;="&amp;J13,'Resumen OPERACIONES'!$AH$2:$AH$1006,"&gt;0")</f>
        <v>0</v>
      </c>
      <c r="L13" s="142">
        <f ca="1">SUMIFS('Resumen OPERACIONES'!$AH$2:$AH$1006,'Resumen OPERACIONES'!$S$2:$S$1006,"&gt;="&amp;I13,'Resumen OPERACIONES'!$S$2:$S$1006,"&lt;="&amp;J13,'Resumen OPERACIONES'!$AH$2:$AH$1006,"&lt;0")</f>
        <v>0</v>
      </c>
      <c r="M13" s="142">
        <f t="shared" ca="1" si="3"/>
        <v>0</v>
      </c>
      <c r="N13" s="123"/>
      <c r="O13" s="131">
        <f ca="1">COUNTIFS('Resumen OPERACIONES'!$AH$2:$AH$1006,"&gt;0",'Resumen OPERACIONES'!$S$2:$S$1006,"&gt;="&amp;I13,'Resumen OPERACIONES'!$S$2:$S$1006,"&lt;="&amp;J13)</f>
        <v>0</v>
      </c>
      <c r="P13" s="131">
        <f ca="1">COUNTIFS('Resumen OPERACIONES'!$AH$2:$AH$1006,"&lt;0",'Resumen OPERACIONES'!$S$2:$S$1006,"&gt;="&amp;I13,'Resumen OPERACIONES'!$S$2:$S$1006,"&lt;="&amp;J13)</f>
        <v>0</v>
      </c>
      <c r="Q13" s="131">
        <f t="shared" ca="1" si="4"/>
        <v>0</v>
      </c>
      <c r="S13" s="132" t="s">
        <v>87</v>
      </c>
      <c r="T13" s="143">
        <f ca="1">SUMIFS('Resumen OPERACIONES'!$AH$2:$AH$1006,'Resumen OPERACIONES'!$G$2:$G$1006, "="&amp;S13)</f>
        <v>583.82999999999879</v>
      </c>
      <c r="V13" s="132" t="s">
        <v>117</v>
      </c>
      <c r="W13" s="132" t="s">
        <v>133</v>
      </c>
      <c r="X13" s="143">
        <f ca="1">SUMIFS('Resumen OPERACIONES'!$AH$2:$AH$1006,'Resumen OPERACIONES'!$F$2:$F$1006, "="&amp;W13)</f>
        <v>0</v>
      </c>
      <c r="Z13" s="133" t="s">
        <v>87</v>
      </c>
      <c r="AA13" s="154">
        <f ca="1">SUMIFS('OP. ABIERTAS (ACCIONES)'!$M$2:$M$972,'OP. ABIERTAS (ACCIONES)'!$E$2:$E$972, "="&amp;Z13)</f>
        <v>0</v>
      </c>
      <c r="AB13" s="171">
        <f t="shared" ca="1" si="8"/>
        <v>0</v>
      </c>
      <c r="AC13" s="154">
        <f ca="1">SUMIFS('OP. ABIERTAS (CFD)'!$M$2:$M$972,'OP. ABIERTAS (CFD)'!$E$2:$E$972, "="&amp;Z13)</f>
        <v>0</v>
      </c>
      <c r="AD13" s="171">
        <f t="shared" ca="1" si="5"/>
        <v>0</v>
      </c>
      <c r="AF13" s="133" t="s">
        <v>117</v>
      </c>
      <c r="AG13" s="133" t="s">
        <v>133</v>
      </c>
      <c r="AH13" s="154">
        <f ca="1">SUMIFS('OP. ABIERTAS (ACCIONES)'!$M$2:$M$972,'OP. ABIERTAS (ACCIONES)'!$D$2:$D$972, "="&amp;AG13)</f>
        <v>0</v>
      </c>
      <c r="AI13" s="171">
        <f t="shared" ca="1" si="6"/>
        <v>0</v>
      </c>
      <c r="AJ13" s="154">
        <f ca="1">SUMIFS('OP. ABIERTAS (CFD)'!$M$2:$M$972,'OP. ABIERTAS (CFD)'!$D$2:$D$972, "="&amp;AG13)</f>
        <v>0</v>
      </c>
      <c r="AK13" s="171">
        <f t="shared" ca="1" si="7"/>
        <v>0</v>
      </c>
    </row>
    <row r="14" spans="1:37" ht="15" customHeight="1" x14ac:dyDescent="0.25">
      <c r="A14" s="95"/>
      <c r="B14" s="105"/>
      <c r="C14" s="68"/>
      <c r="D14" s="100"/>
      <c r="E14" s="77"/>
      <c r="F14" s="101"/>
      <c r="G14" s="106"/>
      <c r="I14" s="129">
        <v>44835</v>
      </c>
      <c r="J14" s="129">
        <v>44865</v>
      </c>
      <c r="K14" s="142">
        <f ca="1">SUMIFS('Resumen OPERACIONES'!$AH$2:$AH$1006,'Resumen OPERACIONES'!$S$2:$S$1006,"&gt;="&amp;I14,'Resumen OPERACIONES'!$S$2:$S$1006,"&lt;="&amp;J14,'Resumen OPERACIONES'!$AH$2:$AH$1006,"&gt;0")</f>
        <v>0</v>
      </c>
      <c r="L14" s="142">
        <f ca="1">SUMIFS('Resumen OPERACIONES'!$AH$2:$AH$1006,'Resumen OPERACIONES'!$S$2:$S$1006,"&gt;="&amp;I14,'Resumen OPERACIONES'!$S$2:$S$1006,"&lt;="&amp;J14,'Resumen OPERACIONES'!$AH$2:$AH$1006,"&lt;0")</f>
        <v>0</v>
      </c>
      <c r="M14" s="142">
        <f t="shared" ca="1" si="3"/>
        <v>0</v>
      </c>
      <c r="N14" s="123"/>
      <c r="O14" s="131">
        <f ca="1">COUNTIFS('Resumen OPERACIONES'!$AH$2:$AH$1006,"&gt;0",'Resumen OPERACIONES'!$S$2:$S$1006,"&gt;="&amp;I14,'Resumen OPERACIONES'!$S$2:$S$1006,"&lt;="&amp;J14)</f>
        <v>0</v>
      </c>
      <c r="P14" s="131">
        <f ca="1">COUNTIFS('Resumen OPERACIONES'!$AH$2:$AH$1006,"&lt;0",'Resumen OPERACIONES'!$S$2:$S$1006,"&gt;="&amp;I14,'Resumen OPERACIONES'!$S$2:$S$1006,"&lt;="&amp;J14)</f>
        <v>0</v>
      </c>
      <c r="Q14" s="131">
        <f t="shared" ca="1" si="4"/>
        <v>0</v>
      </c>
      <c r="S14" s="132" t="s">
        <v>88</v>
      </c>
      <c r="T14" s="143">
        <f ca="1">SUMIFS('Resumen OPERACIONES'!$AH$2:$AH$1006,'Resumen OPERACIONES'!$G$2:$G$1006, "="&amp;S14)</f>
        <v>0</v>
      </c>
      <c r="V14" s="132" t="s">
        <v>118</v>
      </c>
      <c r="W14" s="132" t="s">
        <v>134</v>
      </c>
      <c r="X14" s="143">
        <f ca="1">SUMIFS('Resumen OPERACIONES'!$AH$2:$AH$1006,'Resumen OPERACIONES'!$F$2:$F$1006, "="&amp;W14)</f>
        <v>0</v>
      </c>
      <c r="Z14" s="133" t="s">
        <v>88</v>
      </c>
      <c r="AA14" s="154">
        <f ca="1">SUMIFS('OP. ABIERTAS (ACCIONES)'!$M$2:$M$972,'OP. ABIERTAS (ACCIONES)'!$E$2:$E$972, "="&amp;Z14)</f>
        <v>0</v>
      </c>
      <c r="AB14" s="171">
        <f t="shared" ca="1" si="8"/>
        <v>0</v>
      </c>
      <c r="AC14" s="154">
        <f ca="1">SUMIFS('OP. ABIERTAS (CFD)'!$M$2:$M$972,'OP. ABIERTAS (CFD)'!$E$2:$E$972, "="&amp;Z14)</f>
        <v>0</v>
      </c>
      <c r="AD14" s="171">
        <f t="shared" ca="1" si="5"/>
        <v>0</v>
      </c>
      <c r="AF14" s="133" t="s">
        <v>118</v>
      </c>
      <c r="AG14" s="133" t="s">
        <v>134</v>
      </c>
      <c r="AH14" s="154">
        <f ca="1">SUMIFS('OP. ABIERTAS (ACCIONES)'!$M$2:$M$972,'OP. ABIERTAS (ACCIONES)'!$D$2:$D$972, "="&amp;AG14)</f>
        <v>0</v>
      </c>
      <c r="AI14" s="171">
        <f t="shared" ca="1" si="6"/>
        <v>0</v>
      </c>
      <c r="AJ14" s="154">
        <f ca="1">SUMIFS('OP. ABIERTAS (CFD)'!$M$2:$M$972,'OP. ABIERTAS (CFD)'!$D$2:$D$972, "="&amp;AG14)</f>
        <v>0</v>
      </c>
      <c r="AK14" s="171">
        <f t="shared" ca="1" si="7"/>
        <v>0</v>
      </c>
    </row>
    <row r="15" spans="1:37" ht="15" customHeight="1" x14ac:dyDescent="0.25">
      <c r="A15" s="95"/>
      <c r="B15" s="105"/>
      <c r="C15" s="68"/>
      <c r="D15" s="107"/>
      <c r="E15" s="77"/>
      <c r="F15" s="108"/>
      <c r="G15" s="109"/>
      <c r="I15" s="129">
        <v>44866</v>
      </c>
      <c r="J15" s="129">
        <v>44895</v>
      </c>
      <c r="K15" s="142">
        <f ca="1">SUMIFS('Resumen OPERACIONES'!$AH$2:$AH$1006,'Resumen OPERACIONES'!$S$2:$S$1006,"&gt;="&amp;I15,'Resumen OPERACIONES'!$S$2:$S$1006,"&lt;="&amp;J15,'Resumen OPERACIONES'!$AH$2:$AH$1006,"&gt;0")</f>
        <v>0</v>
      </c>
      <c r="L15" s="142">
        <f ca="1">SUMIFS('Resumen OPERACIONES'!$AH$2:$AH$1006,'Resumen OPERACIONES'!$S$2:$S$1006,"&gt;="&amp;I15,'Resumen OPERACIONES'!$S$2:$S$1006,"&lt;="&amp;J15,'Resumen OPERACIONES'!$AH$2:$AH$1006,"&lt;0")</f>
        <v>0</v>
      </c>
      <c r="M15" s="142">
        <f t="shared" ca="1" si="3"/>
        <v>0</v>
      </c>
      <c r="N15" s="123"/>
      <c r="O15" s="131">
        <f ca="1">COUNTIFS('Resumen OPERACIONES'!$AH$2:$AH$1006,"&gt;0",'Resumen OPERACIONES'!$S$2:$S$1006,"&gt;="&amp;I15,'Resumen OPERACIONES'!$S$2:$S$1006,"&lt;="&amp;J15)</f>
        <v>0</v>
      </c>
      <c r="P15" s="131">
        <f ca="1">COUNTIFS('Resumen OPERACIONES'!$AH$2:$AH$1006,"&lt;0",'Resumen OPERACIONES'!$S$2:$S$1006,"&gt;="&amp;I15,'Resumen OPERACIONES'!$S$2:$S$1006,"&lt;="&amp;J15)</f>
        <v>0</v>
      </c>
      <c r="Q15" s="131">
        <f t="shared" ca="1" si="4"/>
        <v>0</v>
      </c>
      <c r="S15" s="132" t="s">
        <v>89</v>
      </c>
      <c r="T15" s="143">
        <f ca="1">SUMIFS('Resumen OPERACIONES'!$AH$2:$AH$1006,'Resumen OPERACIONES'!$G$2:$G$1006, "="&amp;S15)</f>
        <v>65.880000000000564</v>
      </c>
      <c r="V15" s="132" t="s">
        <v>164</v>
      </c>
      <c r="W15" s="132" t="s">
        <v>135</v>
      </c>
      <c r="X15" s="143">
        <f ca="1">SUMIFS('Resumen OPERACIONES'!$AH$2:$AH$1006,'Resumen OPERACIONES'!$F$2:$F$1006, "="&amp;W15)</f>
        <v>0</v>
      </c>
      <c r="Z15" s="133" t="s">
        <v>89</v>
      </c>
      <c r="AA15" s="154">
        <f ca="1">SUMIFS('OP. ABIERTAS (ACCIONES)'!$M$2:$M$972,'OP. ABIERTAS (ACCIONES)'!$E$2:$E$972, "="&amp;Z15)</f>
        <v>0</v>
      </c>
      <c r="AB15" s="171">
        <f t="shared" ca="1" si="8"/>
        <v>0</v>
      </c>
      <c r="AC15" s="154">
        <f ca="1">SUMIFS('OP. ABIERTAS (CFD)'!$M$2:$M$972,'OP. ABIERTAS (CFD)'!$E$2:$E$972, "="&amp;Z15)</f>
        <v>0</v>
      </c>
      <c r="AD15" s="171">
        <f t="shared" ca="1" si="5"/>
        <v>0</v>
      </c>
      <c r="AF15" s="133" t="s">
        <v>164</v>
      </c>
      <c r="AG15" s="133" t="s">
        <v>135</v>
      </c>
      <c r="AH15" s="154">
        <f ca="1">SUMIFS('OP. ABIERTAS (ACCIONES)'!$M$2:$M$972,'OP. ABIERTAS (ACCIONES)'!$D$2:$D$972, "="&amp;AG15)</f>
        <v>0</v>
      </c>
      <c r="AI15" s="171">
        <f t="shared" ca="1" si="6"/>
        <v>0</v>
      </c>
      <c r="AJ15" s="154">
        <f ca="1">SUMIFS('OP. ABIERTAS (CFD)'!$M$2:$M$972,'OP. ABIERTAS (CFD)'!$D$2:$D$972, "="&amp;AG15)</f>
        <v>0</v>
      </c>
      <c r="AK15" s="171">
        <f t="shared" ca="1" si="7"/>
        <v>0</v>
      </c>
    </row>
    <row r="16" spans="1:37" ht="15.75" x14ac:dyDescent="0.25">
      <c r="A16" s="77"/>
      <c r="B16" s="110" t="s">
        <v>69</v>
      </c>
      <c r="C16" s="111"/>
      <c r="D16" s="112">
        <f ca="1">SUM(E17:E18)</f>
        <v>0</v>
      </c>
      <c r="E16" s="111"/>
      <c r="F16" s="113"/>
      <c r="G16" s="150">
        <f ca="1">(G17+G18)</f>
        <v>0</v>
      </c>
      <c r="I16" s="129">
        <v>44896</v>
      </c>
      <c r="J16" s="129">
        <v>44926</v>
      </c>
      <c r="K16" s="142">
        <f ca="1">SUMIFS('Resumen OPERACIONES'!$AH$2:$AH$1006,'Resumen OPERACIONES'!$S$2:$S$1006,"&gt;="&amp;I16,'Resumen OPERACIONES'!$S$2:$S$1006,"&lt;="&amp;J16,'Resumen OPERACIONES'!$AH$2:$AH$1006,"&gt;0")</f>
        <v>0</v>
      </c>
      <c r="L16" s="142">
        <f ca="1">SUMIFS('Resumen OPERACIONES'!$AH$2:$AH$1006,'Resumen OPERACIONES'!$S$2:$S$1006,"&gt;="&amp;I16,'Resumen OPERACIONES'!$S$2:$S$1006,"&lt;="&amp;J16,'Resumen OPERACIONES'!$AH$2:$AH$1006,"&lt;0")</f>
        <v>0</v>
      </c>
      <c r="M16" s="142">
        <f t="shared" ca="1" si="3"/>
        <v>0</v>
      </c>
      <c r="N16" s="123"/>
      <c r="O16" s="131">
        <f ca="1">COUNTIFS('Resumen OPERACIONES'!$AH$2:$AH$1006,"&gt;0",'Resumen OPERACIONES'!$S$2:$S$1006,"&gt;="&amp;I16,'Resumen OPERACIONES'!$S$2:$S$1006,"&lt;="&amp;J16)</f>
        <v>0</v>
      </c>
      <c r="P16" s="131">
        <f ca="1">COUNTIFS('Resumen OPERACIONES'!$AH$2:$AH$1006,"&lt;0",'Resumen OPERACIONES'!$S$2:$S$1006,"&gt;="&amp;I16,'Resumen OPERACIONES'!$S$2:$S$1006,"&lt;="&amp;J16)</f>
        <v>0</v>
      </c>
      <c r="Q16" s="131">
        <f t="shared" ca="1" si="4"/>
        <v>0</v>
      </c>
      <c r="S16" s="132" t="s">
        <v>90</v>
      </c>
      <c r="T16" s="143">
        <f ca="1">SUMIFS('Resumen OPERACIONES'!$AH$2:$AH$1006,'Resumen OPERACIONES'!$G$2:$G$1006, "="&amp;S16)</f>
        <v>0</v>
      </c>
      <c r="V16" s="132" t="s">
        <v>119</v>
      </c>
      <c r="W16" s="132" t="s">
        <v>136</v>
      </c>
      <c r="X16" s="143">
        <f ca="1">SUMIFS('Resumen OPERACIONES'!$AH$2:$AH$1006,'Resumen OPERACIONES'!$F$2:$F$1006, "="&amp;W16)</f>
        <v>0</v>
      </c>
      <c r="Z16" s="133" t="s">
        <v>90</v>
      </c>
      <c r="AA16" s="154">
        <f ca="1">SUMIFS('OP. ABIERTAS (ACCIONES)'!$M$2:$M$972,'OP. ABIERTAS (ACCIONES)'!$E$2:$E$972, "="&amp;Z16)</f>
        <v>0</v>
      </c>
      <c r="AB16" s="171">
        <f t="shared" ca="1" si="8"/>
        <v>0</v>
      </c>
      <c r="AC16" s="154">
        <f ca="1">SUMIFS('OP. ABIERTAS (CFD)'!$M$2:$M$972,'OP. ABIERTAS (CFD)'!$E$2:$E$972, "="&amp;Z16)</f>
        <v>0</v>
      </c>
      <c r="AD16" s="171">
        <f t="shared" ca="1" si="5"/>
        <v>0</v>
      </c>
      <c r="AF16" s="133" t="s">
        <v>119</v>
      </c>
      <c r="AG16" s="133" t="s">
        <v>136</v>
      </c>
      <c r="AH16" s="154">
        <f ca="1">SUMIFS('OP. ABIERTAS (ACCIONES)'!$M$2:$M$972,'OP. ABIERTAS (ACCIONES)'!$D$2:$D$972, "="&amp;AG16)</f>
        <v>0</v>
      </c>
      <c r="AI16" s="171">
        <f t="shared" ca="1" si="6"/>
        <v>0</v>
      </c>
      <c r="AJ16" s="154">
        <f ca="1">SUMIFS('OP. ABIERTAS (CFD)'!$M$2:$M$972,'OP. ABIERTAS (CFD)'!$D$2:$D$972, "="&amp;AG16)</f>
        <v>0</v>
      </c>
      <c r="AK16" s="171">
        <f t="shared" ca="1" si="7"/>
        <v>0</v>
      </c>
    </row>
    <row r="17" spans="1:37" ht="15.75" x14ac:dyDescent="0.25">
      <c r="A17" s="77"/>
      <c r="B17" s="114"/>
      <c r="C17" s="87" t="s">
        <v>222</v>
      </c>
      <c r="D17" s="68"/>
      <c r="E17" s="100">
        <f ca="1">IF(G7,G17/G7,0)</f>
        <v>0</v>
      </c>
      <c r="F17" s="101"/>
      <c r="G17" s="151">
        <f ca="1">SUMIF('OP. ABIERTAS (ACCIONES)'!T2:T977, "&gt;0", 'OP. ABIERTAS (ACCIONES)'!AA2:AA977)</f>
        <v>0</v>
      </c>
      <c r="S17" s="132" t="s">
        <v>228</v>
      </c>
      <c r="T17" s="143">
        <f ca="1">SUMIFS('Resumen OPERACIONES'!$AH$2:$AH$1006,'Resumen OPERACIONES'!$G$2:$G$1006, "="&amp;S17)</f>
        <v>0</v>
      </c>
      <c r="V17" s="132" t="s">
        <v>111</v>
      </c>
      <c r="W17" s="132" t="s">
        <v>99</v>
      </c>
      <c r="X17" s="143">
        <f ca="1">SUMIFS('Resumen OPERACIONES'!$AH$2:$AH$1006,'Resumen OPERACIONES'!$F$2:$F$1006, "="&amp;W17)</f>
        <v>0</v>
      </c>
      <c r="Z17" s="133" t="s">
        <v>228</v>
      </c>
      <c r="AA17" s="154">
        <f ca="1">SUMIFS('OP. ABIERTAS (ACCIONES)'!$M$2:$M$972,'OP. ABIERTAS (ACCIONES)'!$E$2:$E$972, "="&amp;Z17)</f>
        <v>0</v>
      </c>
      <c r="AB17" s="171">
        <f t="shared" ref="AB17:AB20" ca="1" si="9">IF($G$7,AA17/$G$7,0)</f>
        <v>0</v>
      </c>
      <c r="AC17" s="154">
        <f ca="1">SUMIFS('OP. ABIERTAS (CFD)'!$M$2:$M$972,'OP. ABIERTAS (CFD)'!$E$2:$E$972, "="&amp;Z17)</f>
        <v>0</v>
      </c>
      <c r="AD17" s="171">
        <f t="shared" ref="AD17:AD20" ca="1" si="10">IF($G$8,AC17/$G$8,0)</f>
        <v>0</v>
      </c>
      <c r="AF17" s="133" t="s">
        <v>111</v>
      </c>
      <c r="AG17" s="133" t="s">
        <v>99</v>
      </c>
      <c r="AH17" s="154">
        <f ca="1">SUMIFS('OP. ABIERTAS (ACCIONES)'!$M$2:$M$972,'OP. ABIERTAS (ACCIONES)'!$D$2:$D$972, "="&amp;AG17)</f>
        <v>0</v>
      </c>
      <c r="AI17" s="171">
        <f t="shared" ca="1" si="6"/>
        <v>0</v>
      </c>
      <c r="AJ17" s="154">
        <f ca="1">SUMIFS('OP. ABIERTAS (CFD)'!$M$2:$M$972,'OP. ABIERTAS (CFD)'!$D$2:$D$972, "="&amp;AG17)</f>
        <v>0</v>
      </c>
      <c r="AK17" s="171">
        <f t="shared" ca="1" si="7"/>
        <v>0</v>
      </c>
    </row>
    <row r="18" spans="1:37" ht="15.75" x14ac:dyDescent="0.25">
      <c r="A18" s="77"/>
      <c r="B18" s="115"/>
      <c r="C18" s="91" t="s">
        <v>223</v>
      </c>
      <c r="D18" s="92"/>
      <c r="E18" s="103">
        <f ca="1">IF(G8,G18/G8,0)</f>
        <v>0</v>
      </c>
      <c r="F18" s="116"/>
      <c r="G18" s="152">
        <f ca="1">SUMIF('OP. ABIERTAS (CFD)'!T2:T977, "&gt;0", 'OP. ABIERTAS (CFD)'!AB2:AB977)</f>
        <v>0</v>
      </c>
      <c r="S18" s="132" t="s">
        <v>229</v>
      </c>
      <c r="T18" s="143">
        <f ca="1">SUMIFS('Resumen OPERACIONES'!$AH$2:$AH$1006,'Resumen OPERACIONES'!$G$2:$G$1006, "="&amp;S18)</f>
        <v>0</v>
      </c>
      <c r="V18" s="132" t="s">
        <v>108</v>
      </c>
      <c r="W18" s="132" t="s">
        <v>96</v>
      </c>
      <c r="X18" s="143">
        <f ca="1">SUMIFS('Resumen OPERACIONES'!$AH$2:$AH$1006,'Resumen OPERACIONES'!$F$2:$F$1006, "="&amp;W18)</f>
        <v>53.425000000000182</v>
      </c>
      <c r="Z18" s="133" t="s">
        <v>229</v>
      </c>
      <c r="AA18" s="154">
        <f ca="1">SUMIFS('OP. ABIERTAS (ACCIONES)'!$M$2:$M$972,'OP. ABIERTAS (ACCIONES)'!$E$2:$E$972, "="&amp;Z18)</f>
        <v>0</v>
      </c>
      <c r="AB18" s="171">
        <f t="shared" ca="1" si="9"/>
        <v>0</v>
      </c>
      <c r="AC18" s="154">
        <f ca="1">SUMIFS('OP. ABIERTAS (CFD)'!$M$2:$M$972,'OP. ABIERTAS (CFD)'!$E$2:$E$972, "="&amp;Z18)</f>
        <v>0</v>
      </c>
      <c r="AD18" s="171">
        <f t="shared" ca="1" si="10"/>
        <v>0</v>
      </c>
      <c r="AF18" s="133" t="s">
        <v>108</v>
      </c>
      <c r="AG18" s="133" t="s">
        <v>96</v>
      </c>
      <c r="AH18" s="154">
        <f ca="1">SUMIFS('OP. ABIERTAS (ACCIONES)'!$M$2:$M$972,'OP. ABIERTAS (ACCIONES)'!$D$2:$D$972, "="&amp;AG18)</f>
        <v>0</v>
      </c>
      <c r="AI18" s="171">
        <f t="shared" ca="1" si="6"/>
        <v>0</v>
      </c>
      <c r="AJ18" s="154">
        <f ca="1">SUMIFS('OP. ABIERTAS (CFD)'!$M$2:$M$972,'OP. ABIERTAS (CFD)'!$D$2:$D$972, "="&amp;AG18)</f>
        <v>0</v>
      </c>
      <c r="AK18" s="171">
        <f t="shared" ca="1" si="7"/>
        <v>0</v>
      </c>
    </row>
    <row r="19" spans="1:37" ht="15" customHeight="1" x14ac:dyDescent="0.25">
      <c r="A19" s="77"/>
      <c r="B19" s="105"/>
      <c r="C19" s="68"/>
      <c r="D19" s="100"/>
      <c r="E19" s="68"/>
      <c r="F19" s="78"/>
      <c r="G19" s="106"/>
      <c r="S19" s="132" t="s">
        <v>230</v>
      </c>
      <c r="T19" s="143">
        <f ca="1">SUMIFS('Resumen OPERACIONES'!$AH$2:$AH$1006,'Resumen OPERACIONES'!$G$2:$G$1006, "="&amp;S19)</f>
        <v>0</v>
      </c>
      <c r="V19" s="132" t="s">
        <v>109</v>
      </c>
      <c r="W19" s="132" t="s">
        <v>137</v>
      </c>
      <c r="X19" s="143">
        <f ca="1">SUMIFS('Resumen OPERACIONES'!$AH$2:$AH$1006,'Resumen OPERACIONES'!$F$2:$F$1006, "="&amp;W19)</f>
        <v>0</v>
      </c>
      <c r="Z19" s="133" t="s">
        <v>230</v>
      </c>
      <c r="AA19" s="154">
        <f ca="1">SUMIFS('OP. ABIERTAS (ACCIONES)'!$M$2:$M$972,'OP. ABIERTAS (ACCIONES)'!$E$2:$E$972, "="&amp;Z19)</f>
        <v>0</v>
      </c>
      <c r="AB19" s="171">
        <f t="shared" ca="1" si="9"/>
        <v>0</v>
      </c>
      <c r="AC19" s="154">
        <f ca="1">SUMIFS('OP. ABIERTAS (CFD)'!$M$2:$M$972,'OP. ABIERTAS (CFD)'!$E$2:$E$972, "="&amp;Z19)</f>
        <v>0</v>
      </c>
      <c r="AD19" s="171">
        <f t="shared" ca="1" si="10"/>
        <v>0</v>
      </c>
      <c r="AF19" s="133" t="s">
        <v>109</v>
      </c>
      <c r="AG19" s="133" t="s">
        <v>137</v>
      </c>
      <c r="AH19" s="154">
        <f ca="1">SUMIFS('OP. ABIERTAS (ACCIONES)'!$M$2:$M$972,'OP. ABIERTAS (ACCIONES)'!$D$2:$D$972, "="&amp;AG19)</f>
        <v>0</v>
      </c>
      <c r="AI19" s="171">
        <f t="shared" ca="1" si="6"/>
        <v>0</v>
      </c>
      <c r="AJ19" s="154">
        <f ca="1">SUMIFS('OP. ABIERTAS (CFD)'!$M$2:$M$972,'OP. ABIERTAS (CFD)'!$D$2:$D$972, "="&amp;AG19)</f>
        <v>0</v>
      </c>
      <c r="AK19" s="171">
        <f t="shared" ca="1" si="7"/>
        <v>0</v>
      </c>
    </row>
    <row r="20" spans="1:37" ht="15" customHeight="1" x14ac:dyDescent="0.25">
      <c r="A20" s="77"/>
      <c r="B20" s="105"/>
      <c r="C20" s="68"/>
      <c r="D20" s="107"/>
      <c r="E20" s="68"/>
      <c r="F20" s="78"/>
      <c r="G20" s="109"/>
      <c r="S20" s="132" t="s">
        <v>231</v>
      </c>
      <c r="T20" s="143">
        <f ca="1">SUMIFS('Resumen OPERACIONES'!$AH$2:$AH$1006,'Resumen OPERACIONES'!$G$2:$G$1006, "="&amp;S20)</f>
        <v>0</v>
      </c>
      <c r="V20" s="132" t="s">
        <v>109</v>
      </c>
      <c r="W20" s="132" t="s">
        <v>97</v>
      </c>
      <c r="X20" s="143">
        <f ca="1">SUMIFS('Resumen OPERACIONES'!$AH$2:$AH$1006,'Resumen OPERACIONES'!$F$2:$F$1006, "="&amp;W20)</f>
        <v>169.12000000000035</v>
      </c>
      <c r="Z20" s="133" t="s">
        <v>231</v>
      </c>
      <c r="AA20" s="154">
        <f ca="1">SUMIFS('OP. ABIERTAS (ACCIONES)'!$M$2:$M$972,'OP. ABIERTAS (ACCIONES)'!$E$2:$E$972, "="&amp;Z20)</f>
        <v>0</v>
      </c>
      <c r="AB20" s="171">
        <f t="shared" ca="1" si="9"/>
        <v>0</v>
      </c>
      <c r="AC20" s="154">
        <f ca="1">SUMIFS('OP. ABIERTAS (CFD)'!$M$2:$M$972,'OP. ABIERTAS (CFD)'!$E$2:$E$972, "="&amp;Z20)</f>
        <v>0</v>
      </c>
      <c r="AD20" s="171">
        <f t="shared" ca="1" si="10"/>
        <v>0</v>
      </c>
      <c r="AF20" s="133" t="s">
        <v>109</v>
      </c>
      <c r="AG20" s="133" t="s">
        <v>97</v>
      </c>
      <c r="AH20" s="154">
        <f ca="1">SUMIFS('OP. ABIERTAS (ACCIONES)'!$M$2:$M$972,'OP. ABIERTAS (ACCIONES)'!$D$2:$D$972, "="&amp;AG20)</f>
        <v>0</v>
      </c>
      <c r="AI20" s="171">
        <f t="shared" ca="1" si="6"/>
        <v>0</v>
      </c>
      <c r="AJ20" s="154">
        <f ca="1">SUMIFS('OP. ABIERTAS (CFD)'!$M$2:$M$972,'OP. ABIERTAS (CFD)'!$D$2:$D$972, "="&amp;AG20)</f>
        <v>0</v>
      </c>
      <c r="AK20" s="171">
        <f t="shared" ca="1" si="7"/>
        <v>0</v>
      </c>
    </row>
    <row r="21" spans="1:37" ht="15.75" x14ac:dyDescent="0.25">
      <c r="A21" s="69" t="s">
        <v>62</v>
      </c>
      <c r="B21" s="70"/>
      <c r="C21" s="71"/>
      <c r="D21" s="117"/>
      <c r="E21" s="73"/>
      <c r="F21" s="74" t="s">
        <v>63</v>
      </c>
      <c r="G21" s="118">
        <f ca="1">SUM('Resumen OPERACIONES'!AH2:AH1006)</f>
        <v>701.37899999999922</v>
      </c>
      <c r="V21" s="132" t="s">
        <v>120</v>
      </c>
      <c r="W21" s="132" t="s">
        <v>138</v>
      </c>
      <c r="X21" s="143">
        <f ca="1">SUMIFS('Resumen OPERACIONES'!$AH$2:$AH$1006,'Resumen OPERACIONES'!$F$2:$F$1006, "="&amp;W21)</f>
        <v>0</v>
      </c>
      <c r="AF21" s="133" t="s">
        <v>120</v>
      </c>
      <c r="AG21" s="133" t="s">
        <v>138</v>
      </c>
      <c r="AH21" s="154">
        <f ca="1">SUMIFS('OP. ABIERTAS (ACCIONES)'!$M$2:$M$972,'OP. ABIERTAS (ACCIONES)'!$D$2:$D$972, "="&amp;AG21)</f>
        <v>0</v>
      </c>
      <c r="AI21" s="171">
        <f t="shared" ca="1" si="6"/>
        <v>0</v>
      </c>
      <c r="AJ21" s="154">
        <f ca="1">SUMIFS('OP. ABIERTAS (CFD)'!$M$2:$M$972,'OP. ABIERTAS (CFD)'!$D$2:$D$972, "="&amp;AG21)</f>
        <v>0</v>
      </c>
      <c r="AK21" s="171">
        <f t="shared" ca="1" si="7"/>
        <v>0</v>
      </c>
    </row>
    <row r="22" spans="1:37" x14ac:dyDescent="0.25">
      <c r="A22" s="77"/>
      <c r="B22" s="77"/>
      <c r="C22" s="68"/>
      <c r="D22" s="68"/>
      <c r="E22" s="68"/>
      <c r="F22" s="78"/>
      <c r="G22" s="68"/>
      <c r="V22" s="132" t="s">
        <v>165</v>
      </c>
      <c r="W22" s="132" t="s">
        <v>139</v>
      </c>
      <c r="X22" s="143">
        <f ca="1">SUMIFS('Resumen OPERACIONES'!$AH$2:$AH$1006,'Resumen OPERACIONES'!$F$2:$F$1006, "="&amp;W22)</f>
        <v>0</v>
      </c>
      <c r="AF22" s="133" t="s">
        <v>165</v>
      </c>
      <c r="AG22" s="133" t="s">
        <v>139</v>
      </c>
      <c r="AH22" s="154">
        <f ca="1">SUMIFS('OP. ABIERTAS (ACCIONES)'!$M$2:$M$972,'OP. ABIERTAS (ACCIONES)'!$D$2:$D$972, "="&amp;AG22)</f>
        <v>0</v>
      </c>
      <c r="AI22" s="171">
        <f t="shared" ca="1" si="6"/>
        <v>0</v>
      </c>
      <c r="AJ22" s="154">
        <f ca="1">SUMIFS('OP. ABIERTAS (CFD)'!$M$2:$M$972,'OP. ABIERTAS (CFD)'!$D$2:$D$972, "="&amp;AG22)</f>
        <v>0</v>
      </c>
      <c r="AK22" s="171">
        <f t="shared" ca="1" si="7"/>
        <v>0</v>
      </c>
    </row>
    <row r="23" spans="1:37" ht="15.75" x14ac:dyDescent="0.25">
      <c r="A23" s="69" t="s">
        <v>64</v>
      </c>
      <c r="B23" s="70"/>
      <c r="C23" s="71"/>
      <c r="D23" s="119">
        <f ca="1">(G23/(G4+G21))</f>
        <v>1</v>
      </c>
      <c r="E23" s="73"/>
      <c r="F23" s="74" t="s">
        <v>196</v>
      </c>
      <c r="G23" s="84">
        <f ca="1">(G4+G21-G6)</f>
        <v>15701.378999999999</v>
      </c>
      <c r="V23" s="132" t="s">
        <v>121</v>
      </c>
      <c r="W23" s="132" t="s">
        <v>140</v>
      </c>
      <c r="X23" s="143">
        <f ca="1">SUMIFS('Resumen OPERACIONES'!$AH$2:$AH$1006,'Resumen OPERACIONES'!$F$2:$F$1006, "="&amp;W23)</f>
        <v>0</v>
      </c>
      <c r="AF23" s="133" t="s">
        <v>121</v>
      </c>
      <c r="AG23" s="133" t="s">
        <v>140</v>
      </c>
      <c r="AH23" s="154">
        <f ca="1">SUMIFS('OP. ABIERTAS (ACCIONES)'!$M$2:$M$972,'OP. ABIERTAS (ACCIONES)'!$D$2:$D$972, "="&amp;AG23)</f>
        <v>0</v>
      </c>
      <c r="AI23" s="171">
        <f t="shared" ca="1" si="6"/>
        <v>0</v>
      </c>
      <c r="AJ23" s="154">
        <f ca="1">SUMIFS('OP. ABIERTAS (CFD)'!$M$2:$M$972,'OP. ABIERTAS (CFD)'!$D$2:$D$972, "="&amp;AG23)</f>
        <v>0</v>
      </c>
      <c r="AK23" s="171">
        <f t="shared" ca="1" si="7"/>
        <v>0</v>
      </c>
    </row>
    <row r="24" spans="1:37" x14ac:dyDescent="0.25">
      <c r="A24" s="77"/>
      <c r="B24" s="77"/>
      <c r="C24" s="68"/>
      <c r="D24" s="68"/>
      <c r="E24" s="68"/>
      <c r="F24" s="82"/>
      <c r="G24" s="120"/>
      <c r="V24" s="132" t="s">
        <v>121</v>
      </c>
      <c r="W24" s="132" t="s">
        <v>141</v>
      </c>
      <c r="X24" s="143">
        <f ca="1">SUMIFS('Resumen OPERACIONES'!$AH$2:$AH$1006,'Resumen OPERACIONES'!$F$2:$F$1006, "="&amp;W24)</f>
        <v>0</v>
      </c>
      <c r="AF24" s="133" t="s">
        <v>121</v>
      </c>
      <c r="AG24" s="133" t="s">
        <v>141</v>
      </c>
      <c r="AH24" s="154">
        <f ca="1">SUMIFS('OP. ABIERTAS (ACCIONES)'!$M$2:$M$972,'OP. ABIERTAS (ACCIONES)'!$D$2:$D$972, "="&amp;AG24)</f>
        <v>0</v>
      </c>
      <c r="AI24" s="171">
        <f t="shared" ca="1" si="6"/>
        <v>0</v>
      </c>
      <c r="AJ24" s="154">
        <f ca="1">SUMIFS('OP. ABIERTAS (CFD)'!$M$2:$M$972,'OP. ABIERTAS (CFD)'!$D$2:$D$972, "="&amp;AG24)</f>
        <v>0</v>
      </c>
      <c r="AK24" s="171">
        <f t="shared" ca="1" si="7"/>
        <v>0</v>
      </c>
    </row>
    <row r="25" spans="1:37" x14ac:dyDescent="0.25">
      <c r="A25" s="77"/>
      <c r="B25" s="77"/>
      <c r="C25" s="68"/>
      <c r="D25" s="68"/>
      <c r="E25" s="68"/>
      <c r="F25" s="68"/>
      <c r="G25" s="92"/>
      <c r="V25" s="132" t="s">
        <v>122</v>
      </c>
      <c r="W25" s="132" t="s">
        <v>142</v>
      </c>
      <c r="X25" s="143">
        <f ca="1">SUMIFS('Resumen OPERACIONES'!$AH$2:$AH$1006,'Resumen OPERACIONES'!$F$2:$F$1006, "="&amp;W25)</f>
        <v>0</v>
      </c>
      <c r="AF25" s="133" t="s">
        <v>122</v>
      </c>
      <c r="AG25" s="133" t="s">
        <v>142</v>
      </c>
      <c r="AH25" s="154">
        <f ca="1">SUMIFS('OP. ABIERTAS (ACCIONES)'!$M$2:$M$972,'OP. ABIERTAS (ACCIONES)'!$D$2:$D$972, "="&amp;AG25)</f>
        <v>0</v>
      </c>
      <c r="AI25" s="171">
        <f t="shared" ca="1" si="6"/>
        <v>0</v>
      </c>
      <c r="AJ25" s="154">
        <f ca="1">SUMIFS('OP. ABIERTAS (CFD)'!$M$2:$M$972,'OP. ABIERTAS (CFD)'!$D$2:$D$972, "="&amp;AG25)</f>
        <v>0</v>
      </c>
      <c r="AK25" s="171">
        <f t="shared" ca="1" si="7"/>
        <v>0</v>
      </c>
    </row>
    <row r="26" spans="1:37" ht="15.75" x14ac:dyDescent="0.25">
      <c r="A26" s="69" t="s">
        <v>65</v>
      </c>
      <c r="B26" s="70"/>
      <c r="C26" s="71"/>
      <c r="D26" s="72"/>
      <c r="E26" s="121"/>
      <c r="F26" s="74" t="s">
        <v>66</v>
      </c>
      <c r="G26" s="122">
        <f ca="1">SUM(G4+G11+G21)</f>
        <v>15701.378999999999</v>
      </c>
      <c r="V26" s="132" t="s">
        <v>166</v>
      </c>
      <c r="W26" s="132" t="s">
        <v>143</v>
      </c>
      <c r="X26" s="143">
        <f ca="1">SUMIFS('Resumen OPERACIONES'!$AH$2:$AH$1006,'Resumen OPERACIONES'!$F$2:$F$1006, "="&amp;W26)</f>
        <v>0</v>
      </c>
      <c r="AF26" s="133" t="s">
        <v>166</v>
      </c>
      <c r="AG26" s="133" t="s">
        <v>143</v>
      </c>
      <c r="AH26" s="154">
        <f ca="1">SUMIFS('OP. ABIERTAS (ACCIONES)'!$M$2:$M$972,'OP. ABIERTAS (ACCIONES)'!$D$2:$D$972, "="&amp;AG26)</f>
        <v>0</v>
      </c>
      <c r="AI26" s="171">
        <f t="shared" ca="1" si="6"/>
        <v>0</v>
      </c>
      <c r="AJ26" s="154">
        <f ca="1">SUMIFS('OP. ABIERTAS (CFD)'!$M$2:$M$972,'OP. ABIERTAS (CFD)'!$D$2:$D$972, "="&amp;AG26)</f>
        <v>0</v>
      </c>
      <c r="AK26" s="171">
        <f t="shared" ca="1" si="7"/>
        <v>0</v>
      </c>
    </row>
    <row r="27" spans="1:37" x14ac:dyDescent="0.25">
      <c r="A27" s="77"/>
      <c r="B27" s="77"/>
      <c r="C27" s="68"/>
      <c r="D27" s="68"/>
      <c r="E27" s="68"/>
      <c r="F27" s="68"/>
      <c r="G27" s="68"/>
      <c r="V27" s="132" t="s">
        <v>167</v>
      </c>
      <c r="W27" s="132" t="s">
        <v>100</v>
      </c>
      <c r="X27" s="143">
        <f ca="1">SUMIFS('Resumen OPERACIONES'!$AH$2:$AH$1006,'Resumen OPERACIONES'!$F$2:$F$1006, "="&amp;W27)</f>
        <v>95.179999999999851</v>
      </c>
      <c r="AF27" s="133" t="s">
        <v>167</v>
      </c>
      <c r="AG27" s="133" t="s">
        <v>100</v>
      </c>
      <c r="AH27" s="154">
        <f ca="1">SUMIFS('OP. ABIERTAS (ACCIONES)'!$M$2:$M$972,'OP. ABIERTAS (ACCIONES)'!$D$2:$D$972, "="&amp;AG27)</f>
        <v>0</v>
      </c>
      <c r="AI27" s="171">
        <f t="shared" ca="1" si="6"/>
        <v>0</v>
      </c>
      <c r="AJ27" s="154">
        <f ca="1">SUMIFS('OP. ABIERTAS (CFD)'!$M$2:$M$972,'OP. ABIERTAS (CFD)'!$D$2:$D$972, "="&amp;AG27)</f>
        <v>0</v>
      </c>
      <c r="AK27" s="171">
        <f t="shared" ca="1" si="7"/>
        <v>0</v>
      </c>
    </row>
    <row r="28" spans="1:37" x14ac:dyDescent="0.25">
      <c r="A28" s="68"/>
      <c r="B28" s="68"/>
      <c r="C28" s="68"/>
      <c r="D28" s="68"/>
      <c r="E28" s="68"/>
      <c r="F28" s="68"/>
      <c r="G28" s="68"/>
      <c r="V28" s="132" t="s">
        <v>168</v>
      </c>
      <c r="W28" s="132" t="s">
        <v>144</v>
      </c>
      <c r="X28" s="143">
        <f ca="1">SUMIFS('Resumen OPERACIONES'!$AH$2:$AH$1006,'Resumen OPERACIONES'!$F$2:$F$1006, "="&amp;W28)</f>
        <v>0</v>
      </c>
      <c r="AF28" s="133" t="s">
        <v>168</v>
      </c>
      <c r="AG28" s="133" t="s">
        <v>144</v>
      </c>
      <c r="AH28" s="154">
        <f ca="1">SUMIFS('OP. ABIERTAS (ACCIONES)'!$M$2:$M$972,'OP. ABIERTAS (ACCIONES)'!$D$2:$D$972, "="&amp;AG28)</f>
        <v>0</v>
      </c>
      <c r="AI28" s="171">
        <f t="shared" ca="1" si="6"/>
        <v>0</v>
      </c>
      <c r="AJ28" s="154">
        <f ca="1">SUMIFS('OP. ABIERTAS (CFD)'!$M$2:$M$972,'OP. ABIERTAS (CFD)'!$D$2:$D$972, "="&amp;AG28)</f>
        <v>0</v>
      </c>
      <c r="AK28" s="171">
        <f t="shared" ca="1" si="7"/>
        <v>0</v>
      </c>
    </row>
    <row r="29" spans="1:37" x14ac:dyDescent="0.25">
      <c r="A29" s="1"/>
      <c r="B29" s="1"/>
      <c r="C29" s="1"/>
      <c r="D29" s="1"/>
      <c r="E29" s="1"/>
      <c r="F29" s="1"/>
      <c r="G29" s="1"/>
      <c r="V29" s="132" t="s">
        <v>169</v>
      </c>
      <c r="W29" s="132" t="s">
        <v>145</v>
      </c>
      <c r="X29" s="143">
        <f ca="1">SUMIFS('Resumen OPERACIONES'!$AH$2:$AH$1006,'Resumen OPERACIONES'!$F$2:$F$1006, "="&amp;W29)</f>
        <v>0</v>
      </c>
      <c r="AF29" s="133" t="s">
        <v>169</v>
      </c>
      <c r="AG29" s="133" t="s">
        <v>145</v>
      </c>
      <c r="AH29" s="154">
        <f ca="1">SUMIFS('OP. ABIERTAS (ACCIONES)'!$M$2:$M$972,'OP. ABIERTAS (ACCIONES)'!$D$2:$D$972, "="&amp;AG29)</f>
        <v>0</v>
      </c>
      <c r="AI29" s="171">
        <f t="shared" ca="1" si="6"/>
        <v>0</v>
      </c>
      <c r="AJ29" s="154">
        <f ca="1">SUMIFS('OP. ABIERTAS (CFD)'!$M$2:$M$972,'OP. ABIERTAS (CFD)'!$D$2:$D$972, "="&amp;AG29)</f>
        <v>0</v>
      </c>
      <c r="AK29" s="171">
        <f t="shared" ca="1" si="7"/>
        <v>0</v>
      </c>
    </row>
    <row r="30" spans="1:37" x14ac:dyDescent="0.25">
      <c r="A30" s="1"/>
      <c r="B30" s="1"/>
      <c r="C30" s="1"/>
      <c r="D30" s="1"/>
      <c r="E30" s="1"/>
      <c r="F30" s="1"/>
      <c r="G30" s="1"/>
      <c r="V30" s="132" t="s">
        <v>170</v>
      </c>
      <c r="W30" s="132" t="s">
        <v>146</v>
      </c>
      <c r="X30" s="143">
        <f ca="1">SUMIFS('Resumen OPERACIONES'!$AH$2:$AH$1006,'Resumen OPERACIONES'!$F$2:$F$1006, "="&amp;W30)</f>
        <v>0</v>
      </c>
      <c r="AF30" s="133" t="s">
        <v>170</v>
      </c>
      <c r="AG30" s="133" t="s">
        <v>146</v>
      </c>
      <c r="AH30" s="154">
        <f ca="1">SUMIFS('OP. ABIERTAS (ACCIONES)'!$M$2:$M$972,'OP. ABIERTAS (ACCIONES)'!$D$2:$D$972, "="&amp;AG30)</f>
        <v>0</v>
      </c>
      <c r="AI30" s="171">
        <f t="shared" ca="1" si="6"/>
        <v>0</v>
      </c>
      <c r="AJ30" s="154">
        <f ca="1">SUMIFS('OP. ABIERTAS (CFD)'!$M$2:$M$972,'OP. ABIERTAS (CFD)'!$D$2:$D$972, "="&amp;AG30)</f>
        <v>0</v>
      </c>
      <c r="AK30" s="171">
        <f t="shared" ca="1" si="7"/>
        <v>0</v>
      </c>
    </row>
    <row r="31" spans="1:37" x14ac:dyDescent="0.25">
      <c r="A31" s="1"/>
      <c r="B31" s="1"/>
      <c r="C31" s="1"/>
      <c r="D31" s="1"/>
      <c r="E31" s="1"/>
      <c r="F31" s="1"/>
      <c r="G31" s="1"/>
      <c r="V31" s="132" t="s">
        <v>123</v>
      </c>
      <c r="W31" s="132" t="s">
        <v>147</v>
      </c>
      <c r="X31" s="143">
        <f ca="1">SUMIFS('Resumen OPERACIONES'!$AH$2:$AH$1006,'Resumen OPERACIONES'!$F$2:$F$1006, "="&amp;W31)</f>
        <v>0</v>
      </c>
      <c r="AF31" s="133" t="s">
        <v>123</v>
      </c>
      <c r="AG31" s="133" t="s">
        <v>147</v>
      </c>
      <c r="AH31" s="154">
        <f ca="1">SUMIFS('OP. ABIERTAS (ACCIONES)'!$M$2:$M$972,'OP. ABIERTAS (ACCIONES)'!$D$2:$D$972, "="&amp;AG31)</f>
        <v>0</v>
      </c>
      <c r="AI31" s="171">
        <f t="shared" ca="1" si="6"/>
        <v>0</v>
      </c>
      <c r="AJ31" s="154">
        <f ca="1">SUMIFS('OP. ABIERTAS (CFD)'!$M$2:$M$972,'OP. ABIERTAS (CFD)'!$D$2:$D$972, "="&amp;AG31)</f>
        <v>0</v>
      </c>
      <c r="AK31" s="171">
        <f t="shared" ca="1" si="7"/>
        <v>0</v>
      </c>
    </row>
    <row r="32" spans="1:37" x14ac:dyDescent="0.25">
      <c r="A32" s="1"/>
      <c r="B32" s="1"/>
      <c r="C32" s="1"/>
      <c r="D32" s="1"/>
      <c r="E32" s="1"/>
      <c r="F32" s="1"/>
      <c r="G32" s="1"/>
      <c r="V32" s="132" t="s">
        <v>171</v>
      </c>
      <c r="W32" s="132" t="s">
        <v>148</v>
      </c>
      <c r="X32" s="143">
        <f ca="1">SUMIFS('Resumen OPERACIONES'!$AH$2:$AH$1006,'Resumen OPERACIONES'!$F$2:$F$1006, "="&amp;W32)</f>
        <v>0</v>
      </c>
      <c r="AF32" s="133" t="s">
        <v>171</v>
      </c>
      <c r="AG32" s="133" t="s">
        <v>148</v>
      </c>
      <c r="AH32" s="154">
        <f ca="1">SUMIFS('OP. ABIERTAS (ACCIONES)'!$M$2:$M$972,'OP. ABIERTAS (ACCIONES)'!$D$2:$D$972, "="&amp;AG32)</f>
        <v>0</v>
      </c>
      <c r="AI32" s="171">
        <f t="shared" ca="1" si="6"/>
        <v>0</v>
      </c>
      <c r="AJ32" s="154">
        <f ca="1">SUMIFS('OP. ABIERTAS (CFD)'!$M$2:$M$972,'OP. ABIERTAS (CFD)'!$D$2:$D$972, "="&amp;AG32)</f>
        <v>0</v>
      </c>
      <c r="AK32" s="171">
        <f t="shared" ca="1" si="7"/>
        <v>0</v>
      </c>
    </row>
    <row r="33" spans="22:37" x14ac:dyDescent="0.25">
      <c r="V33" s="132" t="s">
        <v>172</v>
      </c>
      <c r="W33" s="132" t="s">
        <v>149</v>
      </c>
      <c r="X33" s="143">
        <f ca="1">SUMIFS('Resumen OPERACIONES'!$AH$2:$AH$1006,'Resumen OPERACIONES'!$F$2:$F$1006, "="&amp;W33)</f>
        <v>0</v>
      </c>
      <c r="AF33" s="133" t="s">
        <v>172</v>
      </c>
      <c r="AG33" s="133" t="s">
        <v>149</v>
      </c>
      <c r="AH33" s="154">
        <f ca="1">SUMIFS('OP. ABIERTAS (ACCIONES)'!$M$2:$M$972,'OP. ABIERTAS (ACCIONES)'!$D$2:$D$972, "="&amp;AG33)</f>
        <v>0</v>
      </c>
      <c r="AI33" s="171">
        <f t="shared" ca="1" si="6"/>
        <v>0</v>
      </c>
      <c r="AJ33" s="154">
        <f ca="1">SUMIFS('OP. ABIERTAS (CFD)'!$M$2:$M$972,'OP. ABIERTAS (CFD)'!$D$2:$D$972, "="&amp;AG33)</f>
        <v>0</v>
      </c>
      <c r="AK33" s="171">
        <f t="shared" ca="1" si="7"/>
        <v>0</v>
      </c>
    </row>
    <row r="34" spans="22:37" x14ac:dyDescent="0.25">
      <c r="V34" s="132" t="s">
        <v>173</v>
      </c>
      <c r="W34" s="132" t="s">
        <v>150</v>
      </c>
      <c r="X34" s="143">
        <f ca="1">SUMIFS('Resumen OPERACIONES'!$AH$2:$AH$1006,'Resumen OPERACIONES'!$F$2:$F$1006, "="&amp;W34)</f>
        <v>0</v>
      </c>
      <c r="AF34" s="133" t="s">
        <v>173</v>
      </c>
      <c r="AG34" s="133" t="s">
        <v>150</v>
      </c>
      <c r="AH34" s="154">
        <f ca="1">SUMIFS('OP. ABIERTAS (ACCIONES)'!$M$2:$M$972,'OP. ABIERTAS (ACCIONES)'!$D$2:$D$972, "="&amp;AG34)</f>
        <v>0</v>
      </c>
      <c r="AI34" s="171">
        <f t="shared" ca="1" si="6"/>
        <v>0</v>
      </c>
      <c r="AJ34" s="154">
        <f ca="1">SUMIFS('OP. ABIERTAS (CFD)'!$M$2:$M$972,'OP. ABIERTAS (CFD)'!$D$2:$D$972, "="&amp;AG34)</f>
        <v>0</v>
      </c>
      <c r="AK34" s="171">
        <f t="shared" ca="1" si="7"/>
        <v>0</v>
      </c>
    </row>
    <row r="35" spans="22:37" x14ac:dyDescent="0.25">
      <c r="V35" s="132" t="s">
        <v>174</v>
      </c>
      <c r="W35" s="132" t="s">
        <v>151</v>
      </c>
      <c r="X35" s="143">
        <f ca="1">SUMIFS('Resumen OPERACIONES'!$AH$2:$AH$1006,'Resumen OPERACIONES'!$F$2:$F$1006, "="&amp;W35)</f>
        <v>0</v>
      </c>
      <c r="AF35" s="133" t="s">
        <v>174</v>
      </c>
      <c r="AG35" s="133" t="s">
        <v>151</v>
      </c>
      <c r="AH35" s="154">
        <f ca="1">SUMIFS('OP. ABIERTAS (ACCIONES)'!$M$2:$M$972,'OP. ABIERTAS (ACCIONES)'!$D$2:$D$972, "="&amp;AG35)</f>
        <v>0</v>
      </c>
      <c r="AI35" s="171">
        <f t="shared" ca="1" si="6"/>
        <v>0</v>
      </c>
      <c r="AJ35" s="154">
        <f ca="1">SUMIFS('OP. ABIERTAS (CFD)'!$M$2:$M$972,'OP. ABIERTAS (CFD)'!$D$2:$D$972, "="&amp;AG35)</f>
        <v>0</v>
      </c>
      <c r="AK35" s="171">
        <f t="shared" ca="1" si="7"/>
        <v>0</v>
      </c>
    </row>
    <row r="36" spans="22:37" x14ac:dyDescent="0.25">
      <c r="V36" s="132" t="s">
        <v>110</v>
      </c>
      <c r="W36" s="132" t="s">
        <v>98</v>
      </c>
      <c r="X36" s="143">
        <f ca="1">SUMIFS('Resumen OPERACIONES'!$AH$2:$AH$1006,'Resumen OPERACIONES'!$F$2:$F$1006, "="&amp;W36)</f>
        <v>0</v>
      </c>
      <c r="AF36" s="133" t="s">
        <v>110</v>
      </c>
      <c r="AG36" s="133" t="s">
        <v>98</v>
      </c>
      <c r="AH36" s="154">
        <f ca="1">SUMIFS('OP. ABIERTAS (ACCIONES)'!$M$2:$M$972,'OP. ABIERTAS (ACCIONES)'!$D$2:$D$972, "="&amp;AG36)</f>
        <v>0</v>
      </c>
      <c r="AI36" s="171">
        <f t="shared" ca="1" si="6"/>
        <v>0</v>
      </c>
      <c r="AJ36" s="154">
        <f ca="1">SUMIFS('OP. ABIERTAS (CFD)'!$M$2:$M$972,'OP. ABIERTAS (CFD)'!$D$2:$D$972, "="&amp;AG36)</f>
        <v>0</v>
      </c>
      <c r="AK36" s="171">
        <f t="shared" ca="1" si="7"/>
        <v>0</v>
      </c>
    </row>
    <row r="37" spans="22:37" x14ac:dyDescent="0.25">
      <c r="V37" s="132" t="s">
        <v>175</v>
      </c>
      <c r="W37" s="132" t="s">
        <v>152</v>
      </c>
      <c r="X37" s="143">
        <f ca="1">SUMIFS('Resumen OPERACIONES'!$AH$2:$AH$1006,'Resumen OPERACIONES'!$F$2:$F$1006, "="&amp;W37)</f>
        <v>0</v>
      </c>
      <c r="AF37" s="133" t="s">
        <v>175</v>
      </c>
      <c r="AG37" s="133" t="s">
        <v>152</v>
      </c>
      <c r="AH37" s="154">
        <f ca="1">SUMIFS('OP. ABIERTAS (ACCIONES)'!$M$2:$M$972,'OP. ABIERTAS (ACCIONES)'!$D$2:$D$972, "="&amp;AG37)</f>
        <v>0</v>
      </c>
      <c r="AI37" s="171">
        <f t="shared" ca="1" si="6"/>
        <v>0</v>
      </c>
      <c r="AJ37" s="154">
        <f ca="1">SUMIFS('OP. ABIERTAS (CFD)'!$M$2:$M$972,'OP. ABIERTAS (CFD)'!$D$2:$D$972, "="&amp;AG37)</f>
        <v>0</v>
      </c>
      <c r="AK37" s="171">
        <f t="shared" ca="1" si="7"/>
        <v>0</v>
      </c>
    </row>
    <row r="38" spans="22:37" x14ac:dyDescent="0.25">
      <c r="V38" s="132" t="s">
        <v>124</v>
      </c>
      <c r="W38" s="132" t="s">
        <v>153</v>
      </c>
      <c r="X38" s="143">
        <f ca="1">SUMIFS('Resumen OPERACIONES'!$AH$2:$AH$1006,'Resumen OPERACIONES'!$F$2:$F$1006, "="&amp;W38)</f>
        <v>0</v>
      </c>
      <c r="AF38" s="133" t="s">
        <v>124</v>
      </c>
      <c r="AG38" s="133" t="s">
        <v>153</v>
      </c>
      <c r="AH38" s="154">
        <f ca="1">SUMIFS('OP. ABIERTAS (ACCIONES)'!$M$2:$M$972,'OP. ABIERTAS (ACCIONES)'!$D$2:$D$972, "="&amp;AG38)</f>
        <v>0</v>
      </c>
      <c r="AI38" s="171">
        <f t="shared" ca="1" si="6"/>
        <v>0</v>
      </c>
      <c r="AJ38" s="154">
        <f ca="1">SUMIFS('OP. ABIERTAS (CFD)'!$M$2:$M$972,'OP. ABIERTAS (CFD)'!$D$2:$D$972, "="&amp;AG38)</f>
        <v>0</v>
      </c>
      <c r="AK38" s="171">
        <f t="shared" ca="1" si="7"/>
        <v>0</v>
      </c>
    </row>
    <row r="39" spans="22:37" x14ac:dyDescent="0.25">
      <c r="V39" s="132" t="s">
        <v>176</v>
      </c>
      <c r="W39" s="132" t="s">
        <v>154</v>
      </c>
      <c r="X39" s="143">
        <f ca="1">SUMIFS('Resumen OPERACIONES'!$AH$2:$AH$1006,'Resumen OPERACIONES'!$F$2:$F$1006, "="&amp;W39)</f>
        <v>0</v>
      </c>
      <c r="AF39" s="133" t="s">
        <v>176</v>
      </c>
      <c r="AG39" s="133" t="s">
        <v>154</v>
      </c>
      <c r="AH39" s="154">
        <f ca="1">SUMIFS('OP. ABIERTAS (ACCIONES)'!$M$2:$M$972,'OP. ABIERTAS (ACCIONES)'!$D$2:$D$972, "="&amp;AG39)</f>
        <v>0</v>
      </c>
      <c r="AI39" s="171">
        <f t="shared" ca="1" si="6"/>
        <v>0</v>
      </c>
      <c r="AJ39" s="154">
        <f ca="1">SUMIFS('OP. ABIERTAS (CFD)'!$M$2:$M$972,'OP. ABIERTAS (CFD)'!$D$2:$D$972, "="&amp;AG39)</f>
        <v>0</v>
      </c>
      <c r="AK39" s="171">
        <f t="shared" ca="1" si="7"/>
        <v>0</v>
      </c>
    </row>
    <row r="40" spans="22:37" x14ac:dyDescent="0.25">
      <c r="V40" s="132" t="s">
        <v>107</v>
      </c>
      <c r="W40" s="132" t="s">
        <v>95</v>
      </c>
      <c r="X40" s="143">
        <f ca="1">SUMIFS('Resumen OPERACIONES'!$AH$2:$AH$1006,'Resumen OPERACIONES'!$F$2:$F$1006, "="&amp;W40)</f>
        <v>0</v>
      </c>
      <c r="AF40" s="133" t="s">
        <v>107</v>
      </c>
      <c r="AG40" s="133" t="s">
        <v>95</v>
      </c>
      <c r="AH40" s="154">
        <f ca="1">SUMIFS('OP. ABIERTAS (ACCIONES)'!$M$2:$M$972,'OP. ABIERTAS (ACCIONES)'!$D$2:$D$972, "="&amp;AG40)</f>
        <v>0</v>
      </c>
      <c r="AI40" s="171">
        <f t="shared" ca="1" si="6"/>
        <v>0</v>
      </c>
      <c r="AJ40" s="154">
        <f ca="1">SUMIFS('OP. ABIERTAS (CFD)'!$M$2:$M$972,'OP. ABIERTAS (CFD)'!$D$2:$D$972, "="&amp;AG40)</f>
        <v>0</v>
      </c>
      <c r="AK40" s="171">
        <f t="shared" ca="1" si="7"/>
        <v>0</v>
      </c>
    </row>
    <row r="41" spans="22:37" x14ac:dyDescent="0.25">
      <c r="V41" s="132" t="s">
        <v>177</v>
      </c>
      <c r="W41" s="132" t="s">
        <v>155</v>
      </c>
      <c r="X41" s="143">
        <f ca="1">SUMIFS('Resumen OPERACIONES'!$AH$2:$AH$1006,'Resumen OPERACIONES'!$F$2:$F$1006, "="&amp;W41)</f>
        <v>0</v>
      </c>
      <c r="AF41" s="133" t="s">
        <v>177</v>
      </c>
      <c r="AG41" s="133" t="s">
        <v>155</v>
      </c>
      <c r="AH41" s="154">
        <f ca="1">SUMIFS('OP. ABIERTAS (ACCIONES)'!$M$2:$M$972,'OP. ABIERTAS (ACCIONES)'!$D$2:$D$972, "="&amp;AG41)</f>
        <v>0</v>
      </c>
      <c r="AI41" s="171">
        <f t="shared" ca="1" si="6"/>
        <v>0</v>
      </c>
      <c r="AJ41" s="154">
        <f ca="1">SUMIFS('OP. ABIERTAS (CFD)'!$M$2:$M$972,'OP. ABIERTAS (CFD)'!$D$2:$D$972, "="&amp;AG41)</f>
        <v>0</v>
      </c>
      <c r="AK41" s="171">
        <f t="shared" ca="1" si="7"/>
        <v>0</v>
      </c>
    </row>
    <row r="42" spans="22:37" x14ac:dyDescent="0.25">
      <c r="V42" s="132" t="s">
        <v>178</v>
      </c>
      <c r="W42" s="132" t="s">
        <v>156</v>
      </c>
      <c r="X42" s="143">
        <f ca="1">SUMIFS('Resumen OPERACIONES'!$AH$2:$AH$1006,'Resumen OPERACIONES'!$F$2:$F$1006, "="&amp;W42)</f>
        <v>0</v>
      </c>
      <c r="AF42" s="133" t="s">
        <v>178</v>
      </c>
      <c r="AG42" s="133" t="s">
        <v>156</v>
      </c>
      <c r="AH42" s="154">
        <f ca="1">SUMIFS('OP. ABIERTAS (ACCIONES)'!$M$2:$M$972,'OP. ABIERTAS (ACCIONES)'!$D$2:$D$972, "="&amp;AG42)</f>
        <v>0</v>
      </c>
      <c r="AI42" s="171">
        <f t="shared" ca="1" si="6"/>
        <v>0</v>
      </c>
      <c r="AJ42" s="154">
        <f ca="1">SUMIFS('OP. ABIERTAS (CFD)'!$M$2:$M$972,'OP. ABIERTAS (CFD)'!$D$2:$D$972, "="&amp;AG42)</f>
        <v>0</v>
      </c>
      <c r="AK42" s="171">
        <f t="shared" ca="1" si="7"/>
        <v>0</v>
      </c>
    </row>
    <row r="43" spans="22:37" x14ac:dyDescent="0.25">
      <c r="V43" s="132" t="s">
        <v>125</v>
      </c>
      <c r="W43" s="132" t="s">
        <v>157</v>
      </c>
      <c r="X43" s="143">
        <f ca="1">SUMIFS('Resumen OPERACIONES'!$AH$2:$AH$1006,'Resumen OPERACIONES'!$F$2:$F$1006, "="&amp;W43)</f>
        <v>0</v>
      </c>
      <c r="AF43" s="133" t="s">
        <v>125</v>
      </c>
      <c r="AG43" s="133" t="s">
        <v>157</v>
      </c>
      <c r="AH43" s="154">
        <f ca="1">SUMIFS('OP. ABIERTAS (ACCIONES)'!$M$2:$M$972,'OP. ABIERTAS (ACCIONES)'!$D$2:$D$972, "="&amp;AG43)</f>
        <v>0</v>
      </c>
      <c r="AI43" s="171">
        <f t="shared" ca="1" si="6"/>
        <v>0</v>
      </c>
      <c r="AJ43" s="154">
        <f ca="1">SUMIFS('OP. ABIERTAS (CFD)'!$M$2:$M$972,'OP. ABIERTAS (CFD)'!$D$2:$D$972, "="&amp;AG43)</f>
        <v>0</v>
      </c>
      <c r="AK43" s="171">
        <f t="shared" ca="1" si="7"/>
        <v>0</v>
      </c>
    </row>
    <row r="44" spans="22:37" x14ac:dyDescent="0.25">
      <c r="V44" s="132" t="s">
        <v>187</v>
      </c>
      <c r="W44" s="132" t="s">
        <v>101</v>
      </c>
      <c r="X44" s="143">
        <f ca="1">SUMIFS('Resumen OPERACIONES'!$AH$2:$AH$1006,'Resumen OPERACIONES'!$F$2:$F$1006, "="&amp;W44)</f>
        <v>-448.11999999999944</v>
      </c>
      <c r="AF44" s="133" t="s">
        <v>179</v>
      </c>
      <c r="AG44" s="133" t="s">
        <v>101</v>
      </c>
      <c r="AH44" s="154">
        <f ca="1">SUMIFS('OP. ABIERTAS (ACCIONES)'!$M$2:$M$972,'OP. ABIERTAS (ACCIONES)'!$D$2:$D$972, "="&amp;AG44)</f>
        <v>0</v>
      </c>
      <c r="AI44" s="171">
        <f t="shared" ca="1" si="6"/>
        <v>0</v>
      </c>
      <c r="AJ44" s="154">
        <f ca="1">SUMIFS('OP. ABIERTAS (CFD)'!$M$2:$M$972,'OP. ABIERTAS (CFD)'!$D$2:$D$972, "="&amp;AG44)</f>
        <v>0</v>
      </c>
      <c r="AK44" s="171">
        <f t="shared" ca="1" si="7"/>
        <v>0</v>
      </c>
    </row>
    <row r="45" spans="22:37" x14ac:dyDescent="0.25">
      <c r="V45" s="132" t="s">
        <v>180</v>
      </c>
      <c r="W45" s="132" t="s">
        <v>158</v>
      </c>
      <c r="X45" s="143">
        <f ca="1">SUMIFS('Resumen OPERACIONES'!$AH$2:$AH$1006,'Resumen OPERACIONES'!$F$2:$F$1006, "="&amp;W45)</f>
        <v>0</v>
      </c>
      <c r="AF45" s="133" t="s">
        <v>180</v>
      </c>
      <c r="AG45" s="133" t="s">
        <v>158</v>
      </c>
      <c r="AH45" s="154">
        <f ca="1">SUMIFS('OP. ABIERTAS (ACCIONES)'!$M$2:$M$972,'OP. ABIERTAS (ACCIONES)'!$D$2:$D$972, "="&amp;AG45)</f>
        <v>0</v>
      </c>
      <c r="AI45" s="171">
        <f t="shared" ca="1" si="6"/>
        <v>0</v>
      </c>
      <c r="AJ45" s="154">
        <f ca="1">SUMIFS('OP. ABIERTAS (CFD)'!$M$2:$M$972,'OP. ABIERTAS (CFD)'!$D$2:$D$972, "="&amp;AG45)</f>
        <v>0</v>
      </c>
      <c r="AK45" s="171">
        <f t="shared" ca="1" si="7"/>
        <v>0</v>
      </c>
    </row>
    <row r="46" spans="22:37" x14ac:dyDescent="0.25">
      <c r="V46" s="132" t="s">
        <v>181</v>
      </c>
      <c r="W46" s="132" t="s">
        <v>103</v>
      </c>
      <c r="X46" s="143">
        <f ca="1">SUMIFS('Resumen OPERACIONES'!$AH$2:$AH$1006,'Resumen OPERACIONES'!$F$2:$F$1006, "="&amp;W46)</f>
        <v>0</v>
      </c>
      <c r="AF46" s="133" t="s">
        <v>181</v>
      </c>
      <c r="AG46" s="133" t="s">
        <v>103</v>
      </c>
      <c r="AH46" s="154">
        <f ca="1">SUMIFS('OP. ABIERTAS (ACCIONES)'!$M$2:$M$972,'OP. ABIERTAS (ACCIONES)'!$D$2:$D$972, "="&amp;AG46)</f>
        <v>0</v>
      </c>
      <c r="AI46" s="171">
        <f t="shared" ca="1" si="6"/>
        <v>0</v>
      </c>
      <c r="AJ46" s="154">
        <f ca="1">SUMIFS('OP. ABIERTAS (CFD)'!$M$2:$M$972,'OP. ABIERTAS (CFD)'!$D$2:$D$972, "="&amp;AG46)</f>
        <v>0</v>
      </c>
      <c r="AK46" s="171">
        <f t="shared" ca="1" si="7"/>
        <v>0</v>
      </c>
    </row>
    <row r="47" spans="22:37" x14ac:dyDescent="0.25">
      <c r="V47" s="132" t="s">
        <v>182</v>
      </c>
      <c r="W47" s="132" t="s">
        <v>159</v>
      </c>
      <c r="X47" s="143">
        <f ca="1">SUMIFS('Resumen OPERACIONES'!$AH$2:$AH$1006,'Resumen OPERACIONES'!$F$2:$F$1006, "="&amp;W47)</f>
        <v>0</v>
      </c>
      <c r="AF47" s="133" t="s">
        <v>182</v>
      </c>
      <c r="AG47" s="133" t="s">
        <v>159</v>
      </c>
      <c r="AH47" s="154">
        <f ca="1">SUMIFS('OP. ABIERTAS (ACCIONES)'!$M$2:$M$972,'OP. ABIERTAS (ACCIONES)'!$D$2:$D$972, "="&amp;AG47)</f>
        <v>0</v>
      </c>
      <c r="AI47" s="171">
        <f t="shared" ca="1" si="6"/>
        <v>0</v>
      </c>
      <c r="AJ47" s="154">
        <f ca="1">SUMIFS('OP. ABIERTAS (CFD)'!$M$2:$M$972,'OP. ABIERTAS (CFD)'!$D$2:$D$972, "="&amp;AG47)</f>
        <v>0</v>
      </c>
      <c r="AK47" s="171">
        <f t="shared" ca="1" si="7"/>
        <v>0</v>
      </c>
    </row>
    <row r="48" spans="22:37" x14ac:dyDescent="0.25">
      <c r="V48" s="132" t="s">
        <v>182</v>
      </c>
      <c r="W48" s="132" t="s">
        <v>160</v>
      </c>
      <c r="X48" s="143">
        <f ca="1">SUMIFS('Resumen OPERACIONES'!$AH$2:$AH$1006,'Resumen OPERACIONES'!$F$2:$F$1006, "="&amp;W48)</f>
        <v>0</v>
      </c>
      <c r="AF48" s="133" t="s">
        <v>182</v>
      </c>
      <c r="AG48" s="133" t="s">
        <v>160</v>
      </c>
      <c r="AH48" s="154">
        <f ca="1">SUMIFS('OP. ABIERTAS (ACCIONES)'!$M$2:$M$972,'OP. ABIERTAS (ACCIONES)'!$D$2:$D$972, "="&amp;AG48)</f>
        <v>0</v>
      </c>
      <c r="AI48" s="171">
        <f t="shared" ca="1" si="6"/>
        <v>0</v>
      </c>
      <c r="AJ48" s="154">
        <f ca="1">SUMIFS('OP. ABIERTAS (CFD)'!$M$2:$M$972,'OP. ABIERTAS (CFD)'!$D$2:$D$972, "="&amp;AG48)</f>
        <v>0</v>
      </c>
      <c r="AK48" s="171">
        <f t="shared" ca="1" si="7"/>
        <v>0</v>
      </c>
    </row>
    <row r="49" spans="22:37" x14ac:dyDescent="0.25">
      <c r="V49" s="132" t="s">
        <v>182</v>
      </c>
      <c r="W49" s="132" t="s">
        <v>104</v>
      </c>
      <c r="X49" s="143">
        <f ca="1">SUMIFS('Resumen OPERACIONES'!$AH$2:$AH$1006,'Resumen OPERACIONES'!$F$2:$F$1006, "="&amp;W49)</f>
        <v>0</v>
      </c>
      <c r="AF49" s="133" t="s">
        <v>182</v>
      </c>
      <c r="AG49" s="133" t="s">
        <v>104</v>
      </c>
      <c r="AH49" s="154">
        <f ca="1">SUMIFS('OP. ABIERTAS (ACCIONES)'!$M$2:$M$972,'OP. ABIERTAS (ACCIONES)'!$D$2:$D$972, "="&amp;AG49)</f>
        <v>0</v>
      </c>
      <c r="AI49" s="171">
        <f t="shared" ca="1" si="6"/>
        <v>0</v>
      </c>
      <c r="AJ49" s="154">
        <f ca="1">SUMIFS('OP. ABIERTAS (CFD)'!$M$2:$M$972,'OP. ABIERTAS (CFD)'!$D$2:$D$972, "="&amp;AG49)</f>
        <v>0</v>
      </c>
      <c r="AK49" s="171">
        <f t="shared" ca="1" si="7"/>
        <v>0</v>
      </c>
    </row>
    <row r="50" spans="22:37" x14ac:dyDescent="0.25">
      <c r="V50" s="132" t="s">
        <v>182</v>
      </c>
      <c r="W50" s="132" t="s">
        <v>105</v>
      </c>
      <c r="X50" s="143">
        <f ca="1">SUMIFS('Resumen OPERACIONES'!$AH$2:$AH$1006,'Resumen OPERACIONES'!$F$2:$F$1006, "="&amp;W50)</f>
        <v>0</v>
      </c>
      <c r="AF50" s="133" t="s">
        <v>182</v>
      </c>
      <c r="AG50" s="133" t="s">
        <v>105</v>
      </c>
      <c r="AH50" s="154">
        <f ca="1">SUMIFS('OP. ABIERTAS (ACCIONES)'!$M$2:$M$972,'OP. ABIERTAS (ACCIONES)'!$D$2:$D$972, "="&amp;AG50)</f>
        <v>0</v>
      </c>
      <c r="AI50" s="171">
        <f t="shared" ca="1" si="6"/>
        <v>0</v>
      </c>
      <c r="AJ50" s="154">
        <f ca="1">SUMIFS('OP. ABIERTAS (CFD)'!$M$2:$M$972,'OP. ABIERTAS (CFD)'!$D$2:$D$972, "="&amp;AG50)</f>
        <v>0</v>
      </c>
      <c r="AK50" s="171">
        <f t="shared" ca="1" si="7"/>
        <v>0</v>
      </c>
    </row>
    <row r="51" spans="22:37" x14ac:dyDescent="0.25">
      <c r="V51" s="132" t="s">
        <v>182</v>
      </c>
      <c r="W51" s="132" t="s">
        <v>161</v>
      </c>
      <c r="X51" s="143">
        <f ca="1">SUMIFS('Resumen OPERACIONES'!$AH$2:$AH$1006,'Resumen OPERACIONES'!$F$2:$F$1006, "="&amp;W51)</f>
        <v>0</v>
      </c>
      <c r="AF51" s="133" t="s">
        <v>182</v>
      </c>
      <c r="AG51" s="133" t="s">
        <v>161</v>
      </c>
      <c r="AH51" s="154">
        <f ca="1">SUMIFS('OP. ABIERTAS (ACCIONES)'!$M$2:$M$972,'OP. ABIERTAS (ACCIONES)'!$D$2:$D$972, "="&amp;AG51)</f>
        <v>0</v>
      </c>
      <c r="AI51" s="171">
        <f t="shared" ca="1" si="6"/>
        <v>0</v>
      </c>
      <c r="AJ51" s="154">
        <f ca="1">SUMIFS('OP. ABIERTAS (CFD)'!$M$2:$M$972,'OP. ABIERTAS (CFD)'!$D$2:$D$972, "="&amp;AG51)</f>
        <v>0</v>
      </c>
      <c r="AK51" s="171">
        <f t="shared" ca="1" si="7"/>
        <v>0</v>
      </c>
    </row>
    <row r="52" spans="22:37" x14ac:dyDescent="0.25">
      <c r="V52" s="132" t="s">
        <v>182</v>
      </c>
      <c r="W52" s="132" t="s">
        <v>162</v>
      </c>
      <c r="X52" s="143">
        <f ca="1">SUMIFS('Resumen OPERACIONES'!$AH$2:$AH$1006,'Resumen OPERACIONES'!$F$2:$F$1006, "="&amp;W52)</f>
        <v>0</v>
      </c>
      <c r="AF52" s="133" t="s">
        <v>182</v>
      </c>
      <c r="AG52" s="133" t="s">
        <v>162</v>
      </c>
      <c r="AH52" s="154">
        <f ca="1">SUMIFS('OP. ABIERTAS (ACCIONES)'!$M$2:$M$972,'OP. ABIERTAS (ACCIONES)'!$D$2:$D$972, "="&amp;AG52)</f>
        <v>0</v>
      </c>
      <c r="AI52" s="171">
        <f t="shared" ca="1" si="6"/>
        <v>0</v>
      </c>
      <c r="AJ52" s="154">
        <f ca="1">SUMIFS('OP. ABIERTAS (CFD)'!$M$2:$M$972,'OP. ABIERTAS (CFD)'!$D$2:$D$972, "="&amp;AG52)</f>
        <v>0</v>
      </c>
      <c r="AK52" s="153">
        <f t="shared" ca="1" si="7"/>
        <v>0</v>
      </c>
    </row>
    <row r="53" spans="22:37" x14ac:dyDescent="0.25">
      <c r="V53" s="132" t="s">
        <v>226</v>
      </c>
      <c r="W53" s="132" t="s">
        <v>227</v>
      </c>
      <c r="X53" s="143">
        <f ca="1">SUMIFS('Resumen OPERACIONES'!$AH$2:$AH$1006,'Resumen OPERACIONES'!$F$2:$F$1006, "="&amp;W53)</f>
        <v>703.85399999999822</v>
      </c>
      <c r="AF53" s="133" t="s">
        <v>226</v>
      </c>
      <c r="AG53" s="133" t="s">
        <v>227</v>
      </c>
      <c r="AH53" s="154">
        <f ca="1">SUMIFS('OP. ABIERTAS (ACCIONES)'!$M$2:$M$972,'OP. ABIERTAS (ACCIONES)'!$D$2:$D$972, "="&amp;AG53)</f>
        <v>0</v>
      </c>
      <c r="AI53" s="171">
        <f t="shared" ref="AI53" ca="1" si="11">IF($G$7,AH53/$G$7,0)</f>
        <v>0</v>
      </c>
      <c r="AJ53" s="154">
        <f ca="1">SUMIFS('OP. ABIERTAS (CFD)'!$M$2:$M$972,'OP. ABIERTAS (CFD)'!$D$2:$D$972, "="&amp;AG53)</f>
        <v>0</v>
      </c>
      <c r="AK53" s="153">
        <f t="shared" ref="AK53" ca="1" si="12">IF($G$8,AJ53/$G$8,0)</f>
        <v>0</v>
      </c>
    </row>
  </sheetData>
  <mergeCells count="6">
    <mergeCell ref="AF1:AK1"/>
    <mergeCell ref="V1:X1"/>
    <mergeCell ref="A1:G1"/>
    <mergeCell ref="I1:Q1"/>
    <mergeCell ref="S1:T1"/>
    <mergeCell ref="Z1:A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EBC3-C731-4249-8E97-C22117BF6060}">
  <sheetPr codeName="Hoja7">
    <tabColor theme="7"/>
    <pageSetUpPr fitToPage="1"/>
  </sheetPr>
  <dimension ref="A1:AQ33"/>
  <sheetViews>
    <sheetView workbookViewId="0">
      <pane xSplit="4" ySplit="1" topLeftCell="E2" activePane="bottomRight" state="frozen"/>
      <selection pane="topRight" activeCell="E1" sqref="E1"/>
      <selection pane="bottomLeft" activeCell="A2" sqref="A2"/>
      <selection pane="bottomRight" activeCell="A17" sqref="A17:XFD20"/>
    </sheetView>
  </sheetViews>
  <sheetFormatPr baseColWidth="10" defaultColWidth="11.42578125" defaultRowHeight="15" x14ac:dyDescent="0.25"/>
  <cols>
    <col min="1" max="1" width="9" style="1" customWidth="1"/>
    <col min="2" max="2" width="8.5703125" style="1" customWidth="1"/>
    <col min="3" max="3" width="22.5703125" style="1" customWidth="1"/>
    <col min="4" max="5" width="11" style="1" customWidth="1"/>
    <col min="6" max="6" width="14.7109375" style="1" customWidth="1"/>
    <col min="7" max="7" width="22.5703125" style="1" customWidth="1"/>
    <col min="8" max="8" width="11.42578125" style="1" customWidth="1"/>
    <col min="9" max="9" width="12.5703125" style="1" customWidth="1"/>
    <col min="10" max="11" width="11.42578125" style="1"/>
    <col min="12" max="12" width="12.42578125" style="1" customWidth="1"/>
    <col min="13" max="13" width="15" style="1" customWidth="1"/>
    <col min="14" max="14" width="10.28515625" style="1" customWidth="1"/>
    <col min="15" max="16" width="9.85546875" style="1" customWidth="1"/>
    <col min="17" max="17" width="1" style="1" customWidth="1"/>
    <col min="18" max="18" width="11.140625" style="1" customWidth="1"/>
    <col min="19" max="19" width="12.140625" style="1" bestFit="1" customWidth="1"/>
    <col min="20" max="21" width="11.42578125" style="1"/>
    <col min="22" max="22" width="13.140625" style="1" customWidth="1"/>
    <col min="23" max="23" width="14.28515625" style="1" customWidth="1"/>
    <col min="24" max="24" width="10.28515625" style="1" customWidth="1"/>
    <col min="25" max="26" width="10.5703125" style="1" customWidth="1"/>
    <col min="27" max="27" width="1" style="1" customWidth="1"/>
    <col min="28" max="29" width="14.5703125" style="1" customWidth="1"/>
    <col min="30" max="30" width="11.85546875" style="1" customWidth="1"/>
    <col min="31" max="32" width="11.42578125" style="1"/>
    <col min="33" max="33" width="2" style="1" customWidth="1"/>
    <col min="34" max="34" width="11.42578125" style="1"/>
    <col min="35" max="35" width="1.140625" style="1" customWidth="1"/>
    <col min="36" max="36" width="15.5703125" style="1" customWidth="1"/>
    <col min="37" max="37" width="16.28515625" style="1" customWidth="1"/>
    <col min="38" max="38" width="1.7109375" style="1" customWidth="1"/>
    <col min="39" max="39" width="14.85546875" style="1" customWidth="1"/>
    <col min="40" max="40" width="2.28515625" style="1" customWidth="1"/>
    <col min="41" max="41" width="17.7109375" style="1" customWidth="1"/>
    <col min="42" max="42" width="17.28515625" style="1" customWidth="1"/>
    <col min="43" max="43" width="18.28515625" style="1" customWidth="1"/>
    <col min="44" max="16384" width="11.42578125" style="1"/>
  </cols>
  <sheetData>
    <row r="1" spans="1:43" x14ac:dyDescent="0.25">
      <c r="A1" t="s">
        <v>23</v>
      </c>
      <c r="B1" s="35" t="s">
        <v>12</v>
      </c>
      <c r="C1" s="35" t="s">
        <v>2</v>
      </c>
      <c r="D1" s="35" t="s">
        <v>29</v>
      </c>
      <c r="E1" s="35" t="s">
        <v>221</v>
      </c>
      <c r="F1" s="35" t="s">
        <v>28</v>
      </c>
      <c r="G1" s="35" t="s">
        <v>26</v>
      </c>
      <c r="H1" s="36" t="s">
        <v>1</v>
      </c>
      <c r="I1" s="36" t="s">
        <v>7</v>
      </c>
      <c r="J1" s="36" t="s">
        <v>13</v>
      </c>
      <c r="K1" s="36" t="s">
        <v>14</v>
      </c>
      <c r="L1" s="36" t="s">
        <v>53</v>
      </c>
      <c r="M1" s="36" t="s">
        <v>4</v>
      </c>
      <c r="N1" s="36" t="s">
        <v>15</v>
      </c>
      <c r="O1" s="36" t="s">
        <v>16</v>
      </c>
      <c r="P1" s="36" t="s">
        <v>24</v>
      </c>
      <c r="Q1" s="37"/>
      <c r="R1" s="38" t="s">
        <v>1</v>
      </c>
      <c r="S1" s="38" t="s">
        <v>7</v>
      </c>
      <c r="T1" s="38" t="s">
        <v>13</v>
      </c>
      <c r="U1" s="38" t="s">
        <v>14</v>
      </c>
      <c r="V1" s="38" t="s">
        <v>53</v>
      </c>
      <c r="W1" s="38" t="s">
        <v>4</v>
      </c>
      <c r="X1" s="38" t="s">
        <v>15</v>
      </c>
      <c r="Y1" s="38" t="s">
        <v>16</v>
      </c>
      <c r="Z1" s="38" t="s">
        <v>24</v>
      </c>
      <c r="AA1" s="37"/>
      <c r="AB1" s="39" t="s">
        <v>54</v>
      </c>
      <c r="AC1" s="158" t="s">
        <v>185</v>
      </c>
      <c r="AD1" s="39" t="s">
        <v>17</v>
      </c>
      <c r="AE1" s="39" t="s">
        <v>18</v>
      </c>
      <c r="AF1" s="39" t="s">
        <v>24</v>
      </c>
      <c r="AG1" s="39"/>
      <c r="AH1" s="39" t="s">
        <v>19</v>
      </c>
      <c r="AI1" s="37"/>
      <c r="AJ1" s="40" t="s">
        <v>193</v>
      </c>
      <c r="AK1" s="40" t="s">
        <v>194</v>
      </c>
      <c r="AM1" s="54" t="s">
        <v>56</v>
      </c>
      <c r="AO1" s="10" t="s">
        <v>191</v>
      </c>
      <c r="AP1" s="163" t="s">
        <v>190</v>
      </c>
      <c r="AQ1" s="163" t="s">
        <v>192</v>
      </c>
    </row>
    <row r="2" spans="1:43" x14ac:dyDescent="0.25">
      <c r="A2" s="1" t="s">
        <v>205</v>
      </c>
      <c r="B2" cm="1">
        <f t="array" aca="1" ref="B2" ca="1">INDIRECT(A2&amp;"!$d$1")</f>
        <v>21006</v>
      </c>
      <c r="C2" t="str" cm="1">
        <f t="array" aca="1" ref="C2" ca="1">INDIRECT(A2&amp;"!$B$2")</f>
        <v>AZIMUT</v>
      </c>
      <c r="D2" t="str" cm="1">
        <f t="array" aca="1" ref="D2" ca="1">INDIRECT(A2&amp;"!$F$2")</f>
        <v>AZM</v>
      </c>
      <c r="E2" t="str" cm="1">
        <f t="array" aca="1" ref="E2" ca="1">INDIRECT(A2&amp;"!$F$4")</f>
        <v>Acciones</v>
      </c>
      <c r="F2" t="str" cm="1">
        <f t="array" aca="1" ref="F2" ca="1">INDIRECT(A2&amp;"!$B$3")</f>
        <v>XMIL</v>
      </c>
      <c r="G2" t="str" cm="1">
        <f t="array" aca="1" ref="G2" ca="1">INDIRECT(A2&amp;"!$B$4")</f>
        <v>Financieras</v>
      </c>
      <c r="H2" t="str" cm="1">
        <f t="array" aca="1" ref="H2" ca="1">INDIRECT(A2&amp;"!$B$5")</f>
        <v>Compra</v>
      </c>
      <c r="I2" s="51" cm="1">
        <f t="array" aca="1" ref="I2" ca="1">INDIRECT(A2&amp;"!$B$6")</f>
        <v>44559</v>
      </c>
      <c r="J2" s="41" cm="1">
        <f t="array" aca="1" ref="J2" ca="1">INDIRECT(A2&amp;"!$A$19")</f>
        <v>81</v>
      </c>
      <c r="K2" s="137" cm="1">
        <f t="array" aca="1" ref="K2" ca="1">INDIRECT(A2&amp;"!$B$19")</f>
        <v>24.51</v>
      </c>
      <c r="L2" s="52" cm="1">
        <f t="array" aca="1" ref="L2" ca="1">INDIRECT(A2&amp;"!$C$19")</f>
        <v>24.51</v>
      </c>
      <c r="M2" s="50" cm="1">
        <f t="array" aca="1" ref="M2" ca="1">INDIRECT(A2&amp;"!$D$19")</f>
        <v>1985.3100000000002</v>
      </c>
      <c r="N2" s="50" cm="1">
        <f t="array" aca="1" ref="N2" ca="1">INDIRECT(A2&amp;"!$E$19")</f>
        <v>15</v>
      </c>
      <c r="O2" s="50" cm="1">
        <f t="array" aca="1" ref="O2" ca="1">INDIRECT(A2&amp;"!$F$19")</f>
        <v>1.99</v>
      </c>
      <c r="P2" s="50">
        <f t="shared" ref="P2:P7" ca="1" si="0">(N2+O2)</f>
        <v>16.989999999999998</v>
      </c>
      <c r="Q2"/>
      <c r="R2" t="str" cm="1">
        <f t="array" aca="1" ref="R2" ca="1">INDIRECT(A2&amp;"!$B$22")</f>
        <v>Venta</v>
      </c>
      <c r="S2" s="51" cm="1">
        <f t="array" aca="1" ref="S2" ca="1">INDIRECT(A2&amp;"!$B$23")</f>
        <v>44575</v>
      </c>
      <c r="T2" s="41" cm="1">
        <f t="array" aca="1" ref="T2" ca="1">INDIRECT(A2&amp;"!$A$36")</f>
        <v>81</v>
      </c>
      <c r="U2" s="137" cm="1">
        <f t="array" aca="1" ref="U2" ca="1">INDIRECT(A2&amp;"!$B$36")</f>
        <v>26.08</v>
      </c>
      <c r="V2" s="52" cm="1">
        <f t="array" aca="1" ref="V2" ca="1">INDIRECT(A2&amp;"!$C$36")</f>
        <v>26.08</v>
      </c>
      <c r="W2" s="50" cm="1">
        <f t="array" aca="1" ref="W2" ca="1">INDIRECT(A2&amp;"!$D$36")</f>
        <v>2112.48</v>
      </c>
      <c r="X2" s="50" cm="1">
        <f t="array" aca="1" ref="X2" ca="1">INDIRECT(A2&amp;"!$E$36")</f>
        <v>15</v>
      </c>
      <c r="Y2" s="50" cm="1">
        <f t="array" aca="1" ref="Y2" ca="1">INDIRECT(A2&amp;"!$F$36")</f>
        <v>0</v>
      </c>
      <c r="Z2" s="50">
        <f t="shared" ref="Z2:Z7" ca="1" si="1">(X2+Y2)</f>
        <v>15</v>
      </c>
      <c r="AA2"/>
      <c r="AB2" s="50" cm="1">
        <f t="array" aca="1" ref="AB2" ca="1">INDIRECT(A2&amp;"!$D$40")</f>
        <v>127.16999999999985</v>
      </c>
      <c r="AC2" s="159">
        <f ca="1">IF(AM2="LARGO",W2/M2-1,M2/W2-1)</f>
        <v>6.4055487556099466E-2</v>
      </c>
      <c r="AD2" s="50" cm="1">
        <f t="array" aca="1" ref="AD2" ca="1">INDIRECT(A2&amp;"!$E$40")</f>
        <v>30</v>
      </c>
      <c r="AE2" s="50" cm="1">
        <f t="array" aca="1" ref="AE2" ca="1">INDIRECT(A2&amp;"!$F$40")</f>
        <v>1.99</v>
      </c>
      <c r="AF2" s="50">
        <f t="shared" ref="AF2:AF7" ca="1" si="2">(N2+O2+X2+Y2)</f>
        <v>31.99</v>
      </c>
      <c r="AG2" s="50"/>
      <c r="AH2" s="136" cm="1">
        <f t="array" aca="1" ref="AH2" ca="1">INDIRECT(A2&amp;"!$F$42")</f>
        <v>95.179999999999851</v>
      </c>
      <c r="AI2"/>
      <c r="AJ2" s="50" cm="1">
        <f t="array" aca="1" ref="AJ2" ca="1">INDIRECT(A2&amp;"!$H$19")</f>
        <v>2002.3000000000002</v>
      </c>
      <c r="AK2" s="50" cm="1">
        <f t="array" aca="1" ref="AK2" ca="1">INDIRECT(A2&amp;"!$H$36")</f>
        <v>2097.48</v>
      </c>
      <c r="AM2" s="50" t="str" cm="1">
        <f t="array" aca="1" ref="AM2" ca="1">INDIRECT(A2&amp;"!$H$1")</f>
        <v>LARGO</v>
      </c>
      <c r="AO2" s="169">
        <f t="shared" ref="AO2:AO7" ca="1" si="3">IF(AND(AM2="LARGO"),S2,I2)</f>
        <v>44575</v>
      </c>
      <c r="AP2" s="169">
        <f t="shared" ref="AP2:AP7" ca="1" si="4">(AO2+62)</f>
        <v>44637</v>
      </c>
      <c r="AQ2" s="170" t="str">
        <f t="shared" ref="AQ2:AQ7" ca="1" si="5">IF(AND(TODAY()&gt;=AP2),"SI","NO")</f>
        <v>SI</v>
      </c>
    </row>
    <row r="3" spans="1:43" x14ac:dyDescent="0.25">
      <c r="A3" s="1" t="s">
        <v>203</v>
      </c>
      <c r="B3" cm="1">
        <f t="array" aca="1" ref="B3" ca="1">INDIRECT(A3&amp;"!$d$1")</f>
        <v>21004</v>
      </c>
      <c r="C3" t="str" cm="1">
        <f t="array" aca="1" ref="C3" ca="1">INDIRECT(A3&amp;"!$B$2")</f>
        <v>KBC</v>
      </c>
      <c r="D3" t="str" cm="1">
        <f t="array" aca="1" ref="D3" ca="1">INDIRECT(A3&amp;"!$F$2")</f>
        <v>KBC</v>
      </c>
      <c r="E3" t="str" cm="1">
        <f t="array" aca="1" ref="E3" ca="1">INDIRECT(A3&amp;"!$F$4")</f>
        <v>Acciones</v>
      </c>
      <c r="F3" t="str" cm="1">
        <f t="array" aca="1" ref="F3" ca="1">INDIRECT(A3&amp;"!$B$3")</f>
        <v>XBRU</v>
      </c>
      <c r="G3" t="str" cm="1">
        <f t="array" aca="1" ref="G3" ca="1">INDIRECT(A3&amp;"!$B$4")</f>
        <v>Financieras</v>
      </c>
      <c r="H3" t="str" cm="1">
        <f t="array" aca="1" ref="H3" ca="1">INDIRECT(A3&amp;"!$B$5")</f>
        <v>Compra</v>
      </c>
      <c r="I3" s="51" cm="1">
        <f t="array" aca="1" ref="I3" ca="1">INDIRECT(A3&amp;"!$B$6")</f>
        <v>44549</v>
      </c>
      <c r="J3" s="41" cm="1">
        <f t="array" aca="1" ref="J3" ca="1">INDIRECT(A3&amp;"!$A$19")</f>
        <v>14</v>
      </c>
      <c r="K3" s="137" cm="1">
        <f t="array" aca="1" ref="K3" ca="1">INDIRECT(A3&amp;"!$B$19")</f>
        <v>72</v>
      </c>
      <c r="L3" s="52" cm="1">
        <f t="array" aca="1" ref="L3" ca="1">INDIRECT(A3&amp;"!$C$19")</f>
        <v>72</v>
      </c>
      <c r="M3" s="50" cm="1">
        <f t="array" aca="1" ref="M3" ca="1">INDIRECT(A3&amp;"!$D$19")</f>
        <v>1008</v>
      </c>
      <c r="N3" s="50" cm="1">
        <f t="array" aca="1" ref="N3" ca="1">INDIRECT(A3&amp;"!$E$19")</f>
        <v>15</v>
      </c>
      <c r="O3" s="50" cm="1">
        <f t="array" aca="1" ref="O3" ca="1">INDIRECT(A3&amp;"!$F$19")</f>
        <v>0</v>
      </c>
      <c r="P3" s="50">
        <f t="shared" ca="1" si="0"/>
        <v>15</v>
      </c>
      <c r="Q3"/>
      <c r="R3" t="str" cm="1">
        <f t="array" aca="1" ref="R3" ca="1">INDIRECT(A3&amp;"!$B$22")</f>
        <v>Venta</v>
      </c>
      <c r="S3" s="51" cm="1">
        <f t="array" aca="1" ref="S3" ca="1">INDIRECT(A3&amp;"!$B$23")</f>
        <v>44580</v>
      </c>
      <c r="T3" s="41" cm="1">
        <f t="array" aca="1" ref="T3" ca="1">INDIRECT(A3&amp;"!$A$36")</f>
        <v>14</v>
      </c>
      <c r="U3" s="137" cm="1">
        <f t="array" aca="1" ref="U3" ca="1">INDIRECT(A3&amp;"!$B$36")</f>
        <v>83.28</v>
      </c>
      <c r="V3" s="52" cm="1">
        <f t="array" aca="1" ref="V3" ca="1">INDIRECT(A3&amp;"!$C$36")</f>
        <v>83.28</v>
      </c>
      <c r="W3" s="50" cm="1">
        <f t="array" aca="1" ref="W3" ca="1">INDIRECT(A3&amp;"!$D$36")</f>
        <v>1165.92</v>
      </c>
      <c r="X3" s="50" cm="1">
        <f t="array" aca="1" ref="X3" ca="1">INDIRECT(A3&amp;"!$E$36")</f>
        <v>15</v>
      </c>
      <c r="Y3" s="50" cm="1">
        <f t="array" aca="1" ref="Y3" ca="1">INDIRECT(A3&amp;"!$F$36")</f>
        <v>0</v>
      </c>
      <c r="Z3" s="50">
        <f t="shared" ca="1" si="1"/>
        <v>15</v>
      </c>
      <c r="AA3"/>
      <c r="AB3" s="50" cm="1">
        <f t="array" aca="1" ref="AB3" ca="1">INDIRECT(A3&amp;"!$D$40")</f>
        <v>157.92000000000007</v>
      </c>
      <c r="AC3" s="159">
        <f t="shared" ref="AC3:AC9" ca="1" si="6">IF(AM3="LARGO",W3/M3-1,M3/W3-1)</f>
        <v>0.15666666666666673</v>
      </c>
      <c r="AD3" s="50" cm="1">
        <f t="array" aca="1" ref="AD3" ca="1">INDIRECT(A3&amp;"!$E$40")</f>
        <v>30</v>
      </c>
      <c r="AE3" s="50" cm="1">
        <f t="array" aca="1" ref="AE3" ca="1">INDIRECT(A3&amp;"!$F$40")</f>
        <v>0</v>
      </c>
      <c r="AF3" s="50">
        <f t="shared" ca="1" si="2"/>
        <v>30</v>
      </c>
      <c r="AG3" s="50"/>
      <c r="AH3" s="136" cm="1">
        <f t="array" aca="1" ref="AH3" ca="1">INDIRECT(A3&amp;"!$F$42")</f>
        <v>127.92000000000007</v>
      </c>
      <c r="AI3"/>
      <c r="AJ3" s="50" cm="1">
        <f t="array" aca="1" ref="AJ3" ca="1">INDIRECT(A3&amp;"!$H$19")</f>
        <v>1023</v>
      </c>
      <c r="AK3" s="50" cm="1">
        <f t="array" aca="1" ref="AK3" ca="1">INDIRECT(A3&amp;"!$H$36")</f>
        <v>1150.92</v>
      </c>
      <c r="AM3" s="50" t="str" cm="1">
        <f t="array" aca="1" ref="AM3" ca="1">INDIRECT(A3&amp;"!$H$1")</f>
        <v>LARGO</v>
      </c>
      <c r="AO3" s="169">
        <f t="shared" ca="1" si="3"/>
        <v>44580</v>
      </c>
      <c r="AP3" s="169">
        <f t="shared" ca="1" si="4"/>
        <v>44642</v>
      </c>
      <c r="AQ3" s="170" t="str">
        <f t="shared" ca="1" si="5"/>
        <v>SI</v>
      </c>
    </row>
    <row r="4" spans="1:43" x14ac:dyDescent="0.25">
      <c r="A4" s="1" t="s">
        <v>204</v>
      </c>
      <c r="B4" cm="1">
        <f t="array" aca="1" ref="B4" ca="1">INDIRECT(A4&amp;"!$d$1")</f>
        <v>21005</v>
      </c>
      <c r="C4" t="str" cm="1">
        <f t="array" aca="1" ref="C4" ca="1">INDIRECT(A4&amp;"!$B$2")</f>
        <v>ASM</v>
      </c>
      <c r="D4" t="str" cm="1">
        <f t="array" aca="1" ref="D4" ca="1">INDIRECT(A4&amp;"!$F$2")</f>
        <v>ASM</v>
      </c>
      <c r="E4" t="str" cm="1">
        <f t="array" aca="1" ref="E4" ca="1">INDIRECT(A4&amp;"!$F$4")</f>
        <v>Acciones</v>
      </c>
      <c r="F4" t="str" cm="1">
        <f t="array" aca="1" ref="F4" ca="1">INDIRECT(A4&amp;"!$B$3")</f>
        <v>XAMS</v>
      </c>
      <c r="G4" t="str" cm="1">
        <f t="array" aca="1" ref="G4" ca="1">INDIRECT(A4&amp;"!$B$4")</f>
        <v>Tecnologia</v>
      </c>
      <c r="H4" t="str" cm="1">
        <f t="array" aca="1" ref="H4" ca="1">INDIRECT(A4&amp;"!$B$5")</f>
        <v>Compra</v>
      </c>
      <c r="I4" s="51" cm="1">
        <f t="array" aca="1" ref="I4" ca="1">INDIRECT(A4&amp;"!$B$6")</f>
        <v>44559</v>
      </c>
      <c r="J4" s="41" cm="1">
        <f t="array" aca="1" ref="J4" ca="1">INDIRECT(A4&amp;"!$A$19")</f>
        <v>5</v>
      </c>
      <c r="K4" s="137" cm="1">
        <f t="array" aca="1" ref="K4" ca="1">INDIRECT(A4&amp;"!$B$19")</f>
        <v>396.2</v>
      </c>
      <c r="L4" s="52" cm="1">
        <f t="array" aca="1" ref="L4" ca="1">INDIRECT(A4&amp;"!$C$19")</f>
        <v>396.2</v>
      </c>
      <c r="M4" s="50" cm="1">
        <f t="array" aca="1" ref="M4" ca="1">INDIRECT(A4&amp;"!$D$19")</f>
        <v>1981</v>
      </c>
      <c r="N4" s="50" cm="1">
        <f t="array" aca="1" ref="N4" ca="1">INDIRECT(A4&amp;"!$E$19")</f>
        <v>15</v>
      </c>
      <c r="O4" s="50" cm="1">
        <f t="array" aca="1" ref="O4" ca="1">INDIRECT(A4&amp;"!$F$19")</f>
        <v>0</v>
      </c>
      <c r="P4" s="50">
        <f t="shared" ca="1" si="0"/>
        <v>15</v>
      </c>
      <c r="Q4"/>
      <c r="R4" t="str" cm="1">
        <f t="array" aca="1" ref="R4" ca="1">INDIRECT(A4&amp;"!$B$22")</f>
        <v>Venta</v>
      </c>
      <c r="S4" s="51" cm="1">
        <f t="array" aca="1" ref="S4" ca="1">INDIRECT(A4&amp;"!$B$23")</f>
        <v>44585</v>
      </c>
      <c r="T4" s="41" cm="1">
        <f t="array" aca="1" ref="T4" ca="1">INDIRECT(A4&amp;"!$A$36")</f>
        <v>5</v>
      </c>
      <c r="U4" s="137" cm="1">
        <f t="array" aca="1" ref="U4" ca="1">INDIRECT(A4&amp;"!$B$36")</f>
        <v>299.39999999999998</v>
      </c>
      <c r="V4" s="52" cm="1">
        <f t="array" aca="1" ref="V4" ca="1">INDIRECT(A4&amp;"!$C$36")</f>
        <v>299.39999999999998</v>
      </c>
      <c r="W4" s="50" cm="1">
        <f t="array" aca="1" ref="W4" ca="1">INDIRECT(A4&amp;"!$D$36")</f>
        <v>1497</v>
      </c>
      <c r="X4" s="50" cm="1">
        <f t="array" aca="1" ref="X4" ca="1">INDIRECT(A4&amp;"!$E$36")</f>
        <v>15</v>
      </c>
      <c r="Y4" s="50" cm="1">
        <f t="array" aca="1" ref="Y4" ca="1">INDIRECT(A4&amp;"!$F$36")</f>
        <v>0</v>
      </c>
      <c r="Z4" s="50">
        <f t="shared" ca="1" si="1"/>
        <v>15</v>
      </c>
      <c r="AA4"/>
      <c r="AB4" s="50" cm="1">
        <f t="array" aca="1" ref="AB4" ca="1">INDIRECT(A4&amp;"!$D$40")</f>
        <v>-484</v>
      </c>
      <c r="AC4" s="159">
        <f t="shared" ca="1" si="6"/>
        <v>-0.24432104997476023</v>
      </c>
      <c r="AD4" s="50" cm="1">
        <f t="array" aca="1" ref="AD4" ca="1">INDIRECT(A4&amp;"!$E$40")</f>
        <v>30</v>
      </c>
      <c r="AE4" s="50" cm="1">
        <f t="array" aca="1" ref="AE4" ca="1">INDIRECT(A4&amp;"!$F$40")</f>
        <v>0</v>
      </c>
      <c r="AF4" s="50">
        <f t="shared" ca="1" si="2"/>
        <v>30</v>
      </c>
      <c r="AG4" s="50"/>
      <c r="AH4" s="136" cm="1">
        <f t="array" aca="1" ref="AH4" ca="1">INDIRECT(A4&amp;"!$F$42")</f>
        <v>-514</v>
      </c>
      <c r="AI4"/>
      <c r="AJ4" s="50" cm="1">
        <f t="array" aca="1" ref="AJ4" ca="1">INDIRECT(A4&amp;"!$H$19")</f>
        <v>1996</v>
      </c>
      <c r="AK4" s="50" cm="1">
        <f t="array" aca="1" ref="AK4" ca="1">INDIRECT(A4&amp;"!$H$36")</f>
        <v>1482</v>
      </c>
      <c r="AM4" s="50" t="str" cm="1">
        <f t="array" aca="1" ref="AM4" ca="1">INDIRECT(A4&amp;"!$H$1")</f>
        <v>LARGO</v>
      </c>
      <c r="AO4" s="169">
        <f t="shared" ca="1" si="3"/>
        <v>44585</v>
      </c>
      <c r="AP4" s="169">
        <f t="shared" ca="1" si="4"/>
        <v>44647</v>
      </c>
      <c r="AQ4" s="170" t="str">
        <f t="shared" ca="1" si="5"/>
        <v>SI</v>
      </c>
    </row>
    <row r="5" spans="1:43" x14ac:dyDescent="0.25">
      <c r="A5" s="1" t="s">
        <v>208</v>
      </c>
      <c r="B5" cm="1">
        <f t="array" aca="1" ref="B5" ca="1">INDIRECT(A5&amp;"!$d$1")</f>
        <v>22001</v>
      </c>
      <c r="C5" t="str" cm="1">
        <f t="array" aca="1" ref="C5" ca="1">INDIRECT(A5&amp;"!$B$2")</f>
        <v>WOLTERS KLUVER</v>
      </c>
      <c r="D5" t="str" cm="1">
        <f t="array" aca="1" ref="D5" ca="1">INDIRECT(A5&amp;"!$F$2")</f>
        <v>WKL</v>
      </c>
      <c r="E5" t="str" cm="1">
        <f t="array" aca="1" ref="E5" ca="1">INDIRECT(A5&amp;"!$F$4")</f>
        <v>Acciones</v>
      </c>
      <c r="F5" t="str" cm="1">
        <f t="array" aca="1" ref="F5" ca="1">INDIRECT(A5&amp;"!$B$3")</f>
        <v>XAMS</v>
      </c>
      <c r="G5" t="str" cm="1">
        <f t="array" aca="1" ref="G5" ca="1">INDIRECT(A5&amp;"!$B$4")</f>
        <v>Discrecional (Serv. Consu.)</v>
      </c>
      <c r="H5" t="str" cm="1">
        <f t="array" aca="1" ref="H5" ca="1">INDIRECT(A5&amp;"!$B$5")</f>
        <v>Compra</v>
      </c>
      <c r="I5" s="51" cm="1">
        <f t="array" aca="1" ref="I5" ca="1">INDIRECT(A5&amp;"!$B$6")</f>
        <v>44593</v>
      </c>
      <c r="J5" s="41" cm="1">
        <f t="array" aca="1" ref="J5" ca="1">INDIRECT(A5&amp;"!$A$19")</f>
        <v>34</v>
      </c>
      <c r="K5" s="137" cm="1">
        <f t="array" aca="1" ref="K5" ca="1">INDIRECT(A5&amp;"!$B$19")</f>
        <v>90.6</v>
      </c>
      <c r="L5" s="52" cm="1">
        <f t="array" aca="1" ref="L5" ca="1">INDIRECT(A5&amp;"!$C$19")</f>
        <v>90.6</v>
      </c>
      <c r="M5" s="50" cm="1">
        <f t="array" aca="1" ref="M5" ca="1">INDIRECT(A5&amp;"!$D$19")</f>
        <v>3080.3999999999996</v>
      </c>
      <c r="N5" s="50" cm="1">
        <f t="array" aca="1" ref="N5" ca="1">INDIRECT(A5&amp;"!$E$19")</f>
        <v>15</v>
      </c>
      <c r="O5" s="50" cm="1">
        <f t="array" aca="1" ref="O5" ca="1">INDIRECT(A5&amp;"!$F$19")</f>
        <v>0</v>
      </c>
      <c r="P5" s="50">
        <f t="shared" ca="1" si="0"/>
        <v>15</v>
      </c>
      <c r="Q5"/>
      <c r="R5" t="str" cm="1">
        <f t="array" aca="1" ref="R5" ca="1">INDIRECT(A5&amp;"!$B$22")</f>
        <v>Venta</v>
      </c>
      <c r="S5" s="51" cm="1">
        <f t="array" aca="1" ref="S5" ca="1">INDIRECT(A5&amp;"!$B$23")</f>
        <v>44636</v>
      </c>
      <c r="T5" s="41" cm="1">
        <f t="array" aca="1" ref="T5" ca="1">INDIRECT(A5&amp;"!$A$36")</f>
        <v>34</v>
      </c>
      <c r="U5" s="137" cm="1">
        <f t="array" aca="1" ref="U5" ca="1">INDIRECT(A5&amp;"!$B$36")</f>
        <v>93.42</v>
      </c>
      <c r="V5" s="52" cm="1">
        <f t="array" aca="1" ref="V5" ca="1">INDIRECT(A5&amp;"!$C$36")</f>
        <v>93.42</v>
      </c>
      <c r="W5" s="50" cm="1">
        <f t="array" aca="1" ref="W5" ca="1">INDIRECT(A5&amp;"!$D$36")</f>
        <v>3176.28</v>
      </c>
      <c r="X5" s="50" cm="1">
        <f t="array" aca="1" ref="X5" ca="1">INDIRECT(A5&amp;"!$E$36")</f>
        <v>15</v>
      </c>
      <c r="Y5" s="50" cm="1">
        <f t="array" aca="1" ref="Y5" ca="1">INDIRECT(A5&amp;"!$F$36")</f>
        <v>0</v>
      </c>
      <c r="Z5" s="50">
        <f t="shared" ca="1" si="1"/>
        <v>15</v>
      </c>
      <c r="AA5"/>
      <c r="AB5" s="50" cm="1">
        <f t="array" aca="1" ref="AB5" ca="1">INDIRECT(A5&amp;"!$D$40")</f>
        <v>95.880000000000564</v>
      </c>
      <c r="AC5" s="159">
        <f t="shared" ca="1" si="6"/>
        <v>3.1125827814569629E-2</v>
      </c>
      <c r="AD5" s="50" cm="1">
        <f t="array" aca="1" ref="AD5" ca="1">INDIRECT(A5&amp;"!$E$40")</f>
        <v>30</v>
      </c>
      <c r="AE5" s="50" cm="1">
        <f t="array" aca="1" ref="AE5" ca="1">INDIRECT(A5&amp;"!$F$40")</f>
        <v>0</v>
      </c>
      <c r="AF5" s="50">
        <f t="shared" ca="1" si="2"/>
        <v>30</v>
      </c>
      <c r="AG5" s="50"/>
      <c r="AH5" s="136" cm="1">
        <f t="array" aca="1" ref="AH5" ca="1">INDIRECT(A5&amp;"!$F$42")</f>
        <v>65.880000000000564</v>
      </c>
      <c r="AI5"/>
      <c r="AJ5" s="50" cm="1">
        <f t="array" aca="1" ref="AJ5" ca="1">INDIRECT(A5&amp;"!$H$19")</f>
        <v>3095.3999999999996</v>
      </c>
      <c r="AK5" s="50" cm="1">
        <f t="array" aca="1" ref="AK5" ca="1">INDIRECT(A5&amp;"!$H$36")</f>
        <v>3161.28</v>
      </c>
      <c r="AM5" s="50" t="str" cm="1">
        <f t="array" aca="1" ref="AM5" ca="1">INDIRECT(A5&amp;"!$H$1")</f>
        <v>LARGO</v>
      </c>
      <c r="AO5" s="169">
        <f t="shared" ca="1" si="3"/>
        <v>44636</v>
      </c>
      <c r="AP5" s="169">
        <f t="shared" ca="1" si="4"/>
        <v>44698</v>
      </c>
      <c r="AQ5" s="170" t="str">
        <f t="shared" ca="1" si="5"/>
        <v>SI</v>
      </c>
    </row>
    <row r="6" spans="1:43" x14ac:dyDescent="0.25">
      <c r="A6" s="1" t="s">
        <v>211</v>
      </c>
      <c r="B6" cm="1">
        <f t="array" aca="1" ref="B6" ca="1">INDIRECT(A6&amp;"!$d$1")</f>
        <v>22002</v>
      </c>
      <c r="C6" t="str" cm="1">
        <f t="array" aca="1" ref="C6" ca="1">INDIRECT(A6&amp;"!$B$2")</f>
        <v>DASSAULT SYSTEMS</v>
      </c>
      <c r="D6" t="str" cm="1">
        <f t="array" aca="1" ref="D6" ca="1">INDIRECT(A6&amp;"!$F$2")</f>
        <v>DSY</v>
      </c>
      <c r="E6" t="str" cm="1">
        <f t="array" aca="1" ref="E6" ca="1">INDIRECT(A6&amp;"!$F$4")</f>
        <v>Acciones</v>
      </c>
      <c r="F6" t="str" cm="1">
        <f t="array" aca="1" ref="F6" ca="1">INDIRECT(A6&amp;"!$B$3")</f>
        <v>XPAR</v>
      </c>
      <c r="G6" t="str" cm="1">
        <f t="array" aca="1" ref="G6" ca="1">INDIRECT(A6&amp;"!$B$4")</f>
        <v>Tecnologia</v>
      </c>
      <c r="H6" t="str" cm="1">
        <f t="array" aca="1" ref="H6" ca="1">INDIRECT(A6&amp;"!$B$5")</f>
        <v>Compra</v>
      </c>
      <c r="I6" s="51" cm="1">
        <f t="array" aca="1" ref="I6" ca="1">INDIRECT(A6&amp;"!$B$6")</f>
        <v>44593</v>
      </c>
      <c r="J6" s="41" cm="1">
        <f t="array" aca="1" ref="J6" ca="1">INDIRECT(A6&amp;"!$A$19")</f>
        <v>71</v>
      </c>
      <c r="K6" s="137" cm="1">
        <f t="array" aca="1" ref="K6" ca="1">INDIRECT(A6&amp;"!$B$19")</f>
        <v>42.58</v>
      </c>
      <c r="L6" s="52" cm="1">
        <f t="array" aca="1" ref="L6" ca="1">INDIRECT(A6&amp;"!$C$19")</f>
        <v>42.58</v>
      </c>
      <c r="M6" s="50" cm="1">
        <f t="array" aca="1" ref="M6" ca="1">INDIRECT(A6&amp;"!$D$19")</f>
        <v>3023.18</v>
      </c>
      <c r="N6" s="50" cm="1">
        <f t="array" aca="1" ref="N6" ca="1">INDIRECT(A6&amp;"!$E$19")</f>
        <v>15</v>
      </c>
      <c r="O6" s="50" cm="1">
        <f t="array" aca="1" ref="O6" ca="1">INDIRECT(A6&amp;"!$F$19")</f>
        <v>0</v>
      </c>
      <c r="P6" s="50">
        <f t="shared" ca="1" si="0"/>
        <v>15</v>
      </c>
      <c r="Q6"/>
      <c r="R6" t="str" cm="1">
        <f t="array" aca="1" ref="R6" ca="1">INDIRECT(A6&amp;"!$B$22")</f>
        <v>Venta</v>
      </c>
      <c r="S6" s="51" cm="1">
        <f t="array" aca="1" ref="S6" ca="1">INDIRECT(A6&amp;"!$B$23")</f>
        <v>44636</v>
      </c>
      <c r="T6" s="41" cm="1">
        <f t="array" aca="1" ref="T6" ca="1">INDIRECT(A6&amp;"!$A$36")</f>
        <v>71</v>
      </c>
      <c r="U6" s="137" cm="1">
        <f t="array" aca="1" ref="U6" ca="1">INDIRECT(A6&amp;"!$B$36")</f>
        <v>43.755000000000003</v>
      </c>
      <c r="V6" s="52" cm="1">
        <f t="array" aca="1" ref="V6" ca="1">INDIRECT(A6&amp;"!$C$36")</f>
        <v>43.755000000000003</v>
      </c>
      <c r="W6" s="50" cm="1">
        <f t="array" aca="1" ref="W6" ca="1">INDIRECT(A6&amp;"!$D$36")</f>
        <v>3106.605</v>
      </c>
      <c r="X6" s="50" cm="1">
        <f t="array" aca="1" ref="X6" ca="1">INDIRECT(A6&amp;"!$E$36")</f>
        <v>15</v>
      </c>
      <c r="Y6" s="50" cm="1">
        <f t="array" aca="1" ref="Y6" ca="1">INDIRECT(A6&amp;"!$F$36")</f>
        <v>0</v>
      </c>
      <c r="Z6" s="50">
        <f t="shared" ca="1" si="1"/>
        <v>15</v>
      </c>
      <c r="AA6"/>
      <c r="AB6" s="50" cm="1">
        <f t="array" aca="1" ref="AB6" ca="1">INDIRECT(A6&amp;"!$D$40")</f>
        <v>83.425000000000182</v>
      </c>
      <c r="AC6" s="159">
        <f t="shared" ca="1" si="6"/>
        <v>2.7595115077501342E-2</v>
      </c>
      <c r="AD6" s="50" cm="1">
        <f t="array" aca="1" ref="AD6" ca="1">INDIRECT(A6&amp;"!$E$40")</f>
        <v>30</v>
      </c>
      <c r="AE6" s="50" cm="1">
        <f t="array" aca="1" ref="AE6" ca="1">INDIRECT(A6&amp;"!$F$40")</f>
        <v>0</v>
      </c>
      <c r="AF6" s="50">
        <f t="shared" ca="1" si="2"/>
        <v>30</v>
      </c>
      <c r="AG6" s="50"/>
      <c r="AH6" s="136" cm="1">
        <f t="array" aca="1" ref="AH6" ca="1">INDIRECT(A6&amp;"!$F$42")</f>
        <v>53.425000000000182</v>
      </c>
      <c r="AI6"/>
      <c r="AJ6" s="50" cm="1">
        <f t="array" aca="1" ref="AJ6" ca="1">INDIRECT(A6&amp;"!$H$19")</f>
        <v>3038.18</v>
      </c>
      <c r="AK6" s="50" cm="1">
        <f t="array" aca="1" ref="AK6" ca="1">INDIRECT(A6&amp;"!$H$36")</f>
        <v>3091.605</v>
      </c>
      <c r="AM6" s="50" t="str" cm="1">
        <f t="array" aca="1" ref="AM6" ca="1">INDIRECT(A6&amp;"!$H$1")</f>
        <v>LARGO</v>
      </c>
      <c r="AO6" s="169">
        <f t="shared" ca="1" si="3"/>
        <v>44636</v>
      </c>
      <c r="AP6" s="169">
        <f t="shared" ca="1" si="4"/>
        <v>44698</v>
      </c>
      <c r="AQ6" s="170" t="str">
        <f t="shared" ca="1" si="5"/>
        <v>SI</v>
      </c>
    </row>
    <row r="7" spans="1:43" x14ac:dyDescent="0.25">
      <c r="A7" s="1" t="s">
        <v>213</v>
      </c>
      <c r="B7" cm="1">
        <f t="array" aca="1" ref="B7" ca="1">INDIRECT(A7&amp;"!$d$1")</f>
        <v>22003</v>
      </c>
      <c r="C7" t="str" cm="1">
        <f t="array" aca="1" ref="C7" ca="1">INDIRECT(A7&amp;"!$B$2")</f>
        <v>SYMRISE AG</v>
      </c>
      <c r="D7" t="str" cm="1">
        <f t="array" aca="1" ref="D7" ca="1">INDIRECT(A7&amp;"!$F$2")</f>
        <v>SY1</v>
      </c>
      <c r="E7" t="str" cm="1">
        <f t="array" aca="1" ref="E7" ca="1">INDIRECT(A7&amp;"!$F$4")</f>
        <v>Acciones</v>
      </c>
      <c r="F7" t="str" cm="1">
        <f t="array" aca="1" ref="F7" ca="1">INDIRECT(A7&amp;"!$B$3")</f>
        <v>XETR</v>
      </c>
      <c r="G7" t="str" cm="1">
        <f t="array" aca="1" ref="G7" ca="1">INDIRECT(A7&amp;"!$B$4")</f>
        <v>Materiales Básicos</v>
      </c>
      <c r="H7" t="str" cm="1">
        <f t="array" aca="1" ref="H7" ca="1">INDIRECT(A7&amp;"!$B$5")</f>
        <v>Compra</v>
      </c>
      <c r="I7" s="51" cm="1">
        <f t="array" aca="1" ref="I7" ca="1">INDIRECT(A7&amp;"!$B$6")</f>
        <v>44620</v>
      </c>
      <c r="J7" s="41" cm="1">
        <f t="array" aca="1" ref="J7" ca="1">INDIRECT(A7&amp;"!$A$19")</f>
        <v>28</v>
      </c>
      <c r="K7" s="137" cm="1">
        <f t="array" aca="1" ref="K7" ca="1">INDIRECT(A7&amp;"!$B$19")</f>
        <v>104.6</v>
      </c>
      <c r="L7" s="52" cm="1">
        <f t="array" aca="1" ref="L7" ca="1">INDIRECT(A7&amp;"!$C$19")</f>
        <v>104.6</v>
      </c>
      <c r="M7" s="50" cm="1">
        <f t="array" aca="1" ref="M7" ca="1">INDIRECT(A7&amp;"!$D$19")</f>
        <v>2928.7999999999997</v>
      </c>
      <c r="N7" s="50" cm="1">
        <f t="array" aca="1" ref="N7" ca="1">INDIRECT(A7&amp;"!$E$19")</f>
        <v>15</v>
      </c>
      <c r="O7" s="50" cm="1">
        <f t="array" aca="1" ref="O7" ca="1">INDIRECT(A7&amp;"!$F$19")</f>
        <v>0</v>
      </c>
      <c r="P7" s="50">
        <f t="shared" ca="1" si="0"/>
        <v>15</v>
      </c>
      <c r="Q7"/>
      <c r="R7" t="str" cm="1">
        <f t="array" aca="1" ref="R7" ca="1">INDIRECT(A7&amp;"!$B$22")</f>
        <v>Venta</v>
      </c>
      <c r="S7" s="51" cm="1">
        <f t="array" aca="1" ref="S7" ca="1">INDIRECT(A7&amp;"!$B$23")</f>
        <v>44641</v>
      </c>
      <c r="T7" s="41" cm="1">
        <f t="array" aca="1" ref="T7" ca="1">INDIRECT(A7&amp;"!$A$36")</f>
        <v>28</v>
      </c>
      <c r="U7" s="137" cm="1">
        <f t="array" aca="1" ref="U7" ca="1">INDIRECT(A7&amp;"!$B$36")</f>
        <v>107.1</v>
      </c>
      <c r="V7" s="52" cm="1">
        <f t="array" aca="1" ref="V7" ca="1">INDIRECT(A7&amp;"!$C$36")</f>
        <v>107.1</v>
      </c>
      <c r="W7" s="50" cm="1">
        <f t="array" aca="1" ref="W7" ca="1">INDIRECT(A7&amp;"!$D$36")</f>
        <v>2998.7999999999997</v>
      </c>
      <c r="X7" s="50" cm="1">
        <f t="array" aca="1" ref="X7" ca="1">INDIRECT(A7&amp;"!$E$36")</f>
        <v>15</v>
      </c>
      <c r="Y7" s="50" cm="1">
        <f t="array" aca="1" ref="Y7" ca="1">INDIRECT(A7&amp;"!$F$36")</f>
        <v>0</v>
      </c>
      <c r="Z7" s="50">
        <f t="shared" ca="1" si="1"/>
        <v>15</v>
      </c>
      <c r="AA7"/>
      <c r="AB7" s="50" cm="1">
        <f t="array" aca="1" ref="AB7" ca="1">INDIRECT(A7&amp;"!$D$40")</f>
        <v>70</v>
      </c>
      <c r="AC7" s="159">
        <f t="shared" ca="1" si="6"/>
        <v>2.390057361376674E-2</v>
      </c>
      <c r="AD7" s="50" cm="1">
        <f t="array" aca="1" ref="AD7" ca="1">INDIRECT(A7&amp;"!$E$40")</f>
        <v>30</v>
      </c>
      <c r="AE7" s="50" cm="1">
        <f t="array" aca="1" ref="AE7" ca="1">INDIRECT(A7&amp;"!$F$40")</f>
        <v>0</v>
      </c>
      <c r="AF7" s="50">
        <f t="shared" ca="1" si="2"/>
        <v>30</v>
      </c>
      <c r="AG7" s="50"/>
      <c r="AH7" s="136" cm="1">
        <f t="array" aca="1" ref="AH7" ca="1">INDIRECT(A7&amp;"!$F$42")</f>
        <v>40</v>
      </c>
      <c r="AI7"/>
      <c r="AJ7" s="50" cm="1">
        <f t="array" aca="1" ref="AJ7" ca="1">INDIRECT(A7&amp;"!$H$19")</f>
        <v>2943.7999999999997</v>
      </c>
      <c r="AK7" s="50" cm="1">
        <f t="array" aca="1" ref="AK7" ca="1">INDIRECT(A7&amp;"!$H$36")</f>
        <v>2983.7999999999997</v>
      </c>
      <c r="AM7" s="50" t="str" cm="1">
        <f t="array" aca="1" ref="AM7" ca="1">INDIRECT(A7&amp;"!$H$1")</f>
        <v>LARGO</v>
      </c>
      <c r="AO7" s="169">
        <f t="shared" ca="1" si="3"/>
        <v>44641</v>
      </c>
      <c r="AP7" s="169">
        <f t="shared" ca="1" si="4"/>
        <v>44703</v>
      </c>
      <c r="AQ7" s="170" t="str">
        <f t="shared" ca="1" si="5"/>
        <v>SI</v>
      </c>
    </row>
    <row r="8" spans="1:43" x14ac:dyDescent="0.25">
      <c r="A8" s="1" t="s">
        <v>216</v>
      </c>
      <c r="B8" cm="1">
        <f t="array" aca="1" ref="B8" ca="1">INDIRECT(A8&amp;"!$d$1")</f>
        <v>22004</v>
      </c>
      <c r="C8" t="str" cm="1">
        <f t="array" aca="1" ref="C8" ca="1">INDIRECT(A8&amp;"!$B$2")</f>
        <v>KGX</v>
      </c>
      <c r="D8" t="str" cm="1">
        <f t="array" aca="1" ref="D8" ca="1">INDIRECT(A8&amp;"!$F$2")</f>
        <v>KGX</v>
      </c>
      <c r="E8" t="str" cm="1">
        <f t="array" aca="1" ref="E8" ca="1">INDIRECT(A8&amp;"!$F$4")</f>
        <v>Acciones</v>
      </c>
      <c r="F8" t="str" cm="1">
        <f t="array" aca="1" ref="F8" ca="1">INDIRECT(A8&amp;"!$B$3")</f>
        <v>XETR</v>
      </c>
      <c r="G8" t="str" cm="1">
        <f t="array" aca="1" ref="G8" ca="1">INDIRECT(A8&amp;"!$B$4")</f>
        <v>Industriales</v>
      </c>
      <c r="H8" t="str" cm="1">
        <f t="array" aca="1" ref="H8" ca="1">INDIRECT(A8&amp;"!$B$5")</f>
        <v>Compra</v>
      </c>
      <c r="I8" s="51" cm="1">
        <f t="array" aca="1" ref="I8" ca="1">INDIRECT(A8&amp;"!$B$6")</f>
        <v>44648</v>
      </c>
      <c r="J8" s="41" cm="1">
        <f t="array" aca="1" ref="J8" ca="1">INDIRECT(A8&amp;"!$A$19")</f>
        <v>51</v>
      </c>
      <c r="K8" s="137" cm="1">
        <f t="array" aca="1" ref="K8" ca="1">INDIRECT(A8&amp;"!$B$19")</f>
        <v>59.8</v>
      </c>
      <c r="L8" s="52" cm="1">
        <f t="array" aca="1" ref="L8" ca="1">INDIRECT(A8&amp;"!$C$19")</f>
        <v>59.8</v>
      </c>
      <c r="M8" s="50" cm="1">
        <f t="array" aca="1" ref="M8" ca="1">INDIRECT(A8&amp;"!$D$19")</f>
        <v>3049.7999999999997</v>
      </c>
      <c r="N8" s="50" cm="1">
        <f t="array" aca="1" ref="N8" ca="1">INDIRECT(A8&amp;"!$E$19")</f>
        <v>15</v>
      </c>
      <c r="O8" s="50" cm="1">
        <f t="array" aca="1" ref="O8" ca="1">INDIRECT(A8&amp;"!$F$19")</f>
        <v>0</v>
      </c>
      <c r="P8" s="50">
        <f t="shared" ref="P8" ca="1" si="7">(N8+O8)</f>
        <v>15</v>
      </c>
      <c r="Q8"/>
      <c r="R8" t="str" cm="1">
        <f t="array" aca="1" ref="R8" ca="1">INDIRECT(A8&amp;"!$B$22")</f>
        <v>Venta</v>
      </c>
      <c r="S8" s="51" cm="1">
        <f t="array" aca="1" ref="S8" ca="1">INDIRECT(A8&amp;"!$B$23")</f>
        <v>44649</v>
      </c>
      <c r="T8" s="41" cm="1">
        <f t="array" aca="1" ref="T8" ca="1">INDIRECT(A8&amp;"!$A$36")</f>
        <v>51</v>
      </c>
      <c r="U8" s="137" cm="1">
        <f t="array" aca="1" ref="U8" ca="1">INDIRECT(A8&amp;"!$B$36")</f>
        <v>62.92</v>
      </c>
      <c r="V8" s="52" cm="1">
        <f t="array" aca="1" ref="V8" ca="1">INDIRECT(A8&amp;"!$C$36")</f>
        <v>62.92</v>
      </c>
      <c r="W8" s="50" cm="1">
        <f t="array" aca="1" ref="W8" ca="1">INDIRECT(A8&amp;"!$D$36")</f>
        <v>3208.92</v>
      </c>
      <c r="X8" s="50" cm="1">
        <f t="array" aca="1" ref="X8" ca="1">INDIRECT(A8&amp;"!$E$36")</f>
        <v>15</v>
      </c>
      <c r="Y8" s="50" cm="1">
        <f t="array" aca="1" ref="Y8" ca="1">INDIRECT(A8&amp;"!$F$36")</f>
        <v>0</v>
      </c>
      <c r="Z8" s="50">
        <f t="shared" ref="Z8" ca="1" si="8">(X8+Y8)</f>
        <v>15</v>
      </c>
      <c r="AA8"/>
      <c r="AB8" s="50" cm="1">
        <f t="array" aca="1" ref="AB8" ca="1">INDIRECT(A8&amp;"!$D$40")</f>
        <v>159.12000000000035</v>
      </c>
      <c r="AC8" s="159">
        <f t="shared" ca="1" si="6"/>
        <v>5.2173913043478404E-2</v>
      </c>
      <c r="AD8" s="50" cm="1">
        <f t="array" aca="1" ref="AD8" ca="1">INDIRECT(A8&amp;"!$E$40")</f>
        <v>30</v>
      </c>
      <c r="AE8" s="50" cm="1">
        <f t="array" aca="1" ref="AE8" ca="1">INDIRECT(A8&amp;"!$F$40")</f>
        <v>0</v>
      </c>
      <c r="AF8" s="50">
        <f t="shared" ref="AF8" ca="1" si="9">(N8+O8+X8+Y8)</f>
        <v>30</v>
      </c>
      <c r="AG8" s="50"/>
      <c r="AH8" s="136" cm="1">
        <f t="array" aca="1" ref="AH8" ca="1">INDIRECT(A8&amp;"!$F$42")</f>
        <v>129.12000000000035</v>
      </c>
      <c r="AI8"/>
      <c r="AJ8" s="50" cm="1">
        <f t="array" aca="1" ref="AJ8" ca="1">INDIRECT(A8&amp;"!$H$19")</f>
        <v>3064.7999999999997</v>
      </c>
      <c r="AK8" s="50" cm="1">
        <f t="array" aca="1" ref="AK8" ca="1">INDIRECT(A8&amp;"!$H$36")</f>
        <v>3193.92</v>
      </c>
      <c r="AM8" s="50" t="str" cm="1">
        <f t="array" aca="1" ref="AM8" ca="1">INDIRECT(A8&amp;"!$H$1")</f>
        <v>LARGO</v>
      </c>
      <c r="AO8" s="169">
        <f t="shared" ref="AO8" ca="1" si="10">IF(AND(AM8="LARGO"),S8,I8)</f>
        <v>44649</v>
      </c>
      <c r="AP8" s="169">
        <f t="shared" ref="AP8" ca="1" si="11">(AO8+62)</f>
        <v>44711</v>
      </c>
      <c r="AQ8" s="170" t="str">
        <f t="shared" ref="AQ8" ca="1" si="12">IF(AND(TODAY()&gt;=AP8),"SI","NO")</f>
        <v>SI</v>
      </c>
    </row>
    <row r="9" spans="1:43" x14ac:dyDescent="0.25">
      <c r="A9" s="1" t="s">
        <v>234</v>
      </c>
      <c r="B9" cm="1">
        <f t="array" aca="1" ref="B9" ca="1">INDIRECT(A9&amp;"!$d$1")</f>
        <v>22005</v>
      </c>
      <c r="C9" t="str" cm="1">
        <f t="array" aca="1" ref="C9" ca="1">INDIRECT(A9&amp;"!$B$2")</f>
        <v>CFD Symrise</v>
      </c>
      <c r="D9" cm="1">
        <f t="array" aca="1" ref="D9" ca="1">INDIRECT(A9&amp;"!$F$2")</f>
        <v>0</v>
      </c>
      <c r="E9" t="str" cm="1">
        <f t="array" aca="1" ref="E9" ca="1">INDIRECT(A9&amp;"!$F$4")</f>
        <v>CFD</v>
      </c>
      <c r="F9" t="str" cm="1">
        <f t="array" aca="1" ref="F9" ca="1">INDIRECT(A9&amp;"!$B$3")</f>
        <v>OTC</v>
      </c>
      <c r="G9" t="str" cm="1">
        <f t="array" aca="1" ref="G9" ca="1">INDIRECT(A9&amp;"!$B$4")</f>
        <v>Materiales Básicos</v>
      </c>
      <c r="H9" t="str" cm="1">
        <f t="array" aca="1" ref="H9" ca="1">INDIRECT(A9&amp;"!$B$5")</f>
        <v>Venta</v>
      </c>
      <c r="I9" s="51" cm="1">
        <f t="array" aca="1" ref="I9" ca="1">INDIRECT(A9&amp;"!$B$6")</f>
        <v>44662</v>
      </c>
      <c r="J9" s="41" cm="1">
        <f t="array" aca="1" ref="J9" ca="1">INDIRECT(A9&amp;"!$A$19")</f>
        <v>73</v>
      </c>
      <c r="K9" s="137" cm="1">
        <f t="array" aca="1" ref="K9" ca="1">INDIRECT(A9&amp;"!$B$19")</f>
        <v>112.7</v>
      </c>
      <c r="L9" s="52" cm="1">
        <f t="array" aca="1" ref="L9" ca="1">INDIRECT(A9&amp;"!$C$19")</f>
        <v>112.7</v>
      </c>
      <c r="M9" s="50" cm="1">
        <f t="array" aca="1" ref="M9" ca="1">INDIRECT(A9&amp;"!$D$19")</f>
        <v>8227.1</v>
      </c>
      <c r="N9" s="50" cm="1">
        <f t="array" aca="1" ref="N9" ca="1">INDIRECT(A9&amp;"!$E$19")</f>
        <v>9.36</v>
      </c>
      <c r="O9" s="50" cm="1">
        <f t="array" aca="1" ref="O9" ca="1">INDIRECT(A9&amp;"!$F$19")</f>
        <v>0</v>
      </c>
      <c r="P9" s="50">
        <f t="shared" ref="P9" ca="1" si="13">(N9+O9)</f>
        <v>9.36</v>
      </c>
      <c r="Q9"/>
      <c r="R9" t="str" cm="1">
        <f t="array" aca="1" ref="R9" ca="1">INDIRECT(A9&amp;"!$B$22")</f>
        <v>Compra</v>
      </c>
      <c r="S9" s="51" cm="1">
        <f t="array" aca="1" ref="S9" ca="1">INDIRECT(A9&amp;"!$B$23")</f>
        <v>44664</v>
      </c>
      <c r="T9" s="41" cm="1">
        <f t="array" aca="1" ref="T9" ca="1">INDIRECT(A9&amp;"!$A$36")</f>
        <v>73</v>
      </c>
      <c r="U9" s="137" cm="1">
        <f t="array" aca="1" ref="U9" ca="1">INDIRECT(A9&amp;"!$B$36")</f>
        <v>109.95</v>
      </c>
      <c r="V9" s="52" cm="1">
        <f t="array" aca="1" ref="V9" ca="1">INDIRECT(A9&amp;"!$C$36")</f>
        <v>109.95</v>
      </c>
      <c r="W9" s="50" cm="1">
        <f t="array" aca="1" ref="W9" ca="1">INDIRECT(A9&amp;"!$D$36")</f>
        <v>8026.35</v>
      </c>
      <c r="X9" s="50" cm="1">
        <f t="array" aca="1" ref="X9" ca="1">INDIRECT(A9&amp;"!$E$36")</f>
        <v>8</v>
      </c>
      <c r="Y9" s="50" cm="1">
        <f t="array" aca="1" ref="Y9" ca="1">INDIRECT(A9&amp;"!$F$36")</f>
        <v>0</v>
      </c>
      <c r="Z9" s="50">
        <f t="shared" ref="Z9" ca="1" si="14">(X9+Y9)</f>
        <v>8</v>
      </c>
      <c r="AA9"/>
      <c r="AB9" s="50" cm="1">
        <f t="array" aca="1" ref="AB9" ca="1">INDIRECT(A9&amp;"!$D$40")</f>
        <v>200.75</v>
      </c>
      <c r="AC9" s="159">
        <f t="shared" ca="1" si="6"/>
        <v>2.5011368804001899E-2</v>
      </c>
      <c r="AD9" s="50" cm="1">
        <f t="array" aca="1" ref="AD9" ca="1">INDIRECT(A9&amp;"!$E$40")</f>
        <v>17.36</v>
      </c>
      <c r="AE9" s="50" cm="1">
        <f t="array" aca="1" ref="AE9" ca="1">INDIRECT(A9&amp;"!$F$40")</f>
        <v>0</v>
      </c>
      <c r="AF9" s="50">
        <f t="shared" ref="AF9" ca="1" si="15">(N9+O9+X9+Y9)</f>
        <v>17.36</v>
      </c>
      <c r="AG9" s="50"/>
      <c r="AH9" s="136" cm="1">
        <f t="array" aca="1" ref="AH9" ca="1">INDIRECT(A9&amp;"!$F$42")</f>
        <v>183.39</v>
      </c>
      <c r="AI9"/>
      <c r="AJ9" s="50" cm="1">
        <f t="array" aca="1" ref="AJ9" ca="1">INDIRECT(A9&amp;"!$H$19")</f>
        <v>8236.4600000000009</v>
      </c>
      <c r="AK9" s="50" cm="1">
        <f t="array" aca="1" ref="AK9" ca="1">INDIRECT(A9&amp;"!$H$36")</f>
        <v>8018.35</v>
      </c>
      <c r="AM9" s="50" t="str" cm="1">
        <f t="array" aca="1" ref="AM9" ca="1">INDIRECT(A9&amp;"!$H$1")</f>
        <v>CORTO</v>
      </c>
      <c r="AO9" s="169">
        <f t="shared" ref="AO9" ca="1" si="16">IF(AND(AM9="LARGO"),S9,I9)</f>
        <v>44662</v>
      </c>
      <c r="AP9" s="169">
        <f t="shared" ref="AP9" ca="1" si="17">(AO9+62)</f>
        <v>44724</v>
      </c>
      <c r="AQ9" s="170" t="str">
        <f t="shared" ref="AQ9" ca="1" si="18">IF(AND(TODAY()&gt;=AP9),"SI","NO")</f>
        <v>SI</v>
      </c>
    </row>
    <row r="10" spans="1:43" x14ac:dyDescent="0.25">
      <c r="A10" s="1" t="s">
        <v>243</v>
      </c>
      <c r="B10" cm="1">
        <f t="array" aca="1" ref="B10" ca="1">INDIRECT(A10&amp;"!$d$1")</f>
        <v>22006</v>
      </c>
      <c r="C10" t="str" cm="1">
        <f t="array" aca="1" ref="C10" ca="1">INDIRECT(A10&amp;"!$B$2")</f>
        <v>CFD Leonardo</v>
      </c>
      <c r="D10" cm="1">
        <f t="array" aca="1" ref="D10" ca="1">INDIRECT(A10&amp;"!$F$2")</f>
        <v>0</v>
      </c>
      <c r="E10" t="str" cm="1">
        <f t="array" aca="1" ref="E10" ca="1">INDIRECT(A10&amp;"!$F$4")</f>
        <v>CFD</v>
      </c>
      <c r="F10" t="str" cm="1">
        <f t="array" aca="1" ref="F10" ca="1">INDIRECT(A10&amp;"!$B$3")</f>
        <v>OTC</v>
      </c>
      <c r="G10" t="str" cm="1">
        <f t="array" aca="1" ref="G10" ca="1">INDIRECT(A10&amp;"!$B$4")</f>
        <v>Industriales</v>
      </c>
      <c r="H10" t="str" cm="1">
        <f t="array" aca="1" ref="H10" ca="1">INDIRECT(A10&amp;"!$B$5")</f>
        <v>Venta</v>
      </c>
      <c r="I10" s="51" cm="1">
        <f t="array" aca="1" ref="I10" ca="1">INDIRECT(A10&amp;"!$B$6")</f>
        <v>44676</v>
      </c>
      <c r="J10" s="41" cm="1">
        <f t="array" aca="1" ref="J10" ca="1">INDIRECT(A10&amp;"!$A$19")</f>
        <v>850</v>
      </c>
      <c r="K10" s="137" cm="1">
        <f t="array" aca="1" ref="K10" ca="1">INDIRECT(A10&amp;"!$B$19")</f>
        <v>10.119999999999999</v>
      </c>
      <c r="L10" s="52" cm="1">
        <f t="array" aca="1" ref="L10" ca="1">INDIRECT(A10&amp;"!$C$19")</f>
        <v>10.119999999999999</v>
      </c>
      <c r="M10" s="50" cm="1">
        <f t="array" aca="1" ref="M10" ca="1">INDIRECT(A10&amp;"!$D$19")</f>
        <v>8602</v>
      </c>
      <c r="N10" s="50" cm="1">
        <f t="array" aca="1" ref="N10" ca="1">INDIRECT(A10&amp;"!$E$19")</f>
        <v>11.760000000000002</v>
      </c>
      <c r="O10" s="50" cm="1">
        <f t="array" aca="1" ref="O10" ca="1">INDIRECT(A10&amp;"!$F$19")</f>
        <v>0</v>
      </c>
      <c r="P10" s="50">
        <f t="shared" ref="P10" ca="1" si="19">(N10+O10)</f>
        <v>11.760000000000002</v>
      </c>
      <c r="Q10"/>
      <c r="R10" t="str" cm="1">
        <f t="array" aca="1" ref="R10" ca="1">INDIRECT(A10&amp;"!$B$22")</f>
        <v>Compra</v>
      </c>
      <c r="S10" s="51" cm="1">
        <f t="array" aca="1" ref="S10" ca="1">INDIRECT(A10&amp;"!$B$23")</f>
        <v>44678</v>
      </c>
      <c r="T10" s="41" cm="1">
        <f t="array" aca="1" ref="T10" ca="1">INDIRECT(A10&amp;"!$A$36")</f>
        <v>850</v>
      </c>
      <c r="U10" s="137" cm="1">
        <f t="array" aca="1" ref="U10" ca="1">INDIRECT(A10&amp;"!$B$36")</f>
        <v>9.8480000000000008</v>
      </c>
      <c r="V10" s="52" cm="1">
        <f t="array" aca="1" ref="V10" ca="1">INDIRECT(A10&amp;"!$C$36")</f>
        <v>9.8480000000000008</v>
      </c>
      <c r="W10" s="50" cm="1">
        <f t="array" aca="1" ref="W10" ca="1">INDIRECT(A10&amp;"!$D$36")</f>
        <v>8370.8000000000011</v>
      </c>
      <c r="X10" s="50" cm="1">
        <f t="array" aca="1" ref="X10" ca="1">INDIRECT(A10&amp;"!$E$36")</f>
        <v>10.039999999999999</v>
      </c>
      <c r="Y10" s="50" cm="1">
        <f t="array" aca="1" ref="Y10" ca="1">INDIRECT(A10&amp;"!$F$36")</f>
        <v>0</v>
      </c>
      <c r="Z10" s="50">
        <f t="shared" ref="Z10" ca="1" si="20">(X10+Y10)</f>
        <v>10.039999999999999</v>
      </c>
      <c r="AA10"/>
      <c r="AB10" s="50" cm="1">
        <f t="array" aca="1" ref="AB10" ca="1">INDIRECT(A10&amp;"!$D$40")</f>
        <v>231.19999999999891</v>
      </c>
      <c r="AC10" s="159">
        <f t="shared" ref="AC10" ca="1" si="21">IF(AM10="LARGO",W10/M10-1,M10/W10-1)</f>
        <v>2.761982128350926E-2</v>
      </c>
      <c r="AD10" s="50" cm="1">
        <f t="array" aca="1" ref="AD10" ca="1">INDIRECT(A10&amp;"!$E$40")</f>
        <v>21.8</v>
      </c>
      <c r="AE10" s="50" cm="1">
        <f t="array" aca="1" ref="AE10" ca="1">INDIRECT(A10&amp;"!$F$40")</f>
        <v>0</v>
      </c>
      <c r="AF10" s="50">
        <f t="shared" ref="AF10" ca="1" si="22">(N10+O10+X10+Y10)</f>
        <v>21.8</v>
      </c>
      <c r="AG10" s="50"/>
      <c r="AH10" s="136" cm="1">
        <f t="array" aca="1" ref="AH10" ca="1">INDIRECT(A10&amp;"!$F$42")</f>
        <v>209.3999999999989</v>
      </c>
      <c r="AI10"/>
      <c r="AJ10" s="50" cm="1">
        <f t="array" aca="1" ref="AJ10" ca="1">INDIRECT(A10&amp;"!$H$19")</f>
        <v>8613.7599999999984</v>
      </c>
      <c r="AK10" s="50" cm="1">
        <f t="array" aca="1" ref="AK10" ca="1">INDIRECT(A10&amp;"!$H$36")</f>
        <v>8360.76</v>
      </c>
      <c r="AM10" s="50" t="str" cm="1">
        <f t="array" aca="1" ref="AM10" ca="1">INDIRECT(A10&amp;"!$H$1")</f>
        <v>CORTO</v>
      </c>
      <c r="AO10" s="169">
        <f t="shared" ref="AO10" ca="1" si="23">IF(AND(AM10="LARGO"),S10,I10)</f>
        <v>44676</v>
      </c>
      <c r="AP10" s="169">
        <f t="shared" ref="AP10" ca="1" si="24">(AO10+62)</f>
        <v>44738</v>
      </c>
      <c r="AQ10" s="170" t="str">
        <f t="shared" ref="AQ10:AQ16" ca="1" si="25">IF(AND(TODAY()&gt;=AP10),"SI","NO")</f>
        <v>SI</v>
      </c>
    </row>
    <row r="11" spans="1:43" x14ac:dyDescent="0.25">
      <c r="A11" s="1" t="s">
        <v>246</v>
      </c>
      <c r="B11" cm="1">
        <f t="array" aca="1" ref="B11" ca="1">INDIRECT(A11&amp;"!$d$1")</f>
        <v>22007</v>
      </c>
      <c r="C11" t="str" cm="1">
        <f t="array" aca="1" ref="C11" ca="1">INDIRECT(A11&amp;"!$B$2")</f>
        <v>CFD Iberdrola</v>
      </c>
      <c r="D11" cm="1">
        <f t="array" aca="1" ref="D11" ca="1">INDIRECT(A11&amp;"!$F$2")</f>
        <v>0</v>
      </c>
      <c r="E11" t="str" cm="1">
        <f t="array" aca="1" ref="E11" ca="1">INDIRECT(A11&amp;"!$F$4")</f>
        <v>CFD</v>
      </c>
      <c r="F11" t="str" cm="1">
        <f t="array" aca="1" ref="F11" ca="1">INDIRECT(A11&amp;"!$B$3")</f>
        <v>OTC</v>
      </c>
      <c r="G11" t="str" cm="1">
        <f t="array" aca="1" ref="G11" ca="1">INDIRECT(A11&amp;"!$B$4")</f>
        <v>Utilities (Serv. Pub.)</v>
      </c>
      <c r="H11" t="str" cm="1">
        <f t="array" aca="1" ref="H11" ca="1">INDIRECT(A11&amp;"!$B$5")</f>
        <v>Venta</v>
      </c>
      <c r="I11" s="51" cm="1">
        <f t="array" aca="1" ref="I11" ca="1">INDIRECT(A11&amp;"!$B$6")</f>
        <v>44684</v>
      </c>
      <c r="J11" s="41" cm="1">
        <f t="array" aca="1" ref="J11" ca="1">INDIRECT(A11&amp;"!$A$19")</f>
        <v>850</v>
      </c>
      <c r="K11" s="137" cm="1">
        <f t="array" aca="1" ref="K11" ca="1">INDIRECT(A11&amp;"!$B$19")</f>
        <v>11.015000000000001</v>
      </c>
      <c r="L11" s="52" cm="1">
        <f t="array" aca="1" ref="L11" ca="1">INDIRECT(A11&amp;"!$C$19")</f>
        <v>11.015000000000001</v>
      </c>
      <c r="M11" s="50" cm="1">
        <f t="array" aca="1" ref="M11" ca="1">INDIRECT(A11&amp;"!$D$19")</f>
        <v>9362.75</v>
      </c>
      <c r="N11" s="50" cm="1">
        <f t="array" aca="1" ref="N11" ca="1">INDIRECT(A11&amp;"!$E$19")</f>
        <v>9.07</v>
      </c>
      <c r="O11" s="50" cm="1">
        <f t="array" aca="1" ref="O11" ca="1">INDIRECT(A11&amp;"!$F$19")</f>
        <v>0</v>
      </c>
      <c r="P11" s="50">
        <f t="shared" ref="P11" ca="1" si="26">(N11+O11)</f>
        <v>9.07</v>
      </c>
      <c r="Q11"/>
      <c r="R11" t="str" cm="1">
        <f t="array" aca="1" ref="R11" ca="1">INDIRECT(A11&amp;"!$B$22")</f>
        <v>Compra</v>
      </c>
      <c r="S11" s="51" cm="1">
        <f t="array" aca="1" ref="S11" ca="1">INDIRECT(A11&amp;"!$B$23")</f>
        <v>44686</v>
      </c>
      <c r="T11" s="41" cm="1">
        <f t="array" aca="1" ref="T11" ca="1">INDIRECT(A11&amp;"!$A$36")</f>
        <v>850</v>
      </c>
      <c r="U11" s="137" cm="1">
        <f t="array" aca="1" ref="U11" ca="1">INDIRECT(A11&amp;"!$B$36")</f>
        <v>10.945</v>
      </c>
      <c r="V11" s="52" cm="1">
        <f t="array" aca="1" ref="V11" ca="1">INDIRECT(A11&amp;"!$C$36")</f>
        <v>10.945</v>
      </c>
      <c r="W11" s="50" cm="1">
        <f t="array" aca="1" ref="W11" ca="1">INDIRECT(A11&amp;"!$D$36")</f>
        <v>9303.25</v>
      </c>
      <c r="X11" s="50" cm="1">
        <f t="array" aca="1" ref="X11" ca="1">INDIRECT(A11&amp;"!$E$36")</f>
        <v>7.44</v>
      </c>
      <c r="Y11" s="50" cm="1">
        <f t="array" aca="1" ref="Y11" ca="1">INDIRECT(A11&amp;"!$F$36")</f>
        <v>0</v>
      </c>
      <c r="Z11" s="50">
        <f t="shared" ref="Z11" ca="1" si="27">(X11+Y11)</f>
        <v>7.44</v>
      </c>
      <c r="AA11"/>
      <c r="AB11" s="50" cm="1">
        <f t="array" aca="1" ref="AB11" ca="1">INDIRECT(A11&amp;"!$D$40")</f>
        <v>59.5</v>
      </c>
      <c r="AC11" s="159">
        <f t="shared" ref="AC11" ca="1" si="28">IF(AM11="LARGO",W11/M11-1,M11/W11-1)</f>
        <v>6.3956144358154887E-3</v>
      </c>
      <c r="AD11" s="50" cm="1">
        <f t="array" aca="1" ref="AD11" ca="1">INDIRECT(A11&amp;"!$E$40")</f>
        <v>16.510000000000002</v>
      </c>
      <c r="AE11" s="50" cm="1">
        <f t="array" aca="1" ref="AE11" ca="1">INDIRECT(A11&amp;"!$F$40")</f>
        <v>0</v>
      </c>
      <c r="AF11" s="50">
        <f t="shared" ref="AF11" ca="1" si="29">(N11+O11+X11+Y11)</f>
        <v>16.510000000000002</v>
      </c>
      <c r="AG11" s="50"/>
      <c r="AH11" s="136" cm="1">
        <f t="array" aca="1" ref="AH11" ca="1">INDIRECT(A11&amp;"!$F$42")</f>
        <v>42.989999999999995</v>
      </c>
      <c r="AI11"/>
      <c r="AJ11" s="50" cm="1">
        <f t="array" aca="1" ref="AJ11" ca="1">INDIRECT(A11&amp;"!$H$19")</f>
        <v>9371.8200000000015</v>
      </c>
      <c r="AK11" s="50" cm="1">
        <f t="array" aca="1" ref="AK11" ca="1">INDIRECT(A11&amp;"!$H$36")</f>
        <v>9295.81</v>
      </c>
      <c r="AM11" s="50" t="str" cm="1">
        <f t="array" aca="1" ref="AM11" ca="1">INDIRECT(A11&amp;"!$H$1")</f>
        <v>CORTO</v>
      </c>
      <c r="AO11" s="169">
        <f t="shared" ref="AO11" ca="1" si="30">IF(AND(AM11="LARGO"),S11,I11)</f>
        <v>44684</v>
      </c>
      <c r="AP11" s="169">
        <f t="shared" ref="AP11" ca="1" si="31">(AO11+62)</f>
        <v>44746</v>
      </c>
      <c r="AQ11" s="170" t="str">
        <f t="shared" ca="1" si="25"/>
        <v>SI</v>
      </c>
    </row>
    <row r="12" spans="1:43" x14ac:dyDescent="0.25">
      <c r="A12" s="1" t="s">
        <v>248</v>
      </c>
      <c r="B12" cm="1">
        <f t="array" aca="1" ref="B12" ca="1">INDIRECT(A12&amp;"!$d$1")</f>
        <v>22008</v>
      </c>
      <c r="C12" t="str" cm="1">
        <f t="array" aca="1" ref="C12" ca="1">INDIRECT(A12&amp;"!$B$2")</f>
        <v>CFD RWE</v>
      </c>
      <c r="D12" cm="1">
        <f t="array" aca="1" ref="D12" ca="1">INDIRECT(A12&amp;"!$F$2")</f>
        <v>0</v>
      </c>
      <c r="E12" t="str" cm="1">
        <f t="array" aca="1" ref="E12" ca="1">INDIRECT(A12&amp;"!$F$4")</f>
        <v>CFD</v>
      </c>
      <c r="F12" t="str" cm="1">
        <f t="array" aca="1" ref="F12" ca="1">INDIRECT(A12&amp;"!$B$3")</f>
        <v>OTC</v>
      </c>
      <c r="G12" t="str" cm="1">
        <f t="array" aca="1" ref="G12" ca="1">INDIRECT(A12&amp;"!$B$4")</f>
        <v>Utilities (Serv. Pub.)</v>
      </c>
      <c r="H12" t="str" cm="1">
        <f t="array" aca="1" ref="H12" ca="1">INDIRECT(A12&amp;"!$B$5")</f>
        <v>Venta</v>
      </c>
      <c r="I12" s="51" cm="1">
        <f t="array" aca="1" ref="I12" ca="1">INDIRECT(A12&amp;"!$B$6")</f>
        <v>44690</v>
      </c>
      <c r="J12" s="41" cm="1">
        <f t="array" aca="1" ref="J12" ca="1">INDIRECT(A12&amp;"!$A$19")</f>
        <v>228</v>
      </c>
      <c r="K12" s="137" cm="1">
        <f t="array" aca="1" ref="K12" ca="1">INDIRECT(A12&amp;"!$B$19")</f>
        <v>40.93</v>
      </c>
      <c r="L12" s="52" cm="1">
        <f t="array" aca="1" ref="L12" ca="1">INDIRECT(A12&amp;"!$C$19")</f>
        <v>40.93</v>
      </c>
      <c r="M12" s="50" cm="1">
        <f t="array" aca="1" ref="M12" ca="1">INDIRECT(A12&amp;"!$D$19")</f>
        <v>9332.0399999999991</v>
      </c>
      <c r="N12" s="50" cm="1">
        <f t="array" aca="1" ref="N12" ca="1">INDIRECT(A12&amp;"!$E$19")</f>
        <v>8.77</v>
      </c>
      <c r="O12" s="50" cm="1">
        <f t="array" aca="1" ref="O12" ca="1">INDIRECT(A12&amp;"!$F$19")</f>
        <v>0</v>
      </c>
      <c r="P12" s="50">
        <f t="shared" ref="P12" ca="1" si="32">(N12+O12)</f>
        <v>8.77</v>
      </c>
      <c r="Q12"/>
      <c r="R12" t="str" cm="1">
        <f t="array" aca="1" ref="R12" ca="1">INDIRECT(A12&amp;"!$B$22")</f>
        <v>Compra</v>
      </c>
      <c r="S12" s="51" cm="1">
        <f t="array" aca="1" ref="S12" ca="1">INDIRECT(A12&amp;"!$B$23")</f>
        <v>44691</v>
      </c>
      <c r="T12" s="41" cm="1">
        <f t="array" aca="1" ref="T12" ca="1">INDIRECT(A12&amp;"!$A$36")</f>
        <v>228</v>
      </c>
      <c r="U12" s="137" cm="1">
        <f t="array" aca="1" ref="U12" ca="1">INDIRECT(A12&amp;"!$B$36")</f>
        <v>39.42</v>
      </c>
      <c r="V12" s="52" cm="1">
        <f t="array" aca="1" ref="V12" ca="1">INDIRECT(A12&amp;"!$C$36")</f>
        <v>39.42</v>
      </c>
      <c r="W12" s="50" cm="1">
        <f t="array" aca="1" ref="W12" ca="1">INDIRECT(A12&amp;"!$D$36")</f>
        <v>8987.76</v>
      </c>
      <c r="X12" s="50" cm="1">
        <f t="array" aca="1" ref="X12" ca="1">INDIRECT(A12&amp;"!$E$36")</f>
        <v>8</v>
      </c>
      <c r="Y12" s="50" cm="1">
        <f t="array" aca="1" ref="Y12" ca="1">INDIRECT(A12&amp;"!$F$36")</f>
        <v>0</v>
      </c>
      <c r="Z12" s="50">
        <f t="shared" ref="Z12" ca="1" si="33">(X12+Y12)</f>
        <v>8</v>
      </c>
      <c r="AA12"/>
      <c r="AB12" s="50" cm="1">
        <f t="array" aca="1" ref="AB12" ca="1">INDIRECT(A12&amp;"!$D$40")</f>
        <v>344.27999999999884</v>
      </c>
      <c r="AC12" s="159">
        <f t="shared" ref="AC12" ca="1" si="34">IF(AM12="LARGO",W12/M12-1,M12/W12-1)</f>
        <v>3.8305428716387535E-2</v>
      </c>
      <c r="AD12" s="50" cm="1">
        <f t="array" aca="1" ref="AD12" ca="1">INDIRECT(A12&amp;"!$E$40")</f>
        <v>16.77</v>
      </c>
      <c r="AE12" s="50" cm="1">
        <f t="array" aca="1" ref="AE12" ca="1">INDIRECT(A12&amp;"!$F$40")</f>
        <v>0</v>
      </c>
      <c r="AF12" s="50">
        <f t="shared" ref="AF12" ca="1" si="35">(N12+O12+X12+Y12)</f>
        <v>16.77</v>
      </c>
      <c r="AG12" s="50"/>
      <c r="AH12" s="136" cm="1">
        <f t="array" aca="1" ref="AH12" ca="1">INDIRECT(A12&amp;"!$F$42")</f>
        <v>327.50999999999885</v>
      </c>
      <c r="AI12"/>
      <c r="AJ12" s="50" cm="1">
        <f t="array" aca="1" ref="AJ12" ca="1">INDIRECT(A12&amp;"!$H$19")</f>
        <v>9340.81</v>
      </c>
      <c r="AK12" s="50" cm="1">
        <f t="array" aca="1" ref="AK12" ca="1">INDIRECT(A12&amp;"!$H$36")</f>
        <v>8979.76</v>
      </c>
      <c r="AM12" s="50" t="str" cm="1">
        <f t="array" aca="1" ref="AM12" ca="1">INDIRECT(A12&amp;"!$H$1")</f>
        <v>CORTO</v>
      </c>
      <c r="AO12" s="169">
        <f t="shared" ref="AO12" ca="1" si="36">IF(AND(AM12="LARGO"),S12,I12)</f>
        <v>44690</v>
      </c>
      <c r="AP12" s="169">
        <f t="shared" ref="AP12" ca="1" si="37">(AO12+62)</f>
        <v>44752</v>
      </c>
      <c r="AQ12" s="170" t="str">
        <f t="shared" ca="1" si="25"/>
        <v>SI</v>
      </c>
    </row>
    <row r="13" spans="1:43" x14ac:dyDescent="0.25">
      <c r="A13" s="1" t="s">
        <v>250</v>
      </c>
      <c r="B13" cm="1">
        <f t="array" aca="1" ref="B13" ca="1">INDIRECT(A13&amp;"!$d$1")</f>
        <v>22009</v>
      </c>
      <c r="C13" t="str" cm="1">
        <f t="array" aca="1" ref="C13" ca="1">INDIRECT(A13&amp;"!$B$2")</f>
        <v>CFD ING</v>
      </c>
      <c r="D13" cm="1">
        <f t="array" aca="1" ref="D13" ca="1">INDIRECT(A13&amp;"!$F$2")</f>
        <v>0</v>
      </c>
      <c r="E13" t="str" cm="1">
        <f t="array" aca="1" ref="E13" ca="1">INDIRECT(A13&amp;"!$F$4")</f>
        <v>CFD</v>
      </c>
      <c r="F13" t="str" cm="1">
        <f t="array" aca="1" ref="F13" ca="1">INDIRECT(A13&amp;"!$B$3")</f>
        <v>OTC</v>
      </c>
      <c r="G13" t="str" cm="1">
        <f t="array" aca="1" ref="G13" ca="1">INDIRECT(A13&amp;"!$B$4")</f>
        <v>Financieras</v>
      </c>
      <c r="H13" t="str" cm="1">
        <f t="array" aca="1" ref="H13" ca="1">INDIRECT(A13&amp;"!$B$5")</f>
        <v>Venta</v>
      </c>
      <c r="I13" s="51" cm="1">
        <f t="array" aca="1" ref="I13" ca="1">INDIRECT(A13&amp;"!$B$6")</f>
        <v>44697</v>
      </c>
      <c r="J13" s="41" cm="1">
        <f t="array" aca="1" ref="J13" ca="1">INDIRECT(A13&amp;"!$A$19")</f>
        <v>2000</v>
      </c>
      <c r="K13" s="137" cm="1">
        <f t="array" aca="1" ref="K13" ca="1">INDIRECT(A13&amp;"!$B$19")</f>
        <v>9.2789999999999999</v>
      </c>
      <c r="L13" s="52" cm="1">
        <f t="array" aca="1" ref="L13" ca="1">INDIRECT(A13&amp;"!$C$19")</f>
        <v>9.2789999999999999</v>
      </c>
      <c r="M13" s="50" cm="1">
        <f t="array" aca="1" ref="M13" ca="1">INDIRECT(A13&amp;"!$D$19")</f>
        <v>18558</v>
      </c>
      <c r="N13" s="50" cm="1">
        <f t="array" aca="1" ref="N13" ca="1">INDIRECT(A13&amp;"!$E$19")</f>
        <v>16.419999999999998</v>
      </c>
      <c r="O13" s="50" cm="1">
        <f t="array" aca="1" ref="O13" ca="1">INDIRECT(A13&amp;"!$F$19")</f>
        <v>0</v>
      </c>
      <c r="P13" s="50">
        <f t="shared" ref="P13" ca="1" si="38">(N13+O13)</f>
        <v>16.419999999999998</v>
      </c>
      <c r="Q13"/>
      <c r="R13" t="str" cm="1">
        <f t="array" aca="1" ref="R13" ca="1">INDIRECT(A13&amp;"!$B$22")</f>
        <v>Compra</v>
      </c>
      <c r="S13" s="51" cm="1">
        <f t="array" aca="1" ref="S13" ca="1">INDIRECT(A13&amp;"!$B$23")</f>
        <v>44698</v>
      </c>
      <c r="T13" s="41" cm="1">
        <f t="array" aca="1" ref="T13" ca="1">INDIRECT(A13&amp;"!$A$36")</f>
        <v>2000</v>
      </c>
      <c r="U13" s="137" cm="1">
        <f t="array" aca="1" ref="U13" ca="1">INDIRECT(A13&amp;"!$B$36")</f>
        <v>9.5030000000000001</v>
      </c>
      <c r="V13" s="52" cm="1">
        <f t="array" aca="1" ref="V13" ca="1">INDIRECT(A13&amp;"!$C$36")</f>
        <v>9.5030000000000001</v>
      </c>
      <c r="W13" s="50" cm="1">
        <f t="array" aca="1" ref="W13" ca="1">INDIRECT(A13&amp;"!$D$36")</f>
        <v>19006</v>
      </c>
      <c r="X13" s="50" cm="1">
        <f t="array" aca="1" ref="X13" ca="1">INDIRECT(A13&amp;"!$E$36")</f>
        <v>15.2</v>
      </c>
      <c r="Y13" s="50" cm="1">
        <f t="array" aca="1" ref="Y13" ca="1">INDIRECT(A13&amp;"!$F$36")</f>
        <v>0</v>
      </c>
      <c r="Z13" s="50">
        <f t="shared" ref="Z13" ca="1" si="39">(X13+Y13)</f>
        <v>15.2</v>
      </c>
      <c r="AA13"/>
      <c r="AB13" s="50" cm="1">
        <f t="array" aca="1" ref="AB13" ca="1">INDIRECT(A13&amp;"!$D$40")</f>
        <v>-448</v>
      </c>
      <c r="AC13" s="159">
        <f t="shared" ref="AC13" ca="1" si="40">IF(AM13="LARGO",W13/M13-1,M13/W13-1)</f>
        <v>-2.3571503735662414E-2</v>
      </c>
      <c r="AD13" s="50" cm="1">
        <f t="array" aca="1" ref="AD13" ca="1">INDIRECT(A13&amp;"!$E$40")</f>
        <v>31.619999999999997</v>
      </c>
      <c r="AE13" s="50" cm="1">
        <f t="array" aca="1" ref="AE13" ca="1">INDIRECT(A13&amp;"!$F$40")</f>
        <v>0</v>
      </c>
      <c r="AF13" s="50">
        <f t="shared" ref="AF13" ca="1" si="41">(N13+O13+X13+Y13)</f>
        <v>31.619999999999997</v>
      </c>
      <c r="AG13" s="50"/>
      <c r="AH13" s="136" cm="1">
        <f t="array" aca="1" ref="AH13" ca="1">INDIRECT(A13&amp;"!$F$42")</f>
        <v>-479.62</v>
      </c>
      <c r="AI13"/>
      <c r="AJ13" s="50" cm="1">
        <f t="array" aca="1" ref="AJ13" ca="1">INDIRECT(A13&amp;"!$H$19")</f>
        <v>18574.419999999998</v>
      </c>
      <c r="AK13" s="50" cm="1">
        <f t="array" aca="1" ref="AK13" ca="1">INDIRECT(A13&amp;"!$H$36")</f>
        <v>18990.8</v>
      </c>
      <c r="AM13" s="50" t="str" cm="1">
        <f t="array" aca="1" ref="AM13" ca="1">INDIRECT(A13&amp;"!$H$1")</f>
        <v>CORTO</v>
      </c>
      <c r="AO13" s="169">
        <f t="shared" ref="AO13" ca="1" si="42">IF(AND(AM13="LARGO"),S13,I13)</f>
        <v>44697</v>
      </c>
      <c r="AP13" s="169">
        <f t="shared" ref="AP13" ca="1" si="43">(AO13+62)</f>
        <v>44759</v>
      </c>
      <c r="AQ13" s="170" t="str">
        <f t="shared" ca="1" si="25"/>
        <v>SI</v>
      </c>
    </row>
    <row r="14" spans="1:43" x14ac:dyDescent="0.25">
      <c r="A14" s="1" t="s">
        <v>251</v>
      </c>
      <c r="B14" cm="1">
        <f t="array" aca="1" ref="B14" ca="1">INDIRECT(A14&amp;"!$d$1")</f>
        <v>22010</v>
      </c>
      <c r="C14" t="str" cm="1">
        <f t="array" aca="1" ref="C14" ca="1">INDIRECT(A14&amp;"!$B$2")</f>
        <v>CFD ING</v>
      </c>
      <c r="D14" cm="1">
        <f t="array" aca="1" ref="D14" ca="1">INDIRECT(A14&amp;"!$F$2")</f>
        <v>0</v>
      </c>
      <c r="E14" t="str" cm="1">
        <f t="array" aca="1" ref="E14" ca="1">INDIRECT(A14&amp;"!$F$4")</f>
        <v>CFD</v>
      </c>
      <c r="F14" t="str" cm="1">
        <f t="array" aca="1" ref="F14" ca="1">INDIRECT(A14&amp;"!$B$3")</f>
        <v>OTC</v>
      </c>
      <c r="G14" t="str" cm="1">
        <f t="array" aca="1" ref="G14" ca="1">INDIRECT(A14&amp;"!$B$4")</f>
        <v>Financieras</v>
      </c>
      <c r="H14" t="str" cm="1">
        <f t="array" aca="1" ref="H14" ca="1">INDIRECT(A14&amp;"!$B$5")</f>
        <v>Venta</v>
      </c>
      <c r="I14" s="51" cm="1">
        <f t="array" aca="1" ref="I14" ca="1">INDIRECT(A14&amp;"!$B$6")</f>
        <v>44698</v>
      </c>
      <c r="J14" s="41" cm="1">
        <f t="array" aca="1" ref="J14" ca="1">INDIRECT(A14&amp;"!$A$19")</f>
        <v>2000</v>
      </c>
      <c r="K14" s="137" cm="1">
        <f t="array" aca="1" ref="K14" ca="1">INDIRECT(A14&amp;"!$B$19")</f>
        <v>9.4960000000000004</v>
      </c>
      <c r="L14" s="52" cm="1">
        <f t="array" aca="1" ref="L14" ca="1">INDIRECT(A14&amp;"!$C$19")</f>
        <v>9.4960000000000004</v>
      </c>
      <c r="M14" s="50" cm="1">
        <f t="array" aca="1" ref="M14" ca="1">INDIRECT(A14&amp;"!$D$19")</f>
        <v>18992</v>
      </c>
      <c r="N14" s="50" cm="1">
        <f t="array" aca="1" ref="N14" ca="1">INDIRECT(A14&amp;"!$E$19")</f>
        <v>18.400000000000002</v>
      </c>
      <c r="O14" s="50" cm="1">
        <f t="array" aca="1" ref="O14" ca="1">INDIRECT(A14&amp;"!$F$19")</f>
        <v>0</v>
      </c>
      <c r="P14" s="50">
        <f t="shared" ref="P14" ca="1" si="44">(N14+O14)</f>
        <v>18.400000000000002</v>
      </c>
      <c r="Q14"/>
      <c r="R14" t="str" cm="1">
        <f t="array" aca="1" ref="R14" ca="1">INDIRECT(A14&amp;"!$B$22")</f>
        <v>Compra</v>
      </c>
      <c r="S14" s="51" cm="1">
        <f t="array" aca="1" ref="S14" ca="1">INDIRECT(A14&amp;"!$B$23")</f>
        <v>44700</v>
      </c>
      <c r="T14" s="41" cm="1">
        <f t="array" aca="1" ref="T14" ca="1">INDIRECT(A14&amp;"!$A$36")</f>
        <v>2000</v>
      </c>
      <c r="U14" s="137" cm="1">
        <f t="array" aca="1" ref="U14" ca="1">INDIRECT(A14&amp;"!$B$36")</f>
        <v>9.4435000000000002</v>
      </c>
      <c r="V14" s="52" cm="1">
        <f t="array" aca="1" ref="V14" ca="1">INDIRECT(A14&amp;"!$C$36")</f>
        <v>9.4435000000000002</v>
      </c>
      <c r="W14" s="50" cm="1">
        <f t="array" aca="1" ref="W14" ca="1">INDIRECT(A14&amp;"!$D$36")</f>
        <v>18887.226000000002</v>
      </c>
      <c r="X14" s="50" cm="1">
        <f t="array" aca="1" ref="X14" ca="1">INDIRECT(A14&amp;"!$E$36")</f>
        <v>15.11</v>
      </c>
      <c r="Y14" s="50" cm="1">
        <f t="array" aca="1" ref="Y14" ca="1">INDIRECT(A14&amp;"!$F$36")</f>
        <v>0</v>
      </c>
      <c r="Z14" s="50">
        <f t="shared" ref="Z14" ca="1" si="45">(X14+Y14)</f>
        <v>15.11</v>
      </c>
      <c r="AA14"/>
      <c r="AB14" s="50" cm="1">
        <f t="array" aca="1" ref="AB14" ca="1">INDIRECT(A14&amp;"!$D$40")</f>
        <v>104.77399999999761</v>
      </c>
      <c r="AC14" s="159">
        <f t="shared" ref="AC14" ca="1" si="46">IF(AM14="LARGO",W14/M14-1,M14/W14-1)</f>
        <v>5.5473471858704659E-3</v>
      </c>
      <c r="AD14" s="50" cm="1">
        <f t="array" aca="1" ref="AD14" ca="1">INDIRECT(A14&amp;"!$E$40")</f>
        <v>33.510000000000005</v>
      </c>
      <c r="AE14" s="50" cm="1">
        <f t="array" aca="1" ref="AE14" ca="1">INDIRECT(A14&amp;"!$F$40")</f>
        <v>0</v>
      </c>
      <c r="AF14" s="50">
        <f t="shared" ref="AF14" ca="1" si="47">(N14+O14+X14+Y14)</f>
        <v>33.510000000000005</v>
      </c>
      <c r="AG14" s="50"/>
      <c r="AH14" s="136" cm="1">
        <f t="array" aca="1" ref="AH14" ca="1">INDIRECT(A14&amp;"!$F$42")</f>
        <v>71.263999999997608</v>
      </c>
      <c r="AI14"/>
      <c r="AJ14" s="50" cm="1">
        <f t="array" aca="1" ref="AJ14" ca="1">INDIRECT(A14&amp;"!$H$19")</f>
        <v>19010.399999999998</v>
      </c>
      <c r="AK14" s="50" cm="1">
        <f t="array" aca="1" ref="AK14" ca="1">INDIRECT(A14&amp;"!$H$36")</f>
        <v>18872.116000000002</v>
      </c>
      <c r="AM14" s="50" t="str" cm="1">
        <f t="array" aca="1" ref="AM14" ca="1">INDIRECT(A14&amp;"!$H$1")</f>
        <v>CORTO</v>
      </c>
      <c r="AO14" s="169">
        <f t="shared" ref="AO14" ca="1" si="48">IF(AND(AM14="LARGO"),S14,I14)</f>
        <v>44698</v>
      </c>
      <c r="AP14" s="169">
        <f t="shared" ref="AP14" ca="1" si="49">(AO14+62)</f>
        <v>44760</v>
      </c>
      <c r="AQ14" s="170" t="str">
        <f t="shared" ca="1" si="25"/>
        <v>SI</v>
      </c>
    </row>
    <row r="15" spans="1:43" x14ac:dyDescent="0.25">
      <c r="A15" s="1" t="s">
        <v>253</v>
      </c>
      <c r="B15" cm="1">
        <f t="array" aca="1" ref="B15" ca="1">INDIRECT(A15&amp;"!$d$1")</f>
        <v>22011</v>
      </c>
      <c r="C15" t="str" cm="1">
        <f t="array" aca="1" ref="C15" ca="1">INDIRECT(A15&amp;"!$B$2")</f>
        <v>CFD Iberdrola</v>
      </c>
      <c r="D15" cm="1">
        <f t="array" aca="1" ref="D15" ca="1">INDIRECT(A15&amp;"!$F$2")</f>
        <v>0</v>
      </c>
      <c r="E15" t="str" cm="1">
        <f t="array" aca="1" ref="E15" ca="1">INDIRECT(A15&amp;"!$F$4")</f>
        <v>CFD</v>
      </c>
      <c r="F15" t="str" cm="1">
        <f t="array" aca="1" ref="F15" ca="1">INDIRECT(A15&amp;"!$B$3")</f>
        <v>OTC</v>
      </c>
      <c r="G15" t="str" cm="1">
        <f t="array" aca="1" ref="G15" ca="1">INDIRECT(A15&amp;"!$B$4")</f>
        <v>Utilities (Serv. Pub.)</v>
      </c>
      <c r="H15" t="str" cm="1">
        <f t="array" aca="1" ref="H15" ca="1">INDIRECT(A15&amp;"!$B$5")</f>
        <v>Venta</v>
      </c>
      <c r="I15" s="51" cm="1">
        <f t="array" aca="1" ref="I15" ca="1">INDIRECT(A15&amp;"!$B$6")</f>
        <v>44704</v>
      </c>
      <c r="J15" s="41" cm="1">
        <f t="array" aca="1" ref="J15" ca="1">INDIRECT(A15&amp;"!$A$19")</f>
        <v>1900</v>
      </c>
      <c r="K15" s="137" cm="1">
        <f t="array" aca="1" ref="K15" ca="1">INDIRECT(A15&amp;"!$B$19")</f>
        <v>11.14</v>
      </c>
      <c r="L15" s="52" cm="1">
        <f t="array" aca="1" ref="L15" ca="1">INDIRECT(A15&amp;"!$C$19")</f>
        <v>11.14</v>
      </c>
      <c r="M15" s="50" cm="1">
        <f t="array" aca="1" ref="M15" ca="1">INDIRECT(A15&amp;"!$D$19")</f>
        <v>21166</v>
      </c>
      <c r="N15" s="50" cm="1">
        <f t="array" aca="1" ref="N15" ca="1">INDIRECT(A15&amp;"!$E$19")</f>
        <v>16.93</v>
      </c>
      <c r="O15" s="50" cm="1">
        <f t="array" aca="1" ref="O15" ca="1">INDIRECT(A15&amp;"!$F$19")</f>
        <v>0</v>
      </c>
      <c r="P15" s="50">
        <f t="shared" ref="P15" ca="1" si="50">(N15+O15)</f>
        <v>16.93</v>
      </c>
      <c r="Q15"/>
      <c r="R15" t="str" cm="1">
        <f t="array" aca="1" ref="R15" ca="1">INDIRECT(A15&amp;"!$B$22")</f>
        <v>Compra</v>
      </c>
      <c r="S15" s="51" cm="1">
        <f t="array" aca="1" ref="S15" ca="1">INDIRECT(A15&amp;"!$B$23")</f>
        <v>44704</v>
      </c>
      <c r="T15" s="41" cm="1">
        <f t="array" aca="1" ref="T15" ca="1">INDIRECT(A15&amp;"!$A$36")</f>
        <v>1900</v>
      </c>
      <c r="U15" s="137" cm="1">
        <f t="array" aca="1" ref="U15" ca="1">INDIRECT(A15&amp;"!$B$36")</f>
        <v>11.01</v>
      </c>
      <c r="V15" s="52" cm="1">
        <f t="array" aca="1" ref="V15" ca="1">INDIRECT(A15&amp;"!$C$36")</f>
        <v>11.01</v>
      </c>
      <c r="W15" s="50" cm="1">
        <f t="array" aca="1" ref="W15" ca="1">INDIRECT(A15&amp;"!$D$36")</f>
        <v>20919</v>
      </c>
      <c r="X15" s="50" cm="1">
        <f t="array" aca="1" ref="X15" ca="1">INDIRECT(A15&amp;"!$E$36")</f>
        <v>16.739999999999998</v>
      </c>
      <c r="Y15" s="50" cm="1">
        <f t="array" aca="1" ref="Y15" ca="1">INDIRECT(A15&amp;"!$F$36")</f>
        <v>0</v>
      </c>
      <c r="Z15" s="50">
        <f t="shared" ref="Z15" ca="1" si="51">(X15+Y15)</f>
        <v>16.739999999999998</v>
      </c>
      <c r="AA15"/>
      <c r="AB15" s="50" cm="1">
        <f t="array" aca="1" ref="AB15" ca="1">INDIRECT(A15&amp;"!$D$40")</f>
        <v>247</v>
      </c>
      <c r="AC15" s="159">
        <f t="shared" ref="AC15" ca="1" si="52">IF(AM15="LARGO",W15/M15-1,M15/W15-1)</f>
        <v>1.180744777475029E-2</v>
      </c>
      <c r="AD15" s="50" cm="1">
        <f t="array" aca="1" ref="AD15" ca="1">INDIRECT(A15&amp;"!$E$40")</f>
        <v>33.67</v>
      </c>
      <c r="AE15" s="50" cm="1">
        <f t="array" aca="1" ref="AE15" ca="1">INDIRECT(A15&amp;"!$F$40")</f>
        <v>0</v>
      </c>
      <c r="AF15" s="50">
        <f t="shared" ref="AF15" ca="1" si="53">(N15+O15+X15+Y15)</f>
        <v>33.67</v>
      </c>
      <c r="AG15" s="50"/>
      <c r="AH15" s="136" cm="1">
        <f t="array" aca="1" ref="AH15" ca="1">INDIRECT(A15&amp;"!$F$42")</f>
        <v>213.32999999999998</v>
      </c>
      <c r="AI15"/>
      <c r="AJ15" s="50" cm="1">
        <f t="array" aca="1" ref="AJ15" ca="1">INDIRECT(A15&amp;"!$H$19")</f>
        <v>21182.93</v>
      </c>
      <c r="AK15" s="50" cm="1">
        <f t="array" aca="1" ref="AK15" ca="1">INDIRECT(A15&amp;"!$H$36")</f>
        <v>20902.259999999998</v>
      </c>
      <c r="AM15" s="50" t="str" cm="1">
        <f t="array" aca="1" ref="AM15" ca="1">INDIRECT(A15&amp;"!$H$1")</f>
        <v>CORTO</v>
      </c>
      <c r="AO15" s="169">
        <f t="shared" ref="AO15" ca="1" si="54">IF(AND(AM15="LARGO"),S15,I15)</f>
        <v>44704</v>
      </c>
      <c r="AP15" s="169">
        <f t="shared" ref="AP15" ca="1" si="55">(AO15+62)</f>
        <v>44766</v>
      </c>
      <c r="AQ15" s="170" t="str">
        <f t="shared" ca="1" si="25"/>
        <v>SI</v>
      </c>
    </row>
    <row r="16" spans="1:43" x14ac:dyDescent="0.25">
      <c r="A16" s="1" t="s">
        <v>256</v>
      </c>
      <c r="B16" cm="1">
        <f t="array" aca="1" ref="B16" ca="1">INDIRECT(A16&amp;"!$d$1")</f>
        <v>22012</v>
      </c>
      <c r="C16" t="str" cm="1">
        <f t="array" aca="1" ref="C16" ca="1">INDIRECT(A16&amp;"!$B$2")</f>
        <v>CFD Caixabank</v>
      </c>
      <c r="D16" cm="1">
        <f t="array" aca="1" ref="D16" ca="1">INDIRECT(A16&amp;"!$F$2")</f>
        <v>0</v>
      </c>
      <c r="E16" t="str" cm="1">
        <f t="array" aca="1" ref="E16" ca="1">INDIRECT(A16&amp;"!$F$4")</f>
        <v>CFD</v>
      </c>
      <c r="F16" t="str" cm="1">
        <f t="array" aca="1" ref="F16" ca="1">INDIRECT(A16&amp;"!$B$3")</f>
        <v>OTC</v>
      </c>
      <c r="G16" t="str" cm="1">
        <f t="array" aca="1" ref="G16" ca="1">INDIRECT(A16&amp;"!$B$4")</f>
        <v>Financieras</v>
      </c>
      <c r="H16" t="str" cm="1">
        <f t="array" aca="1" ref="H16" ca="1">INDIRECT(A16&amp;"!$B$5")</f>
        <v>Venta</v>
      </c>
      <c r="I16" s="51" cm="1">
        <f t="array" aca="1" ref="I16" ca="1">INDIRECT(A16&amp;"!$B$6")</f>
        <v>44711</v>
      </c>
      <c r="J16" s="41" cm="1">
        <f t="array" aca="1" ref="J16" ca="1">INDIRECT(A16&amp;"!$A$19")</f>
        <v>5300</v>
      </c>
      <c r="K16" s="137" cm="1">
        <f t="array" aca="1" ref="K16" ca="1">INDIRECT(A16&amp;"!$B$19")</f>
        <v>3.4020000000000001</v>
      </c>
      <c r="L16" s="52" cm="1">
        <f t="array" aca="1" ref="L16" ca="1">INDIRECT(A16&amp;"!$C$19")</f>
        <v>3.4020000000000001</v>
      </c>
      <c r="M16" s="50" cm="1">
        <f t="array" aca="1" ref="M16" ca="1">INDIRECT(A16&amp;"!$D$19")</f>
        <v>18030.600000000002</v>
      </c>
      <c r="N16" s="50" cm="1">
        <f t="array" aca="1" ref="N16" ca="1">INDIRECT(A16&amp;"!$E$19")</f>
        <v>14.42</v>
      </c>
      <c r="O16" s="50" cm="1">
        <f t="array" aca="1" ref="O16" ca="1">INDIRECT(A16&amp;"!$F$19")</f>
        <v>0</v>
      </c>
      <c r="P16" s="50">
        <f t="shared" ref="P16" ca="1" si="56">(N16+O16)</f>
        <v>14.42</v>
      </c>
      <c r="Q16"/>
      <c r="R16" t="str" cm="1">
        <f t="array" aca="1" ref="R16" ca="1">INDIRECT(A16&amp;"!$B$22")</f>
        <v>Compra</v>
      </c>
      <c r="S16" s="51" cm="1">
        <f t="array" aca="1" ref="S16" ca="1">INDIRECT(A16&amp;"!$B$23")</f>
        <v>44711</v>
      </c>
      <c r="T16" s="41" cm="1">
        <f t="array" aca="1" ref="T16" ca="1">INDIRECT(A16&amp;"!$A$36")</f>
        <v>5300</v>
      </c>
      <c r="U16" s="137" cm="1">
        <f t="array" aca="1" ref="U16" ca="1">INDIRECT(A16&amp;"!$B$36")</f>
        <v>3.371</v>
      </c>
      <c r="V16" s="52" cm="1">
        <f t="array" aca="1" ref="V16" ca="1">INDIRECT(A16&amp;"!$C$36")</f>
        <v>3.371</v>
      </c>
      <c r="W16" s="50" cm="1">
        <f t="array" aca="1" ref="W16" ca="1">INDIRECT(A16&amp;"!$D$36")</f>
        <v>17866.3</v>
      </c>
      <c r="X16" s="50" cm="1">
        <f t="array" aca="1" ref="X16" ca="1">INDIRECT(A16&amp;"!$E$36")</f>
        <v>14.29</v>
      </c>
      <c r="Y16" s="50" cm="1">
        <f t="array" aca="1" ref="Y16" ca="1">INDIRECT(A16&amp;"!$F$36")</f>
        <v>0</v>
      </c>
      <c r="Z16" s="50">
        <f t="shared" ref="Z16" ca="1" si="57">(X16+Y16)</f>
        <v>14.29</v>
      </c>
      <c r="AA16"/>
      <c r="AB16" s="50" cm="1">
        <f t="array" aca="1" ref="AB16" ca="1">INDIRECT(A16&amp;"!$D$40")</f>
        <v>164.30000000000291</v>
      </c>
      <c r="AC16" s="159">
        <f t="shared" ref="AC16" ca="1" si="58">IF(AM16="LARGO",W16/M16-1,M16/W16-1)</f>
        <v>9.1960842479978933E-3</v>
      </c>
      <c r="AD16" s="50" cm="1">
        <f t="array" aca="1" ref="AD16" ca="1">INDIRECT(A16&amp;"!$E$40")</f>
        <v>28.71</v>
      </c>
      <c r="AE16" s="50" cm="1">
        <f t="array" aca="1" ref="AE16" ca="1">INDIRECT(A16&amp;"!$F$40")</f>
        <v>0</v>
      </c>
      <c r="AF16" s="50">
        <f t="shared" ref="AF16" ca="1" si="59">(N16+O16+X16+Y16)</f>
        <v>28.71</v>
      </c>
      <c r="AG16" s="50"/>
      <c r="AH16" s="136" cm="1">
        <f t="array" aca="1" ref="AH16" ca="1">INDIRECT(A16&amp;"!$F$42")</f>
        <v>135.5900000000029</v>
      </c>
      <c r="AI16"/>
      <c r="AJ16" s="50" cm="1">
        <f t="array" aca="1" ref="AJ16" ca="1">INDIRECT(A16&amp;"!$H$19")</f>
        <v>18045.02</v>
      </c>
      <c r="AK16" s="50" cm="1">
        <f t="array" aca="1" ref="AK16" ca="1">INDIRECT(A16&amp;"!$H$36")</f>
        <v>17852.009999999998</v>
      </c>
      <c r="AM16" s="50" t="str" cm="1">
        <f t="array" aca="1" ref="AM16" ca="1">INDIRECT(A16&amp;"!$H$1")</f>
        <v>CORTO</v>
      </c>
      <c r="AO16" s="169">
        <f t="shared" ref="AO16" ca="1" si="60">IF(AND(AM16="LARGO"),S16,I16)</f>
        <v>44711</v>
      </c>
      <c r="AP16" s="169">
        <f t="shared" ref="AP16" ca="1" si="61">(AO16+62)</f>
        <v>44773</v>
      </c>
      <c r="AQ16" s="170" t="str">
        <f t="shared" ca="1" si="25"/>
        <v>SI</v>
      </c>
    </row>
    <row r="17" spans="4:43" x14ac:dyDescent="0.25">
      <c r="D17"/>
      <c r="E17"/>
      <c r="F17"/>
      <c r="G17"/>
      <c r="H17"/>
      <c r="I17" s="51"/>
      <c r="J17" s="41"/>
      <c r="K17" s="137"/>
      <c r="L17" s="52"/>
      <c r="M17" s="50"/>
      <c r="N17" s="50"/>
      <c r="O17" s="50"/>
      <c r="P17" s="50"/>
      <c r="Q17"/>
      <c r="R17"/>
      <c r="S17" s="51"/>
      <c r="T17" s="41"/>
      <c r="U17" s="137"/>
      <c r="V17" s="52"/>
      <c r="W17" s="50"/>
      <c r="X17" s="50"/>
      <c r="Y17" s="50"/>
      <c r="Z17" s="50"/>
      <c r="AA17"/>
      <c r="AB17" s="50"/>
      <c r="AC17" s="159"/>
      <c r="AD17" s="50"/>
      <c r="AE17" s="50"/>
      <c r="AF17" s="50"/>
      <c r="AG17" s="50"/>
      <c r="AH17" s="136"/>
      <c r="AI17"/>
      <c r="AJ17" s="50"/>
      <c r="AK17" s="50"/>
      <c r="AM17" s="50"/>
      <c r="AO17" s="169"/>
      <c r="AP17" s="169"/>
      <c r="AQ17" s="170"/>
    </row>
    <row r="18" spans="4:43" x14ac:dyDescent="0.25">
      <c r="D18"/>
      <c r="E18"/>
      <c r="F18"/>
      <c r="G18"/>
      <c r="H18"/>
      <c r="I18" s="51"/>
      <c r="J18" s="41"/>
      <c r="K18" s="137"/>
      <c r="L18" s="52"/>
      <c r="M18" s="50"/>
      <c r="N18" s="50"/>
      <c r="O18" s="50"/>
      <c r="P18" s="50"/>
      <c r="Q18"/>
      <c r="R18"/>
      <c r="S18" s="51"/>
      <c r="T18" s="41"/>
      <c r="U18" s="137"/>
      <c r="V18" s="52"/>
      <c r="W18" s="50"/>
      <c r="X18" s="50"/>
      <c r="Y18" s="50"/>
      <c r="Z18" s="50"/>
      <c r="AA18"/>
      <c r="AB18" s="50"/>
      <c r="AC18" s="159"/>
      <c r="AD18" s="50"/>
      <c r="AE18" s="50"/>
      <c r="AF18" s="50"/>
      <c r="AG18" s="50"/>
      <c r="AH18" s="136"/>
      <c r="AI18"/>
      <c r="AJ18" s="50"/>
      <c r="AK18" s="50"/>
      <c r="AM18" s="50"/>
      <c r="AO18" s="169"/>
      <c r="AP18" s="169"/>
      <c r="AQ18" s="170"/>
    </row>
    <row r="19" spans="4:43" x14ac:dyDescent="0.25">
      <c r="D19"/>
      <c r="E19"/>
      <c r="F19"/>
      <c r="G19"/>
      <c r="H19"/>
      <c r="I19" s="51"/>
      <c r="J19" s="41"/>
      <c r="K19" s="137"/>
      <c r="L19" s="52"/>
      <c r="M19" s="50"/>
      <c r="N19" s="50"/>
      <c r="O19" s="50"/>
      <c r="P19" s="50"/>
      <c r="Q19"/>
      <c r="R19"/>
      <c r="S19" s="51"/>
      <c r="T19" s="41"/>
      <c r="U19" s="137"/>
      <c r="V19" s="52"/>
      <c r="W19" s="50"/>
      <c r="X19" s="50"/>
      <c r="Y19" s="50"/>
      <c r="Z19" s="50"/>
      <c r="AA19"/>
      <c r="AB19" s="50"/>
      <c r="AC19" s="159"/>
      <c r="AD19" s="50"/>
      <c r="AE19" s="50"/>
      <c r="AF19" s="50"/>
      <c r="AG19" s="50"/>
      <c r="AH19" s="136"/>
      <c r="AI19"/>
      <c r="AJ19" s="50"/>
      <c r="AK19" s="50"/>
      <c r="AM19" s="50"/>
      <c r="AO19" s="169"/>
      <c r="AP19" s="169"/>
      <c r="AQ19" s="170"/>
    </row>
    <row r="20" spans="4:43" x14ac:dyDescent="0.25">
      <c r="D20"/>
      <c r="E20"/>
      <c r="F20"/>
      <c r="G20"/>
      <c r="H20"/>
      <c r="I20" s="51"/>
      <c r="J20" s="41"/>
      <c r="K20" s="137"/>
      <c r="L20" s="52"/>
      <c r="M20" s="50"/>
      <c r="N20" s="50"/>
      <c r="O20" s="50"/>
      <c r="P20" s="50"/>
      <c r="Q20"/>
      <c r="R20"/>
      <c r="S20" s="51"/>
      <c r="T20" s="41"/>
      <c r="U20" s="137"/>
      <c r="V20" s="52"/>
      <c r="W20" s="50"/>
      <c r="X20" s="50"/>
      <c r="Y20" s="50"/>
      <c r="Z20" s="50"/>
      <c r="AA20"/>
      <c r="AB20" s="50"/>
      <c r="AC20" s="159"/>
      <c r="AD20" s="50"/>
      <c r="AE20" s="50"/>
      <c r="AF20" s="50"/>
      <c r="AG20" s="50"/>
      <c r="AH20" s="136"/>
      <c r="AI20"/>
      <c r="AJ20" s="50"/>
      <c r="AK20" s="50"/>
      <c r="AM20" s="50"/>
      <c r="AO20" s="169"/>
      <c r="AP20" s="169"/>
      <c r="AQ20" s="170"/>
    </row>
    <row r="21" spans="4:43" x14ac:dyDescent="0.25">
      <c r="D21"/>
      <c r="E21"/>
      <c r="F21"/>
      <c r="G21"/>
      <c r="H21"/>
      <c r="I21" s="51"/>
      <c r="J21" s="41"/>
      <c r="K21" s="137"/>
      <c r="L21" s="52"/>
      <c r="M21" s="50"/>
      <c r="N21" s="50"/>
      <c r="O21" s="50"/>
      <c r="P21" s="50"/>
      <c r="Q21"/>
      <c r="R21"/>
      <c r="S21" s="51"/>
      <c r="T21" s="41"/>
      <c r="U21" s="137"/>
      <c r="V21" s="52"/>
      <c r="W21" s="50"/>
      <c r="X21" s="50"/>
      <c r="Y21" s="50"/>
      <c r="Z21" s="50"/>
      <c r="AA21"/>
      <c r="AB21" s="50"/>
      <c r="AC21" s="159"/>
      <c r="AD21" s="50"/>
      <c r="AE21" s="50"/>
      <c r="AF21" s="50"/>
      <c r="AG21" s="50"/>
      <c r="AH21" s="136"/>
      <c r="AI21"/>
      <c r="AJ21" s="50"/>
      <c r="AK21" s="50"/>
      <c r="AM21" s="50"/>
      <c r="AO21" s="169"/>
      <c r="AP21" s="169"/>
      <c r="AQ21" s="170"/>
    </row>
    <row r="22" spans="4:43" x14ac:dyDescent="0.25">
      <c r="D22"/>
      <c r="E22"/>
      <c r="F22"/>
      <c r="G22"/>
      <c r="H22"/>
      <c r="I22" s="51"/>
      <c r="J22" s="41"/>
      <c r="K22" s="137"/>
      <c r="L22" s="52"/>
      <c r="M22" s="50"/>
      <c r="N22" s="50"/>
      <c r="O22" s="50"/>
      <c r="P22" s="50"/>
      <c r="Q22"/>
      <c r="R22"/>
      <c r="S22" s="51"/>
      <c r="T22" s="41"/>
      <c r="U22" s="137"/>
      <c r="V22" s="52"/>
      <c r="W22" s="50"/>
      <c r="X22" s="50"/>
      <c r="Y22" s="50"/>
      <c r="Z22" s="50"/>
      <c r="AA22"/>
      <c r="AB22" s="50"/>
      <c r="AC22" s="159"/>
      <c r="AD22" s="50"/>
      <c r="AE22" s="50"/>
      <c r="AF22" s="50"/>
      <c r="AG22" s="50"/>
      <c r="AH22" s="136"/>
      <c r="AI22"/>
      <c r="AJ22" s="50"/>
      <c r="AK22" s="50"/>
      <c r="AM22" s="50"/>
      <c r="AO22" s="169"/>
      <c r="AP22" s="169"/>
      <c r="AQ22" s="170"/>
    </row>
    <row r="23" spans="4:43" x14ac:dyDescent="0.25">
      <c r="D23"/>
      <c r="E23"/>
      <c r="F23"/>
      <c r="G23"/>
      <c r="H23"/>
      <c r="I23" s="51"/>
      <c r="J23" s="41"/>
      <c r="K23" s="137"/>
      <c r="L23" s="52"/>
      <c r="M23" s="50"/>
      <c r="N23" s="50"/>
      <c r="O23" s="50"/>
      <c r="P23" s="50"/>
      <c r="Q23"/>
      <c r="R23"/>
      <c r="S23" s="51"/>
      <c r="T23" s="41"/>
      <c r="U23" s="137"/>
      <c r="V23" s="52"/>
      <c r="W23" s="50"/>
      <c r="X23" s="50"/>
      <c r="Y23" s="50"/>
      <c r="Z23" s="50"/>
      <c r="AA23"/>
      <c r="AB23" s="50"/>
      <c r="AC23" s="159"/>
      <c r="AD23" s="50"/>
      <c r="AE23" s="50"/>
      <c r="AF23" s="50"/>
      <c r="AG23" s="50"/>
      <c r="AH23" s="136"/>
      <c r="AI23"/>
      <c r="AJ23" s="50"/>
      <c r="AK23" s="50"/>
      <c r="AM23" s="50"/>
      <c r="AO23" s="169"/>
      <c r="AP23" s="169"/>
      <c r="AQ23" s="170"/>
    </row>
    <row r="24" spans="4:43" x14ac:dyDescent="0.25">
      <c r="D24"/>
      <c r="E24"/>
      <c r="F24"/>
      <c r="G24"/>
      <c r="H24"/>
      <c r="I24" s="51"/>
      <c r="J24" s="41"/>
      <c r="K24" s="137"/>
      <c r="L24" s="52"/>
      <c r="M24" s="50"/>
      <c r="N24" s="50"/>
      <c r="O24" s="50"/>
      <c r="P24" s="50"/>
      <c r="Q24"/>
      <c r="R24"/>
      <c r="S24" s="51"/>
      <c r="T24" s="41"/>
      <c r="U24" s="137"/>
      <c r="V24" s="52"/>
      <c r="W24" s="50"/>
      <c r="X24" s="50"/>
      <c r="Y24" s="50"/>
      <c r="Z24" s="50"/>
      <c r="AA24"/>
      <c r="AB24" s="50"/>
      <c r="AC24" s="159"/>
      <c r="AD24" s="50"/>
      <c r="AE24" s="50"/>
      <c r="AF24" s="50"/>
      <c r="AG24" s="50"/>
      <c r="AH24" s="136"/>
      <c r="AI24"/>
      <c r="AJ24" s="50"/>
      <c r="AK24" s="50"/>
      <c r="AM24" s="50"/>
      <c r="AO24" s="169"/>
      <c r="AP24" s="169"/>
      <c r="AQ24" s="170"/>
    </row>
    <row r="25" spans="4:43" x14ac:dyDescent="0.25">
      <c r="D25"/>
      <c r="E25"/>
      <c r="F25"/>
      <c r="G25"/>
      <c r="H25"/>
      <c r="I25" s="51"/>
      <c r="J25" s="41"/>
      <c r="K25" s="137"/>
      <c r="L25" s="52"/>
      <c r="M25" s="50"/>
      <c r="N25" s="50"/>
      <c r="O25" s="50"/>
      <c r="P25" s="50"/>
      <c r="Q25"/>
      <c r="R25"/>
      <c r="S25" s="51"/>
      <c r="T25" s="41"/>
      <c r="U25" s="137"/>
      <c r="V25" s="52"/>
      <c r="W25" s="50"/>
      <c r="X25" s="50"/>
      <c r="Y25" s="50"/>
      <c r="Z25" s="50"/>
      <c r="AA25"/>
      <c r="AB25" s="50"/>
      <c r="AC25" s="159"/>
      <c r="AD25" s="50"/>
      <c r="AE25" s="50"/>
      <c r="AF25" s="50"/>
      <c r="AG25" s="50"/>
      <c r="AH25" s="136"/>
      <c r="AI25"/>
      <c r="AJ25" s="50"/>
      <c r="AK25" s="50"/>
      <c r="AM25" s="50"/>
      <c r="AO25" s="169"/>
      <c r="AP25" s="169"/>
      <c r="AQ25" s="170"/>
    </row>
    <row r="26" spans="4:43" x14ac:dyDescent="0.25">
      <c r="D26"/>
      <c r="E26"/>
      <c r="F26"/>
      <c r="G26"/>
      <c r="H26"/>
      <c r="I26" s="51"/>
      <c r="J26" s="41"/>
      <c r="K26" s="137"/>
      <c r="L26" s="52"/>
      <c r="M26" s="50"/>
      <c r="N26" s="50"/>
      <c r="O26" s="50"/>
      <c r="P26" s="50"/>
      <c r="Q26"/>
      <c r="R26"/>
      <c r="S26" s="51"/>
      <c r="T26" s="41"/>
      <c r="U26" s="137"/>
      <c r="V26" s="52"/>
      <c r="W26" s="50"/>
      <c r="X26" s="50"/>
      <c r="Y26" s="50"/>
      <c r="Z26" s="50"/>
      <c r="AA26"/>
      <c r="AB26" s="50"/>
      <c r="AC26" s="159"/>
      <c r="AD26" s="50"/>
      <c r="AE26" s="50"/>
      <c r="AF26" s="50"/>
      <c r="AG26" s="50"/>
      <c r="AH26" s="136"/>
      <c r="AI26"/>
      <c r="AJ26" s="50"/>
      <c r="AK26" s="50"/>
      <c r="AM26" s="50"/>
      <c r="AO26" s="169"/>
      <c r="AP26" s="169"/>
      <c r="AQ26" s="170"/>
    </row>
    <row r="27" spans="4:43" x14ac:dyDescent="0.25">
      <c r="D27"/>
      <c r="E27"/>
      <c r="F27"/>
      <c r="G27"/>
      <c r="H27"/>
      <c r="I27" s="51"/>
      <c r="J27" s="41"/>
      <c r="K27" s="137"/>
      <c r="L27" s="52"/>
      <c r="M27" s="50"/>
      <c r="N27" s="50"/>
      <c r="O27" s="50"/>
      <c r="P27" s="50"/>
      <c r="Q27"/>
      <c r="R27"/>
      <c r="S27" s="51"/>
      <c r="T27" s="41"/>
      <c r="U27" s="137"/>
      <c r="V27" s="52"/>
      <c r="W27" s="50"/>
      <c r="X27" s="50"/>
      <c r="Y27" s="50"/>
      <c r="Z27" s="50"/>
      <c r="AA27"/>
      <c r="AB27" s="50"/>
      <c r="AC27" s="159"/>
      <c r="AD27" s="50"/>
      <c r="AE27" s="50"/>
      <c r="AF27" s="50"/>
      <c r="AG27" s="50"/>
      <c r="AH27" s="136"/>
      <c r="AI27"/>
      <c r="AJ27" s="50"/>
      <c r="AK27" s="50"/>
      <c r="AM27" s="50"/>
      <c r="AO27" s="169"/>
      <c r="AP27" s="169"/>
      <c r="AQ27" s="170"/>
    </row>
    <row r="28" spans="4:43" x14ac:dyDescent="0.25">
      <c r="D28"/>
      <c r="E28"/>
      <c r="F28"/>
      <c r="G28"/>
      <c r="H28"/>
      <c r="I28" s="51"/>
      <c r="J28" s="41"/>
      <c r="K28" s="137"/>
      <c r="L28" s="52"/>
      <c r="M28" s="50"/>
      <c r="N28" s="50"/>
      <c r="O28" s="50"/>
      <c r="P28" s="50"/>
      <c r="Q28"/>
      <c r="R28"/>
      <c r="S28" s="51"/>
      <c r="T28" s="41"/>
      <c r="U28" s="137"/>
      <c r="V28" s="52"/>
      <c r="W28" s="50"/>
      <c r="X28" s="50"/>
      <c r="Y28" s="50"/>
      <c r="Z28" s="50"/>
      <c r="AA28"/>
      <c r="AB28" s="50"/>
      <c r="AC28" s="159"/>
      <c r="AD28" s="50"/>
      <c r="AE28" s="50"/>
      <c r="AF28" s="50"/>
      <c r="AG28" s="50"/>
      <c r="AH28" s="136"/>
      <c r="AI28"/>
      <c r="AJ28" s="50"/>
      <c r="AK28" s="50"/>
      <c r="AM28" s="50"/>
      <c r="AO28" s="169"/>
      <c r="AP28" s="169"/>
      <c r="AQ28" s="170"/>
    </row>
    <row r="29" spans="4:43" x14ac:dyDescent="0.25">
      <c r="D29"/>
      <c r="E29"/>
      <c r="F29"/>
      <c r="G29"/>
      <c r="H29"/>
      <c r="I29" s="51"/>
      <c r="J29" s="41"/>
      <c r="K29" s="137"/>
      <c r="L29" s="52"/>
      <c r="M29" s="50"/>
      <c r="N29" s="50"/>
      <c r="O29" s="50"/>
      <c r="P29" s="50"/>
      <c r="Q29"/>
      <c r="R29"/>
      <c r="S29" s="51"/>
      <c r="T29" s="41"/>
      <c r="U29" s="137"/>
      <c r="V29" s="52"/>
      <c r="W29" s="50"/>
      <c r="X29" s="50"/>
      <c r="Y29" s="50"/>
      <c r="Z29" s="50"/>
      <c r="AA29"/>
      <c r="AB29" s="50"/>
      <c r="AC29" s="159"/>
      <c r="AD29" s="50"/>
      <c r="AE29" s="50"/>
      <c r="AF29" s="50"/>
      <c r="AG29" s="50"/>
      <c r="AH29" s="136"/>
      <c r="AI29"/>
      <c r="AJ29" s="50"/>
      <c r="AK29" s="50"/>
      <c r="AM29" s="50"/>
      <c r="AO29" s="169"/>
      <c r="AP29" s="169"/>
      <c r="AQ29" s="170"/>
    </row>
    <row r="30" spans="4:43" x14ac:dyDescent="0.25">
      <c r="D30"/>
      <c r="E30"/>
      <c r="F30"/>
      <c r="G30"/>
      <c r="H30"/>
      <c r="I30" s="51"/>
      <c r="J30" s="41"/>
      <c r="K30" s="137"/>
      <c r="L30" s="52"/>
      <c r="M30" s="50"/>
      <c r="N30" s="50"/>
      <c r="O30" s="50"/>
      <c r="P30" s="50"/>
      <c r="Q30"/>
      <c r="R30"/>
      <c r="S30" s="51"/>
      <c r="T30" s="41"/>
      <c r="U30" s="137"/>
      <c r="V30" s="52"/>
      <c r="W30" s="50"/>
      <c r="X30" s="50"/>
      <c r="Y30" s="50"/>
      <c r="Z30" s="50"/>
      <c r="AA30"/>
      <c r="AB30" s="50"/>
      <c r="AC30" s="159"/>
      <c r="AD30" s="50"/>
      <c r="AE30" s="50"/>
      <c r="AF30" s="50"/>
      <c r="AG30" s="50"/>
      <c r="AH30" s="136"/>
      <c r="AI30"/>
      <c r="AJ30" s="50"/>
      <c r="AK30" s="50"/>
      <c r="AM30" s="50"/>
      <c r="AO30" s="169"/>
      <c r="AP30" s="169"/>
      <c r="AQ30" s="170"/>
    </row>
    <row r="31" spans="4:43" x14ac:dyDescent="0.25">
      <c r="D31"/>
      <c r="E31"/>
      <c r="F31"/>
      <c r="G31"/>
      <c r="H31"/>
      <c r="I31" s="51"/>
      <c r="J31" s="41"/>
      <c r="K31" s="137"/>
      <c r="L31" s="52"/>
      <c r="M31" s="50"/>
      <c r="N31" s="50"/>
      <c r="O31" s="50"/>
      <c r="P31" s="50"/>
      <c r="Q31"/>
      <c r="R31"/>
      <c r="S31" s="51"/>
      <c r="T31" s="41"/>
      <c r="U31" s="137"/>
      <c r="V31" s="52"/>
      <c r="W31" s="50"/>
      <c r="X31" s="50"/>
      <c r="Y31" s="50"/>
      <c r="Z31" s="50"/>
      <c r="AA31"/>
      <c r="AB31" s="50"/>
      <c r="AC31" s="159"/>
      <c r="AD31" s="50"/>
      <c r="AE31" s="50"/>
      <c r="AF31" s="50"/>
      <c r="AG31" s="50"/>
      <c r="AH31" s="136"/>
      <c r="AI31"/>
      <c r="AJ31" s="50"/>
      <c r="AK31" s="50"/>
      <c r="AM31" s="50"/>
      <c r="AO31" s="169"/>
      <c r="AP31" s="169"/>
      <c r="AQ31" s="170"/>
    </row>
    <row r="32" spans="4:43" x14ac:dyDescent="0.25">
      <c r="D32"/>
      <c r="E32"/>
      <c r="F32"/>
      <c r="G32"/>
      <c r="H32"/>
      <c r="I32" s="51"/>
      <c r="J32" s="41"/>
      <c r="K32" s="137"/>
      <c r="L32" s="52"/>
      <c r="M32" s="50"/>
      <c r="N32" s="50"/>
      <c r="O32" s="50"/>
      <c r="P32" s="50"/>
      <c r="Q32"/>
      <c r="R32"/>
      <c r="S32" s="51"/>
      <c r="T32" s="41"/>
      <c r="U32" s="137"/>
      <c r="V32" s="52"/>
      <c r="W32" s="50"/>
      <c r="X32" s="50"/>
      <c r="Y32" s="50"/>
      <c r="Z32" s="50"/>
      <c r="AA32"/>
      <c r="AB32" s="50"/>
      <c r="AC32" s="159"/>
      <c r="AD32" s="50"/>
      <c r="AE32" s="50"/>
      <c r="AF32" s="50"/>
      <c r="AG32" s="50"/>
      <c r="AH32" s="136"/>
      <c r="AI32"/>
      <c r="AJ32" s="50"/>
      <c r="AK32" s="50"/>
      <c r="AM32" s="50"/>
      <c r="AO32" s="169"/>
      <c r="AP32" s="169"/>
      <c r="AQ32" s="170"/>
    </row>
    <row r="33" spans="4:43" x14ac:dyDescent="0.25">
      <c r="D33"/>
      <c r="E33"/>
      <c r="F33"/>
      <c r="G33"/>
      <c r="H33"/>
      <c r="I33" s="51"/>
      <c r="J33" s="41"/>
      <c r="K33" s="137"/>
      <c r="L33" s="52"/>
      <c r="M33" s="50"/>
      <c r="N33" s="50"/>
      <c r="O33" s="50"/>
      <c r="P33" s="50"/>
      <c r="Q33"/>
      <c r="R33"/>
      <c r="S33" s="51"/>
      <c r="T33" s="41"/>
      <c r="U33" s="137"/>
      <c r="V33" s="52"/>
      <c r="W33" s="50"/>
      <c r="X33" s="50"/>
      <c r="Y33" s="50"/>
      <c r="Z33" s="50"/>
      <c r="AA33"/>
      <c r="AB33" s="50"/>
      <c r="AC33" s="159"/>
      <c r="AD33" s="50"/>
      <c r="AE33" s="50"/>
      <c r="AF33" s="50"/>
      <c r="AG33" s="50"/>
      <c r="AH33" s="136"/>
      <c r="AI33"/>
      <c r="AJ33" s="50"/>
      <c r="AK33" s="50"/>
      <c r="AM33" s="50"/>
      <c r="AO33" s="169"/>
      <c r="AP33" s="169"/>
      <c r="AQ33" s="170"/>
    </row>
  </sheetData>
  <phoneticPr fontId="5" type="noConversion"/>
  <pageMargins left="0.70866141732283472" right="0.70866141732283472" top="0.74803149606299213" bottom="0.74803149606299213" header="0.31496062992125984" footer="0.31496062992125984"/>
  <pageSetup paperSize="9" scale="4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6C441-F0BB-4EF7-87F7-565B709FEBC1}">
  <sheetPr>
    <tabColor theme="4" tint="0.59999389629810485"/>
    <pageSetUpPr fitToPage="1"/>
  </sheetPr>
  <dimension ref="A1:AD2"/>
  <sheetViews>
    <sheetView workbookViewId="0">
      <pane xSplit="3" ySplit="1" topLeftCell="D2" activePane="bottomRight" state="frozen"/>
      <selection pane="topRight" activeCell="D1" sqref="D1"/>
      <selection pane="bottomLeft" activeCell="A2" sqref="A2"/>
      <selection pane="bottomRight" activeCell="A3" sqref="A3"/>
    </sheetView>
  </sheetViews>
  <sheetFormatPr baseColWidth="10" defaultColWidth="11.42578125" defaultRowHeight="15" x14ac:dyDescent="0.25"/>
  <cols>
    <col min="1" max="1" width="9.85546875" style="1" customWidth="1"/>
    <col min="2" max="2" width="6.7109375" style="1" customWidth="1"/>
    <col min="3" max="3" width="22.5703125" style="1" customWidth="1"/>
    <col min="4" max="4" width="15.140625" style="1" customWidth="1"/>
    <col min="5" max="5" width="26" style="1" customWidth="1"/>
    <col min="6" max="6" width="14.7109375" style="1" customWidth="1"/>
    <col min="7" max="7" width="14.140625" style="1" customWidth="1"/>
    <col min="8" max="8" width="7.140625" style="1" customWidth="1"/>
    <col min="9" max="9" width="17.28515625" style="1" customWidth="1"/>
    <col min="10" max="10" width="16" style="1" customWidth="1"/>
    <col min="11" max="11" width="16.7109375" style="1" customWidth="1"/>
    <col min="12" max="13" width="12" style="1" customWidth="1"/>
    <col min="14" max="14" width="11.42578125" style="1" customWidth="1"/>
    <col min="15" max="15" width="12.5703125" style="1" customWidth="1"/>
    <col min="16" max="16" width="12.28515625" style="1" customWidth="1"/>
    <col min="17" max="17" width="16.140625" style="1" customWidth="1"/>
    <col min="18" max="18" width="5.7109375" style="1" customWidth="1"/>
    <col min="19" max="19" width="17" style="1" customWidth="1"/>
    <col min="20" max="21" width="15" style="1" customWidth="1"/>
    <col min="22" max="22" width="1" style="1" customWidth="1"/>
    <col min="23" max="24" width="11.42578125" style="1"/>
    <col min="25" max="25" width="13.5703125" style="1" customWidth="1"/>
    <col min="26" max="26" width="10.7109375" style="1" customWidth="1"/>
    <col min="27" max="27" width="12.7109375" style="1" customWidth="1"/>
    <col min="28" max="16384" width="11.42578125" style="1"/>
  </cols>
  <sheetData>
    <row r="1" spans="1:30" x14ac:dyDescent="0.25">
      <c r="A1" t="s">
        <v>23</v>
      </c>
      <c r="B1" s="35" t="s">
        <v>12</v>
      </c>
      <c r="C1" s="35" t="s">
        <v>2</v>
      </c>
      <c r="D1" s="35" t="s">
        <v>28</v>
      </c>
      <c r="E1" s="35" t="s">
        <v>26</v>
      </c>
      <c r="F1" s="42" t="s">
        <v>44</v>
      </c>
      <c r="G1" s="42" t="s">
        <v>45</v>
      </c>
      <c r="H1" s="42" t="s">
        <v>48</v>
      </c>
      <c r="I1" s="42" t="s">
        <v>50</v>
      </c>
      <c r="J1" s="42" t="s">
        <v>46</v>
      </c>
      <c r="K1" s="42" t="s">
        <v>47</v>
      </c>
      <c r="L1" s="42" t="s">
        <v>24</v>
      </c>
      <c r="M1" s="42" t="s">
        <v>201</v>
      </c>
      <c r="N1" s="36" t="s">
        <v>1</v>
      </c>
      <c r="O1" s="36" t="s">
        <v>7</v>
      </c>
      <c r="P1" s="36" t="s">
        <v>220</v>
      </c>
      <c r="Q1" s="36" t="s">
        <v>51</v>
      </c>
      <c r="R1" s="36" t="s">
        <v>48</v>
      </c>
      <c r="S1" s="36" t="s">
        <v>50</v>
      </c>
      <c r="T1" s="36" t="s">
        <v>186</v>
      </c>
      <c r="U1" s="36" t="s">
        <v>67</v>
      </c>
      <c r="V1" s="37"/>
      <c r="W1" s="45" t="s">
        <v>42</v>
      </c>
      <c r="X1" s="46" t="s">
        <v>49</v>
      </c>
      <c r="Y1" s="45" t="s">
        <v>4</v>
      </c>
      <c r="Z1" s="45" t="s">
        <v>24</v>
      </c>
      <c r="AA1" s="45" t="s">
        <v>202</v>
      </c>
      <c r="AB1" s="160" t="s">
        <v>188</v>
      </c>
      <c r="AC1" s="161" t="s">
        <v>49</v>
      </c>
      <c r="AD1" s="160" t="s">
        <v>4</v>
      </c>
    </row>
    <row r="2" spans="1:30" x14ac:dyDescent="0.25">
      <c r="A2" s="1" t="s">
        <v>92</v>
      </c>
      <c r="B2">
        <v>22003</v>
      </c>
      <c r="C2" t="e" cm="1">
        <f t="array" aca="1" ref="C2" ca="1">INDIRECT(A2&amp;"!$B$2")</f>
        <v>#REF!</v>
      </c>
      <c r="D2" t="e" cm="1">
        <f t="array" aca="1" ref="D2" ca="1">INDIRECT(A2&amp;"!$B$3")</f>
        <v>#REF!</v>
      </c>
      <c r="E2" t="e" cm="1">
        <f t="array" aca="1" ref="E2" ca="1">INDIRECT(A2&amp;"!$B$4")</f>
        <v>#REF!</v>
      </c>
      <c r="F2" s="155" t="e">
        <f ca="1">(U2/GENERAL!$G$6)</f>
        <v>#REF!</v>
      </c>
      <c r="G2" s="49" t="e" cm="1">
        <f t="array" aca="1" ref="G2" ca="1">INDIRECT(A2&amp;"!$J$8")</f>
        <v>#REF!</v>
      </c>
      <c r="H2" t="e" cm="1">
        <f t="array" aca="1" ref="H2" ca="1">INDIRECT(A2&amp;"!$K$8")</f>
        <v>#REF!</v>
      </c>
      <c r="I2" s="52" t="e" cm="1">
        <f t="array" aca="1" ref="I2" ca="1">INDIRECT(A2&amp;"!$L$8")</f>
        <v>#REF!</v>
      </c>
      <c r="J2" s="157" t="e">
        <f t="shared" ref="J2" ca="1" si="0">(G2/Q2-1)</f>
        <v>#REF!</v>
      </c>
      <c r="K2" s="156" t="e">
        <f t="shared" ref="K2" ca="1" si="1">(T2*J2)</f>
        <v>#REF!</v>
      </c>
      <c r="L2" s="172" t="e" cm="1">
        <f t="array" aca="1" ref="L2" ca="1">INDIRECT(A2&amp;"!$E$41")</f>
        <v>#REF!</v>
      </c>
      <c r="M2" s="156" t="e">
        <f t="shared" ref="M2" ca="1" si="2">(K2-L2)</f>
        <v>#REF!</v>
      </c>
      <c r="N2" t="e" cm="1">
        <f t="array" aca="1" ref="N2" ca="1">INDIRECT(A2&amp;"!$B$5")</f>
        <v>#REF!</v>
      </c>
      <c r="O2" s="51" t="e" cm="1">
        <f t="array" aca="1" ref="O2" ca="1">INDIRECT(A2&amp;"!$B$6")</f>
        <v>#REF!</v>
      </c>
      <c r="P2" t="e" cm="1">
        <f t="array" aca="1" ref="P2" ca="1">INDIRECT(A2&amp;"!$A$19")</f>
        <v>#REF!</v>
      </c>
      <c r="Q2" s="53" t="e" cm="1">
        <f t="array" aca="1" ref="Q2" ca="1">INDIRECT(A2&amp;"!$B$19")</f>
        <v>#REF!</v>
      </c>
      <c r="R2" t="e" cm="1">
        <f t="array" aca="1" ref="R2" ca="1">INDIRECT(A2&amp;"!$K$8")</f>
        <v>#REF!</v>
      </c>
      <c r="S2" s="52" t="e" cm="1">
        <f t="array" aca="1" ref="S2" ca="1">INDIRECT(A2&amp;"!$C$19")</f>
        <v>#REF!</v>
      </c>
      <c r="T2" s="50" t="e" cm="1">
        <f t="array" aca="1" ref="T2" ca="1">INDIRECT(A2&amp;"!$D$19")</f>
        <v>#REF!</v>
      </c>
      <c r="U2" s="50" t="e" cm="1">
        <f t="array" aca="1" ref="U2" ca="1">INDIRECT(A2&amp;"!$H$19")</f>
        <v>#REF!</v>
      </c>
      <c r="V2"/>
      <c r="W2" s="49" t="e" cm="1">
        <f t="array" aca="1" ref="W2" ca="1">INDIRECT(A2&amp;"!$J$18")</f>
        <v>#REF!</v>
      </c>
      <c r="X2" s="47" t="e">
        <f t="shared" ref="X2" ca="1" si="3">(W2/Q2-1)</f>
        <v>#REF!</v>
      </c>
      <c r="Y2" s="48" t="e">
        <f t="shared" ref="Y2" ca="1" si="4">(T2*X2)</f>
        <v>#REF!</v>
      </c>
      <c r="Z2" s="173" t="e" cm="1">
        <f t="array" aca="1" ref="Z2" ca="1">INDIRECT(A2&amp;"!$E$41")</f>
        <v>#REF!</v>
      </c>
      <c r="AA2" s="48" t="e">
        <f t="shared" ref="AA2" ca="1" si="5">(Y2-Z2)</f>
        <v>#REF!</v>
      </c>
      <c r="AB2" s="49" t="e" cm="1">
        <f t="array" aca="1" ref="AB2" ca="1">INDIRECT(A2&amp;"!$J$20")</f>
        <v>#REF!</v>
      </c>
      <c r="AC2" s="162" t="e">
        <f t="shared" ref="AC2" ca="1" si="6">(AB2/Q2-1)</f>
        <v>#REF!</v>
      </c>
      <c r="AD2" s="48" t="e">
        <f t="shared" ref="AD2" ca="1" si="7">(T2*AC2)</f>
        <v>#REF!</v>
      </c>
    </row>
  </sheetData>
  <phoneticPr fontId="5" type="noConversion"/>
  <pageMargins left="0.70866141732283472" right="0.70866141732283472" top="0.74803149606299213" bottom="0.74803149606299213" header="0.31496062992125984" footer="0.31496062992125984"/>
  <pageSetup paperSize="9" scale="4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9ECFF-887C-4173-B28A-D7E80E7E11B9}">
  <sheetPr>
    <tabColor theme="4" tint="0.59999389629810485"/>
    <pageSetUpPr fitToPage="1"/>
  </sheetPr>
  <dimension ref="A1:AG2"/>
  <sheetViews>
    <sheetView workbookViewId="0">
      <pane xSplit="3" ySplit="1" topLeftCell="D2" activePane="bottomRight" state="frozen"/>
      <selection pane="topRight" activeCell="D1" sqref="D1"/>
      <selection pane="bottomLeft" activeCell="A2" sqref="A2"/>
      <selection pane="bottomRight" activeCell="A3" sqref="A3"/>
    </sheetView>
  </sheetViews>
  <sheetFormatPr baseColWidth="10" defaultColWidth="11.42578125" defaultRowHeight="15" x14ac:dyDescent="0.25"/>
  <cols>
    <col min="1" max="1" width="9.85546875" style="1" customWidth="1"/>
    <col min="2" max="2" width="6.7109375" style="1" customWidth="1"/>
    <col min="3" max="3" width="22.5703125" style="1" customWidth="1"/>
    <col min="4" max="4" width="15.140625" style="1" customWidth="1"/>
    <col min="5" max="5" width="22.140625" style="1" customWidth="1"/>
    <col min="6" max="6" width="14.7109375" style="1" customWidth="1"/>
    <col min="7" max="7" width="14.140625" style="1" customWidth="1"/>
    <col min="8" max="8" width="7.140625" style="1" customWidth="1"/>
    <col min="9" max="9" width="17.28515625" style="1" customWidth="1"/>
    <col min="10" max="10" width="16" style="1" customWidth="1"/>
    <col min="11" max="11" width="16.7109375" style="1" customWidth="1"/>
    <col min="12" max="13" width="12" style="1" customWidth="1"/>
    <col min="14" max="14" width="11.42578125" style="1" customWidth="1"/>
    <col min="15" max="15" width="12.5703125" style="1" customWidth="1"/>
    <col min="16" max="16" width="12.28515625" style="1" customWidth="1"/>
    <col min="17" max="17" width="16.140625" style="1" customWidth="1"/>
    <col min="18" max="18" width="5.7109375" style="1" customWidth="1"/>
    <col min="19" max="19" width="17" style="1" customWidth="1"/>
    <col min="20" max="22" width="15" style="1" customWidth="1"/>
    <col min="23" max="23" width="1" style="1" customWidth="1"/>
    <col min="24" max="25" width="11.42578125" style="1"/>
    <col min="26" max="26" width="13.5703125" style="1" customWidth="1"/>
    <col min="27" max="27" width="10.7109375" style="1" customWidth="1"/>
    <col min="28" max="28" width="12.7109375" style="1" customWidth="1"/>
    <col min="29" max="31" width="11.42578125" style="1"/>
    <col min="32" max="32" width="10.7109375" style="1" customWidth="1"/>
    <col min="33" max="33" width="12.7109375" style="1" customWidth="1"/>
    <col min="34" max="16384" width="11.42578125" style="1"/>
  </cols>
  <sheetData>
    <row r="1" spans="1:33" x14ac:dyDescent="0.25">
      <c r="A1" t="s">
        <v>23</v>
      </c>
      <c r="B1" s="178" t="s">
        <v>12</v>
      </c>
      <c r="C1" s="178" t="s">
        <v>2</v>
      </c>
      <c r="D1" s="178" t="s">
        <v>28</v>
      </c>
      <c r="E1" s="178" t="s">
        <v>26</v>
      </c>
      <c r="F1" s="179" t="s">
        <v>44</v>
      </c>
      <c r="G1" s="179" t="s">
        <v>45</v>
      </c>
      <c r="H1" s="179" t="s">
        <v>48</v>
      </c>
      <c r="I1" s="179" t="s">
        <v>50</v>
      </c>
      <c r="J1" s="179" t="s">
        <v>46</v>
      </c>
      <c r="K1" s="179" t="s">
        <v>47</v>
      </c>
      <c r="L1" s="179" t="s">
        <v>24</v>
      </c>
      <c r="M1" s="179" t="s">
        <v>201</v>
      </c>
      <c r="N1" s="180" t="s">
        <v>1</v>
      </c>
      <c r="O1" s="180" t="s">
        <v>7</v>
      </c>
      <c r="P1" s="180" t="s">
        <v>220</v>
      </c>
      <c r="Q1" s="180" t="s">
        <v>51</v>
      </c>
      <c r="R1" s="180" t="s">
        <v>48</v>
      </c>
      <c r="S1" s="180" t="s">
        <v>50</v>
      </c>
      <c r="T1" s="180" t="s">
        <v>186</v>
      </c>
      <c r="U1" s="180" t="s">
        <v>67</v>
      </c>
      <c r="V1" s="180" t="s">
        <v>237</v>
      </c>
      <c r="W1" s="37"/>
      <c r="X1" s="45" t="s">
        <v>42</v>
      </c>
      <c r="Y1" s="46" t="s">
        <v>49</v>
      </c>
      <c r="Z1" s="45" t="s">
        <v>4</v>
      </c>
      <c r="AA1" s="45" t="s">
        <v>24</v>
      </c>
      <c r="AB1" s="45" t="s">
        <v>202</v>
      </c>
      <c r="AC1" s="160" t="s">
        <v>188</v>
      </c>
      <c r="AD1" s="161" t="s">
        <v>49</v>
      </c>
      <c r="AE1" s="160" t="s">
        <v>4</v>
      </c>
      <c r="AF1" s="160" t="s">
        <v>24</v>
      </c>
      <c r="AG1" s="160" t="s">
        <v>202</v>
      </c>
    </row>
    <row r="2" spans="1:33" x14ac:dyDescent="0.25">
      <c r="A2" s="1" t="s">
        <v>92</v>
      </c>
      <c r="B2">
        <v>22003</v>
      </c>
      <c r="C2" t="e" cm="1">
        <f t="array" aca="1" ref="C2" ca="1">INDIRECT(A2&amp;"!$B$2")</f>
        <v>#REF!</v>
      </c>
      <c r="D2" t="e" cm="1">
        <f t="array" aca="1" ref="D2" ca="1">INDIRECT(A2&amp;"!$B$3")</f>
        <v>#REF!</v>
      </c>
      <c r="E2" t="e" cm="1">
        <f t="array" aca="1" ref="E2" ca="1">INDIRECT(A2&amp;"!$B$4")</f>
        <v>#REF!</v>
      </c>
      <c r="F2" s="190" t="e">
        <f ca="1">(U2/GENERAL!$G$6)</f>
        <v>#REF!</v>
      </c>
      <c r="G2" s="53" t="e" cm="1">
        <f t="array" aca="1" ref="G2" ca="1">INDIRECT(A2&amp;"!U$6")</f>
        <v>#REF!</v>
      </c>
      <c r="H2" t="e" cm="1">
        <f t="array" aca="1" ref="H2" ca="1">INDIRECT(A2&amp;"!$V$6")</f>
        <v>#REF!</v>
      </c>
      <c r="I2" s="52" t="e" cm="1">
        <f t="array" aca="1" ref="I2" ca="1">INDIRECT(A2&amp;"!$W$6")</f>
        <v>#REF!</v>
      </c>
      <c r="J2" s="157" t="e">
        <f ca="1">IF(V2="LARGO",G2/Q2-1,Q2/G2-1)</f>
        <v>#REF!</v>
      </c>
      <c r="K2" s="156" t="e" cm="1">
        <f t="array" aca="1" ref="K2" ca="1">INDIRECT(A2&amp;"!$W$8")</f>
        <v>#REF!</v>
      </c>
      <c r="L2" s="172" t="e" cm="1">
        <f t="array" aca="1" ref="L2" ca="1">INDIRECT(A2&amp;"!$E$41")</f>
        <v>#REF!</v>
      </c>
      <c r="M2" s="156" t="e">
        <f ca="1">(K2-L2)</f>
        <v>#REF!</v>
      </c>
      <c r="N2" t="e" cm="1">
        <f t="array" aca="1" ref="N2" ca="1">INDIRECT(A2&amp;"!$B$5")</f>
        <v>#REF!</v>
      </c>
      <c r="O2" s="51" t="e" cm="1">
        <f t="array" aca="1" ref="O2" ca="1">INDIRECT(A2&amp;"!$B$6")</f>
        <v>#REF!</v>
      </c>
      <c r="P2" t="e" cm="1">
        <f t="array" aca="1" ref="P2" ca="1">INDIRECT(A2&amp;"!$A$19")</f>
        <v>#REF!</v>
      </c>
      <c r="Q2" s="53" t="e" cm="1">
        <f t="array" aca="1" ref="Q2" ca="1">INDIRECT(A2&amp;"!$B$19")</f>
        <v>#REF!</v>
      </c>
      <c r="R2" t="e" cm="1">
        <f t="array" aca="1" ref="R2" ca="1">INDIRECT(A2&amp;"!$V$6")</f>
        <v>#REF!</v>
      </c>
      <c r="S2" s="52" t="e" cm="1">
        <f t="array" aca="1" ref="S2" ca="1">INDIRECT(A2&amp;"!$C$19")</f>
        <v>#REF!</v>
      </c>
      <c r="T2" s="50" t="e" cm="1">
        <f t="array" aca="1" ref="T2" ca="1">INDIRECT(A2&amp;"!$U$3")</f>
        <v>#REF!</v>
      </c>
      <c r="U2" s="189" t="e" cm="1">
        <f t="array" aca="1" ref="U2" ca="1">(T2-INDIRECT(A2&amp;"!$E$19"))</f>
        <v>#REF!</v>
      </c>
      <c r="V2" s="189" t="e" cm="1">
        <f t="array" aca="1" ref="V2" ca="1">INDIRECT(A2&amp;"!$H$1")</f>
        <v>#REF!</v>
      </c>
      <c r="W2"/>
      <c r="X2" s="185" t="e" cm="1">
        <f t="array" aca="1" ref="X2" ca="1">INDIRECT(A2&amp;"!$U$11")</f>
        <v>#REF!</v>
      </c>
      <c r="Y2" s="194" t="e">
        <f ca="1">IF(V2="LARGO",X2/Q2-1,Q2/X2-1)</f>
        <v>#REF!</v>
      </c>
      <c r="Z2" s="195" t="e" cm="1">
        <f t="array" aca="1" ref="Z2" ca="1">INDIRECT(A2&amp;"!$W$13")</f>
        <v>#REF!</v>
      </c>
      <c r="AA2" s="172" t="e" cm="1">
        <f t="array" aca="1" ref="AA2" ca="1">INDIRECT(A2&amp;"!$E$41")</f>
        <v>#REF!</v>
      </c>
      <c r="AB2" s="195" t="e">
        <f ca="1">(Z2-AA2)</f>
        <v>#REF!</v>
      </c>
      <c r="AC2" s="185" t="e" cm="1">
        <f t="array" aca="1" ref="AC2" ca="1">INDIRECT(A2&amp;"!$U$16")</f>
        <v>#REF!</v>
      </c>
      <c r="AD2" s="194" t="e">
        <f ca="1">IF(V2="LARGO",AC2/Q2-1,Q2/AC2-1)</f>
        <v>#REF!</v>
      </c>
      <c r="AE2" s="195" t="e" cm="1">
        <f t="array" aca="1" ref="AE2" ca="1">INDIRECT(A2&amp;"!$W$18")</f>
        <v>#REF!</v>
      </c>
      <c r="AF2" s="172" t="e" cm="1">
        <f t="array" aca="1" ref="AF2" ca="1">INDIRECT(A2&amp;"!$E$41")</f>
        <v>#REF!</v>
      </c>
      <c r="AG2" s="195" t="e">
        <f ca="1">(AE2-AF2)</f>
        <v>#REF!</v>
      </c>
    </row>
  </sheetData>
  <pageMargins left="0.70866141732283472" right="0.70866141732283472" top="0.74803149606299213" bottom="0.74803149606299213" header="0.31496062992125984" footer="0.31496062992125984"/>
  <pageSetup paperSize="9" scale="4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0E421-6C7B-48D9-BA74-8DBDFD9A59D5}">
  <dimension ref="A1:X42"/>
  <sheetViews>
    <sheetView zoomScale="85" zoomScaleNormal="85" zoomScalePageLayoutView="85" workbookViewId="0">
      <selection activeCell="L34" sqref="L34"/>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63" t="s">
        <v>238</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v>0</v>
      </c>
      <c r="C2" s="164"/>
      <c r="D2" s="63"/>
      <c r="E2" s="166" t="s">
        <v>106</v>
      </c>
      <c r="F2" s="165"/>
    </row>
    <row r="3" spans="1:24" x14ac:dyDescent="0.25">
      <c r="A3" s="62" t="s">
        <v>94</v>
      </c>
      <c r="B3" s="222" t="s">
        <v>227</v>
      </c>
      <c r="C3" s="221"/>
      <c r="I3" s="1" t="s">
        <v>2</v>
      </c>
      <c r="J3" s="1" t="e" vm="1">
        <v>#VALUE!</v>
      </c>
      <c r="P3" s="223" t="s">
        <v>36</v>
      </c>
      <c r="Q3" s="223"/>
      <c r="R3" s="223"/>
      <c r="T3" s="1" t="s">
        <v>225</v>
      </c>
      <c r="U3" s="181">
        <v>0</v>
      </c>
    </row>
    <row r="4" spans="1:24" x14ac:dyDescent="0.25">
      <c r="A4" s="62" t="s">
        <v>25</v>
      </c>
      <c r="B4" s="222" t="s">
        <v>79</v>
      </c>
      <c r="C4" s="221"/>
      <c r="D4" s="2"/>
      <c r="E4" s="166" t="s">
        <v>195</v>
      </c>
      <c r="F4" s="196" t="s">
        <v>218</v>
      </c>
      <c r="I4" s="1" t="s">
        <v>29</v>
      </c>
      <c r="J4" t="str" cm="1">
        <f t="array" ref="J4">_FV(J3,"Símbolo bursátil",TRUE)</f>
        <v>BBVA</v>
      </c>
      <c r="P4" s="168" t="s">
        <v>37</v>
      </c>
      <c r="Q4" s="168" t="s">
        <v>37</v>
      </c>
      <c r="R4" s="30">
        <v>1</v>
      </c>
      <c r="T4" s="1" t="s">
        <v>219</v>
      </c>
      <c r="U4" s="192">
        <f>A8</f>
        <v>0</v>
      </c>
    </row>
    <row r="5" spans="1:24" x14ac:dyDescent="0.25">
      <c r="A5" s="3" t="s">
        <v>1</v>
      </c>
      <c r="B5" s="199" t="str">
        <f>IF(H1="CORTO", "Venta", "Compra")</f>
        <v>Venta</v>
      </c>
      <c r="D5" s="166" t="s">
        <v>239</v>
      </c>
      <c r="E5" s="220"/>
      <c r="F5" s="221"/>
      <c r="I5" s="1" t="s">
        <v>28</v>
      </c>
      <c r="J5" t="str" cm="1">
        <f t="array" ref="J5">_FV(J3,"Abreviatura de intercambio",TRUE)</f>
        <v>BMEX</v>
      </c>
      <c r="P5" t="e" vm="2">
        <v>#VALUE!</v>
      </c>
      <c r="Q5" s="31" t="s">
        <v>38</v>
      </c>
      <c r="R5" s="32" cm="1">
        <f t="array" ref="R5">_FV(P5,"Precio")</f>
        <v>1.073</v>
      </c>
    </row>
    <row r="6" spans="1:24" x14ac:dyDescent="0.25">
      <c r="A6" s="21" t="s">
        <v>0</v>
      </c>
      <c r="B6" s="4">
        <v>44676</v>
      </c>
      <c r="I6" s="1" t="s">
        <v>30</v>
      </c>
      <c r="J6" t="str" cm="1">
        <f t="array" ref="J6">_FV(J3,"Moneda")</f>
        <v>EUR</v>
      </c>
      <c r="P6" t="e" vm="3">
        <v>#VALUE!</v>
      </c>
      <c r="Q6" s="31" t="s">
        <v>39</v>
      </c>
      <c r="R6" s="33" cm="1">
        <f t="array" ref="R6">_FV(P6,"Precio")</f>
        <v>0.88790000000000002</v>
      </c>
      <c r="T6" s="1" t="s">
        <v>14</v>
      </c>
      <c r="U6" s="26">
        <v>110.3</v>
      </c>
      <c r="V6" s="183" t="s">
        <v>37</v>
      </c>
      <c r="W6" s="185">
        <f>IF($X$6="","",$U$6/VLOOKUP($V$6,$Q$4:$R$30,2,0))</f>
        <v>110.3</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0</v>
      </c>
      <c r="V7" t="str">
        <f>V6</f>
        <v>EUR</v>
      </c>
      <c r="W7" s="185">
        <f>IF($X$7="","",$U$7/VLOOKUP($V$7,$Q$4:$R$30,2,0))</f>
        <v>0</v>
      </c>
      <c r="X7" s="1" t="s">
        <v>37</v>
      </c>
    </row>
    <row r="8" spans="1:24" x14ac:dyDescent="0.25">
      <c r="A8" s="7">
        <v>0</v>
      </c>
      <c r="B8" s="202">
        <v>0</v>
      </c>
      <c r="C8" s="203">
        <v>0</v>
      </c>
      <c r="D8" s="11">
        <f t="shared" ref="D8:D18" si="0">(A8*C8)</f>
        <v>0</v>
      </c>
      <c r="E8" s="9">
        <v>0</v>
      </c>
      <c r="F8" s="9">
        <v>0</v>
      </c>
      <c r="H8" s="12">
        <f t="shared" ref="H8:H18" si="1">(A8*C8+E8+F8)</f>
        <v>0</v>
      </c>
      <c r="I8" s="1" t="s">
        <v>14</v>
      </c>
      <c r="J8" s="186" cm="1">
        <f t="array" ref="J8">_FV(J3,"Precio")</f>
        <v>6.7530000000000001</v>
      </c>
      <c r="K8" s="27" t="str">
        <f>J6</f>
        <v>EUR</v>
      </c>
      <c r="L8" s="28">
        <f>IF($M$8="","",$J$8/VLOOKUP($J$6,$Q$4:$R$30,2,0))</f>
        <v>6.7530000000000001</v>
      </c>
      <c r="M8" s="1" t="s">
        <v>37</v>
      </c>
      <c r="P8"/>
      <c r="Q8"/>
      <c r="R8"/>
      <c r="T8" s="1" t="s">
        <v>11</v>
      </c>
      <c r="U8" s="172">
        <f>IF($H$1="LARGO",$U$7-$D$19,$D$19-$U$7)</f>
        <v>0</v>
      </c>
      <c r="V8" t="str">
        <f>V6</f>
        <v>EUR</v>
      </c>
      <c r="W8" s="185">
        <f>IF($X$8="","",$U$8/VLOOKUP($V$8,$Q$4:$R$30,2,0))</f>
        <v>0</v>
      </c>
      <c r="X8" s="1" t="s">
        <v>37</v>
      </c>
    </row>
    <row r="9" spans="1:24" x14ac:dyDescent="0.25">
      <c r="A9" s="7">
        <v>0</v>
      </c>
      <c r="B9" s="202">
        <v>0</v>
      </c>
      <c r="C9" s="203">
        <v>0</v>
      </c>
      <c r="D9" s="11">
        <f t="shared" si="0"/>
        <v>0</v>
      </c>
      <c r="E9" s="9">
        <v>0</v>
      </c>
      <c r="F9" s="9">
        <v>0</v>
      </c>
      <c r="H9" s="12">
        <f t="shared" si="1"/>
        <v>0</v>
      </c>
      <c r="I9" s="1" t="s">
        <v>31</v>
      </c>
      <c r="J9" s="187" cm="1">
        <f t="array" ref="J9">_FV(J3,"Cambio (%)",TRUE)</f>
        <v>-3.5410000000000003E-3</v>
      </c>
      <c r="P9"/>
      <c r="Q9"/>
      <c r="R9"/>
      <c r="U9" s="172"/>
      <c r="V9"/>
      <c r="W9" s="185"/>
    </row>
    <row r="10" spans="1:24" x14ac:dyDescent="0.25">
      <c r="A10" s="7">
        <v>0</v>
      </c>
      <c r="B10" s="202">
        <v>0</v>
      </c>
      <c r="C10" s="203">
        <v>0</v>
      </c>
      <c r="D10" s="11">
        <f t="shared" si="0"/>
        <v>0</v>
      </c>
      <c r="E10" s="9">
        <v>0</v>
      </c>
      <c r="F10" s="9">
        <v>0</v>
      </c>
      <c r="H10" s="12">
        <f t="shared" si="1"/>
        <v>0</v>
      </c>
      <c r="P10"/>
      <c r="Q10"/>
      <c r="R10"/>
    </row>
    <row r="11" spans="1:24" x14ac:dyDescent="0.25">
      <c r="A11" s="7">
        <v>0</v>
      </c>
      <c r="B11" s="202">
        <v>0</v>
      </c>
      <c r="C11" s="203">
        <v>0</v>
      </c>
      <c r="D11" s="11">
        <f t="shared" si="0"/>
        <v>0</v>
      </c>
      <c r="E11" s="9">
        <v>0</v>
      </c>
      <c r="F11" s="9">
        <v>0</v>
      </c>
      <c r="H11" s="12">
        <f t="shared" si="1"/>
        <v>0</v>
      </c>
      <c r="I11" s="1" t="s">
        <v>32</v>
      </c>
      <c r="J11" s="53" cm="1">
        <f t="array" ref="J11">_FV(J3,"Apertura")</f>
        <v>6.82</v>
      </c>
      <c r="P11"/>
      <c r="Q11"/>
      <c r="R11"/>
      <c r="T11" s="1" t="s">
        <v>42</v>
      </c>
      <c r="U11" s="201">
        <v>117.3</v>
      </c>
      <c r="V11" t="str">
        <f>V6</f>
        <v>EUR</v>
      </c>
      <c r="W11" s="185">
        <f>IF($X$11="","",$U$11/VLOOKUP($V$11,$Q$4:$R$30,2,0))</f>
        <v>117.3</v>
      </c>
      <c r="X11" s="1" t="s">
        <v>37</v>
      </c>
    </row>
    <row r="12" spans="1:24" x14ac:dyDescent="0.25">
      <c r="A12" s="7">
        <v>0</v>
      </c>
      <c r="B12" s="202">
        <v>0</v>
      </c>
      <c r="C12" s="203">
        <v>0</v>
      </c>
      <c r="D12" s="11">
        <f t="shared" si="0"/>
        <v>0</v>
      </c>
      <c r="E12" s="9">
        <v>0</v>
      </c>
      <c r="F12" s="9">
        <v>0</v>
      </c>
      <c r="H12" s="12">
        <f t="shared" si="1"/>
        <v>0</v>
      </c>
      <c r="I12" s="1" t="s">
        <v>33</v>
      </c>
      <c r="J12" s="53" cm="1">
        <f t="array" ref="J12">_FV(J3,"Máximo")</f>
        <v>6.82</v>
      </c>
      <c r="P12"/>
      <c r="Q12"/>
      <c r="R12"/>
      <c r="U12" s="193">
        <f>(U11*$U$4)</f>
        <v>0</v>
      </c>
      <c r="V12" t="str">
        <f>V11</f>
        <v>EUR</v>
      </c>
      <c r="W12" s="185">
        <f>IF($X$12="","",$U$12/VLOOKUP($V$12,$Q$4:$R$30,2,0))</f>
        <v>0</v>
      </c>
      <c r="X12" s="1" t="s">
        <v>37</v>
      </c>
    </row>
    <row r="13" spans="1:24" x14ac:dyDescent="0.25">
      <c r="A13" s="7">
        <v>0</v>
      </c>
      <c r="B13" s="202">
        <v>0</v>
      </c>
      <c r="C13" s="203">
        <v>0</v>
      </c>
      <c r="D13" s="11">
        <f t="shared" si="0"/>
        <v>0</v>
      </c>
      <c r="E13" s="9">
        <v>0</v>
      </c>
      <c r="F13" s="9">
        <v>0</v>
      </c>
      <c r="H13" s="12">
        <f t="shared" si="1"/>
        <v>0</v>
      </c>
      <c r="I13" s="1" t="s">
        <v>34</v>
      </c>
      <c r="J13" s="53" cm="1">
        <f t="array" ref="J13">_FV(J3,"Mínimo")</f>
        <v>6.7210000000000001</v>
      </c>
      <c r="P13"/>
      <c r="Q13"/>
      <c r="R13"/>
      <c r="T13" s="1" t="s">
        <v>11</v>
      </c>
      <c r="U13" s="172">
        <f>IF($H$1="LARGO",$U$12-$D$19,$D$19-$U$12)</f>
        <v>0</v>
      </c>
      <c r="V13" t="str">
        <f>V11</f>
        <v>EUR</v>
      </c>
      <c r="W13" s="185">
        <f>IF($X$13="","",$U$13/VLOOKUP($V$13,$Q$4:$R$30,2,0))</f>
        <v>0</v>
      </c>
      <c r="X13" s="1" t="s">
        <v>37</v>
      </c>
    </row>
    <row r="14" spans="1:24" x14ac:dyDescent="0.25">
      <c r="A14" s="7">
        <v>0</v>
      </c>
      <c r="B14" s="202">
        <v>0</v>
      </c>
      <c r="C14" s="203">
        <v>0</v>
      </c>
      <c r="D14" s="11">
        <f t="shared" si="0"/>
        <v>0</v>
      </c>
      <c r="E14" s="9">
        <v>0</v>
      </c>
      <c r="F14" s="9">
        <v>0</v>
      </c>
      <c r="H14" s="12">
        <f t="shared" si="1"/>
        <v>0</v>
      </c>
      <c r="I14" s="1" t="s">
        <v>35</v>
      </c>
      <c r="J14" s="53" cm="1">
        <f t="array" ref="J14">_FV(J3,"Cierre anterior",TRUE)</f>
        <v>6.7770000000000001</v>
      </c>
      <c r="P14"/>
      <c r="Q14"/>
      <c r="R14"/>
      <c r="U14" s="184"/>
      <c r="V14"/>
      <c r="W14" s="185"/>
    </row>
    <row r="15" spans="1:24" x14ac:dyDescent="0.25">
      <c r="A15" s="7">
        <v>0</v>
      </c>
      <c r="B15" s="202">
        <v>0</v>
      </c>
      <c r="C15" s="203">
        <v>0</v>
      </c>
      <c r="D15" s="11">
        <f t="shared" si="0"/>
        <v>0</v>
      </c>
      <c r="E15" s="9">
        <v>0</v>
      </c>
      <c r="F15" s="9">
        <v>0</v>
      </c>
      <c r="H15" s="12">
        <f t="shared" si="1"/>
        <v>0</v>
      </c>
      <c r="P15"/>
      <c r="Q15"/>
      <c r="R15"/>
      <c r="U15" s="184"/>
      <c r="V15"/>
      <c r="W15" s="185"/>
    </row>
    <row r="16" spans="1:24" x14ac:dyDescent="0.25">
      <c r="A16" s="7">
        <v>0</v>
      </c>
      <c r="B16" s="202">
        <v>0</v>
      </c>
      <c r="C16" s="203">
        <v>0</v>
      </c>
      <c r="D16" s="11">
        <f t="shared" si="0"/>
        <v>0</v>
      </c>
      <c r="E16" s="9">
        <v>0</v>
      </c>
      <c r="F16" s="9">
        <v>0</v>
      </c>
      <c r="H16" s="12">
        <f t="shared" si="1"/>
        <v>0</v>
      </c>
      <c r="P16"/>
      <c r="Q16"/>
      <c r="R16"/>
      <c r="T16" s="1" t="s">
        <v>43</v>
      </c>
      <c r="U16" s="201">
        <v>105.8</v>
      </c>
      <c r="V16" t="str">
        <f>V11</f>
        <v>EUR</v>
      </c>
      <c r="W16" s="185">
        <f>IF($X$16="","",$U$16/VLOOKUP($V$16,$Q$4:$R$30,2,0))</f>
        <v>105.8</v>
      </c>
      <c r="X16" s="1" t="s">
        <v>37</v>
      </c>
    </row>
    <row r="17" spans="1:24" x14ac:dyDescent="0.25">
      <c r="A17" s="7">
        <v>0</v>
      </c>
      <c r="B17" s="202">
        <v>0</v>
      </c>
      <c r="C17" s="203">
        <v>0</v>
      </c>
      <c r="D17" s="11">
        <f t="shared" si="0"/>
        <v>0</v>
      </c>
      <c r="E17" s="9">
        <v>0</v>
      </c>
      <c r="F17" s="9">
        <v>0</v>
      </c>
      <c r="H17" s="12">
        <f t="shared" si="1"/>
        <v>0</v>
      </c>
      <c r="P17"/>
      <c r="Q17"/>
      <c r="R17"/>
      <c r="U17" s="193">
        <f>(U16*$U$4)</f>
        <v>0</v>
      </c>
      <c r="V17" t="str">
        <f>V16</f>
        <v>EUR</v>
      </c>
      <c r="W17" s="185">
        <f>IF($X$17="","",$U$17/VLOOKUP($V$17,$Q$4:$R$30,2,0))</f>
        <v>0</v>
      </c>
      <c r="X17" s="1" t="s">
        <v>37</v>
      </c>
    </row>
    <row r="18" spans="1:24" x14ac:dyDescent="0.25">
      <c r="A18" s="7">
        <v>0</v>
      </c>
      <c r="B18" s="202">
        <v>0</v>
      </c>
      <c r="C18" s="203">
        <v>0</v>
      </c>
      <c r="D18" s="11">
        <f t="shared" si="0"/>
        <v>0</v>
      </c>
      <c r="E18" s="9">
        <v>0</v>
      </c>
      <c r="F18" s="9">
        <v>0</v>
      </c>
      <c r="H18" s="12">
        <f t="shared" si="1"/>
        <v>0</v>
      </c>
      <c r="I18" s="1" t="s">
        <v>42</v>
      </c>
      <c r="J18" s="167">
        <v>6</v>
      </c>
      <c r="P18"/>
      <c r="Q18"/>
      <c r="R18"/>
      <c r="T18" s="1" t="s">
        <v>11</v>
      </c>
      <c r="U18" s="172">
        <f>IF($H$1="LARGO",$U$17-$D$19,$D$19-$U$17)</f>
        <v>0</v>
      </c>
      <c r="V18" t="str">
        <f>V16</f>
        <v>EUR</v>
      </c>
      <c r="W18" s="185">
        <f>IF($X$18="","",$U$18/VLOOKUP($V$18,$Q$4:$R$30,2,0))</f>
        <v>0</v>
      </c>
      <c r="X18" s="1" t="s">
        <v>37</v>
      </c>
    </row>
    <row r="19" spans="1:24" x14ac:dyDescent="0.25">
      <c r="A19" s="14">
        <f>SUM(A8:A18)</f>
        <v>0</v>
      </c>
      <c r="B19" s="16" t="e" cm="1">
        <f t="array" ref="B19">SUM(B8:B18/A20)</f>
        <v>#DIV/0!</v>
      </c>
      <c r="C19" s="16" t="e" cm="1">
        <f t="array" ref="C19">SUM(C8:C18/A20)</f>
        <v>#DIV/0!</v>
      </c>
      <c r="D19" s="16">
        <f>SUM(D8:D18)</f>
        <v>0</v>
      </c>
      <c r="E19" s="16">
        <f>SUM(E8:E18)</f>
        <v>0</v>
      </c>
      <c r="F19" s="17">
        <f>SUM(F8:F18)</f>
        <v>0</v>
      </c>
      <c r="H19" s="13">
        <f>SUM(H8:H18)</f>
        <v>0</v>
      </c>
      <c r="P19"/>
      <c r="Q19"/>
      <c r="R19"/>
      <c r="U19" s="172"/>
      <c r="V19"/>
      <c r="W19" s="185"/>
    </row>
    <row r="20" spans="1:24" x14ac:dyDescent="0.25">
      <c r="A20">
        <f>COUNTIF(A8:A18, "&gt;0")</f>
        <v>0</v>
      </c>
      <c r="B20"/>
      <c r="I20" s="1" t="s">
        <v>43</v>
      </c>
      <c r="J20" s="29" t="s">
        <v>189</v>
      </c>
      <c r="P20"/>
      <c r="Q20"/>
      <c r="R20"/>
    </row>
    <row r="21" spans="1:24" x14ac:dyDescent="0.25">
      <c r="P21"/>
      <c r="Q21"/>
      <c r="R21"/>
    </row>
    <row r="22" spans="1:24" x14ac:dyDescent="0.25">
      <c r="A22" s="3" t="s">
        <v>1</v>
      </c>
      <c r="B22" s="200" t="str">
        <f>IF(B5="Venta", "Compra", "Venta")</f>
        <v>Compra</v>
      </c>
      <c r="P22"/>
      <c r="Q22"/>
      <c r="R22"/>
    </row>
    <row r="23" spans="1:24" x14ac:dyDescent="0.25">
      <c r="A23" s="21" t="s">
        <v>0</v>
      </c>
      <c r="B23" s="4">
        <v>44484</v>
      </c>
      <c r="P23"/>
      <c r="Q23"/>
      <c r="R23"/>
    </row>
    <row r="24" spans="1:24" x14ac:dyDescent="0.25">
      <c r="A24" s="5" t="s">
        <v>219</v>
      </c>
      <c r="B24" s="5" t="s">
        <v>8</v>
      </c>
      <c r="C24" s="5" t="s">
        <v>52</v>
      </c>
      <c r="D24" s="6" t="s">
        <v>9</v>
      </c>
      <c r="E24" s="6" t="s">
        <v>10</v>
      </c>
      <c r="F24" s="6" t="s">
        <v>5</v>
      </c>
      <c r="P24"/>
      <c r="Q24"/>
      <c r="R24"/>
    </row>
    <row r="25" spans="1:24" x14ac:dyDescent="0.25">
      <c r="A25" s="7">
        <v>0</v>
      </c>
      <c r="B25" s="204">
        <v>0</v>
      </c>
      <c r="C25" s="205">
        <v>0</v>
      </c>
      <c r="D25" s="11">
        <f t="shared" ref="D25:D35" si="2">(A25*C25)</f>
        <v>0</v>
      </c>
      <c r="E25" s="9">
        <v>0</v>
      </c>
      <c r="F25" s="9">
        <v>0</v>
      </c>
      <c r="H25" s="12">
        <f t="shared" ref="H25:H35" si="3">(A25*C25-E25-F25)</f>
        <v>0</v>
      </c>
      <c r="P25"/>
      <c r="Q25"/>
      <c r="R25"/>
    </row>
    <row r="26" spans="1:24" x14ac:dyDescent="0.25">
      <c r="A26" s="7">
        <v>0</v>
      </c>
      <c r="B26" s="204">
        <v>0</v>
      </c>
      <c r="C26" s="205">
        <v>0</v>
      </c>
      <c r="D26" s="11">
        <f t="shared" si="2"/>
        <v>0</v>
      </c>
      <c r="E26" s="9">
        <v>0</v>
      </c>
      <c r="F26" s="9">
        <v>0</v>
      </c>
      <c r="H26" s="12">
        <f t="shared" si="3"/>
        <v>0</v>
      </c>
      <c r="P26"/>
      <c r="Q26"/>
      <c r="R26"/>
    </row>
    <row r="27" spans="1:24" x14ac:dyDescent="0.25">
      <c r="A27" s="7">
        <v>0</v>
      </c>
      <c r="B27" s="204">
        <v>0</v>
      </c>
      <c r="C27" s="205">
        <v>0</v>
      </c>
      <c r="D27" s="11">
        <f t="shared" si="2"/>
        <v>0</v>
      </c>
      <c r="E27" s="9">
        <v>0</v>
      </c>
      <c r="F27" s="9">
        <v>0</v>
      </c>
      <c r="H27" s="12">
        <f t="shared" si="3"/>
        <v>0</v>
      </c>
      <c r="P27"/>
      <c r="Q27"/>
      <c r="R27"/>
    </row>
    <row r="28" spans="1:24" x14ac:dyDescent="0.25">
      <c r="A28" s="7">
        <v>0</v>
      </c>
      <c r="B28" s="204">
        <v>0</v>
      </c>
      <c r="C28" s="205">
        <v>0</v>
      </c>
      <c r="D28" s="11">
        <f t="shared" si="2"/>
        <v>0</v>
      </c>
      <c r="E28" s="9">
        <v>0</v>
      </c>
      <c r="F28" s="9">
        <v>0</v>
      </c>
      <c r="H28" s="12">
        <f t="shared" si="3"/>
        <v>0</v>
      </c>
      <c r="P28"/>
      <c r="Q28"/>
      <c r="R28"/>
    </row>
    <row r="29" spans="1:24" x14ac:dyDescent="0.25">
      <c r="A29" s="7">
        <v>0</v>
      </c>
      <c r="B29" s="204">
        <v>0</v>
      </c>
      <c r="C29" s="205">
        <v>0</v>
      </c>
      <c r="D29" s="11">
        <f t="shared" si="2"/>
        <v>0</v>
      </c>
      <c r="E29" s="9">
        <v>0</v>
      </c>
      <c r="F29" s="9">
        <v>0</v>
      </c>
      <c r="H29" s="12">
        <f t="shared" si="3"/>
        <v>0</v>
      </c>
      <c r="P29"/>
      <c r="Q29"/>
      <c r="R29"/>
    </row>
    <row r="30" spans="1:24" x14ac:dyDescent="0.25">
      <c r="A30" s="7">
        <v>0</v>
      </c>
      <c r="B30" s="204">
        <v>0</v>
      </c>
      <c r="C30" s="205">
        <v>0</v>
      </c>
      <c r="D30" s="11">
        <f t="shared" si="2"/>
        <v>0</v>
      </c>
      <c r="E30" s="9">
        <v>0</v>
      </c>
      <c r="F30" s="9">
        <v>0</v>
      </c>
      <c r="H30" s="12">
        <f t="shared" si="3"/>
        <v>0</v>
      </c>
      <c r="P30"/>
      <c r="Q30"/>
      <c r="R30"/>
    </row>
    <row r="31" spans="1:24" x14ac:dyDescent="0.25">
      <c r="A31" s="7">
        <v>0</v>
      </c>
      <c r="B31" s="204">
        <v>0</v>
      </c>
      <c r="C31" s="205">
        <v>0</v>
      </c>
      <c r="D31" s="11">
        <f t="shared" si="2"/>
        <v>0</v>
      </c>
      <c r="E31" s="9">
        <v>0</v>
      </c>
      <c r="F31" s="9">
        <v>0</v>
      </c>
      <c r="H31" s="12">
        <f t="shared" si="3"/>
        <v>0</v>
      </c>
      <c r="P31"/>
      <c r="Q31"/>
      <c r="R31"/>
    </row>
    <row r="32" spans="1:24" x14ac:dyDescent="0.25">
      <c r="A32" s="7">
        <v>0</v>
      </c>
      <c r="B32" s="204">
        <v>0</v>
      </c>
      <c r="C32" s="205">
        <v>0</v>
      </c>
      <c r="D32" s="11">
        <f t="shared" si="2"/>
        <v>0</v>
      </c>
      <c r="E32" s="9">
        <v>0</v>
      </c>
      <c r="F32" s="9">
        <v>0</v>
      </c>
      <c r="H32" s="12">
        <f t="shared" si="3"/>
        <v>0</v>
      </c>
      <c r="P32"/>
      <c r="Q32"/>
      <c r="R32"/>
    </row>
    <row r="33" spans="1:8" x14ac:dyDescent="0.25">
      <c r="A33" s="7">
        <v>0</v>
      </c>
      <c r="B33" s="204">
        <v>0</v>
      </c>
      <c r="C33" s="205">
        <v>0</v>
      </c>
      <c r="D33" s="11">
        <f t="shared" si="2"/>
        <v>0</v>
      </c>
      <c r="E33" s="9">
        <v>0</v>
      </c>
      <c r="F33" s="9">
        <v>0</v>
      </c>
      <c r="H33" s="12">
        <f t="shared" si="3"/>
        <v>0</v>
      </c>
    </row>
    <row r="34" spans="1:8" x14ac:dyDescent="0.25">
      <c r="A34" s="7">
        <v>0</v>
      </c>
      <c r="B34" s="204">
        <v>0</v>
      </c>
      <c r="C34" s="205">
        <v>0</v>
      </c>
      <c r="D34" s="11">
        <f t="shared" si="2"/>
        <v>0</v>
      </c>
      <c r="E34" s="9">
        <v>0</v>
      </c>
      <c r="F34" s="9">
        <v>0</v>
      </c>
      <c r="H34" s="12">
        <f t="shared" si="3"/>
        <v>0</v>
      </c>
    </row>
    <row r="35" spans="1:8" x14ac:dyDescent="0.25">
      <c r="A35" s="7">
        <v>0</v>
      </c>
      <c r="B35" s="204">
        <v>0</v>
      </c>
      <c r="C35" s="205">
        <v>0</v>
      </c>
      <c r="D35" s="11">
        <f t="shared" si="2"/>
        <v>0</v>
      </c>
      <c r="E35" s="9">
        <v>0</v>
      </c>
      <c r="F35" s="9">
        <v>0</v>
      </c>
      <c r="H35" s="12">
        <f t="shared" si="3"/>
        <v>0</v>
      </c>
    </row>
    <row r="36" spans="1:8" x14ac:dyDescent="0.25">
      <c r="A36" s="14">
        <f>SUM(A25:A35)</f>
        <v>0</v>
      </c>
      <c r="B36" s="58" t="e" cm="1">
        <f t="array" ref="B36">SUM(B25:B35/A37)</f>
        <v>#DIV/0!</v>
      </c>
      <c r="C36" s="15" t="e" cm="1">
        <f t="array" ref="C36">SUM(C25:C35/A37)</f>
        <v>#DIV/0!</v>
      </c>
      <c r="D36" s="16">
        <f>SUM(D25:D35)</f>
        <v>0</v>
      </c>
      <c r="E36" s="16">
        <f>SUM(E25:E35)</f>
        <v>0</v>
      </c>
      <c r="F36" s="17">
        <f>SUM(F25:F35)</f>
        <v>0</v>
      </c>
      <c r="H36" s="13">
        <f>SUM(H25:H35)</f>
        <v>0</v>
      </c>
    </row>
    <row r="37" spans="1:8" x14ac:dyDescent="0.25">
      <c r="A37">
        <f>COUNTIF(A25:A35, "&gt;0")</f>
        <v>0</v>
      </c>
      <c r="B37"/>
    </row>
    <row r="38" spans="1:8" x14ac:dyDescent="0.25">
      <c r="H38" s="19">
        <f>(H36-H19)</f>
        <v>0</v>
      </c>
    </row>
    <row r="39" spans="1:8" x14ac:dyDescent="0.25">
      <c r="D39" s="1" t="s">
        <v>20</v>
      </c>
    </row>
    <row r="40" spans="1:8" x14ac:dyDescent="0.25">
      <c r="A40" s="10" t="s">
        <v>11</v>
      </c>
      <c r="B40" s="10"/>
      <c r="D40" s="18">
        <f>IF(H1="LARGO",D36-D19,D19-D36)</f>
        <v>0</v>
      </c>
      <c r="E40" s="19">
        <f>(E19+E36)</f>
        <v>0</v>
      </c>
      <c r="F40" s="19">
        <f>(F19+F36)</f>
        <v>0</v>
      </c>
      <c r="H40" s="20">
        <f>(H38-F42)</f>
        <v>0</v>
      </c>
    </row>
    <row r="41" spans="1:8" x14ac:dyDescent="0.25">
      <c r="A41" s="10"/>
      <c r="B41" s="10"/>
      <c r="D41" s="19"/>
      <c r="E41" s="19">
        <f>(E40+F40)</f>
        <v>0</v>
      </c>
      <c r="F41" s="19"/>
      <c r="G41" s="19"/>
      <c r="H41" s="20"/>
    </row>
    <row r="42" spans="1:8" x14ac:dyDescent="0.25">
      <c r="A42" s="10"/>
      <c r="B42" s="10"/>
      <c r="D42" s="19"/>
      <c r="E42" s="56" t="s">
        <v>55</v>
      </c>
      <c r="F42" s="18">
        <f>(D40-E40-F40)</f>
        <v>0</v>
      </c>
      <c r="G42" s="19"/>
      <c r="H42" s="20"/>
    </row>
  </sheetData>
  <mergeCells count="7">
    <mergeCell ref="T1:X1"/>
    <mergeCell ref="E5:F5"/>
    <mergeCell ref="I1:N1"/>
    <mergeCell ref="P1:R1"/>
    <mergeCell ref="B3:C3"/>
    <mergeCell ref="P3:R3"/>
    <mergeCell ref="B4:C4"/>
  </mergeCells>
  <dataValidations count="2">
    <dataValidation type="list" allowBlank="1" showInputMessage="1" showErrorMessage="1" sqref="V6" xr:uid="{F7823BCC-C519-478C-9ED3-2769FC6E3385}">
      <formula1>$Q$4:$Q$7</formula1>
    </dataValidation>
    <dataValidation type="list" allowBlank="1" showInputMessage="1" showErrorMessage="1" sqref="H1" xr:uid="{28BF9635-39A5-47DF-B25E-107C0C741B11}">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679877E-9FFD-4019-9362-6358223C8B35}">
          <x14:formula1>
            <xm:f>GENERAL!$W$5:$W$53</xm:f>
          </x14:formula1>
          <xm:sqref>B3:C3</xm:sqref>
        </x14:dataValidation>
        <x14:dataValidation type="list" allowBlank="1" showInputMessage="1" showErrorMessage="1" xr:uid="{DDD1CEA9-0700-4674-9011-A5B586FB612A}">
          <x14:formula1>
            <xm:f>GENERAL!$S$5:$S$20</xm:f>
          </x14:formula1>
          <xm:sqref>B4:C4</xm:sqref>
        </x14:dataValidation>
        <x14:dataValidation type="list" allowBlank="1" showInputMessage="1" showErrorMessage="1" xr:uid="{3DB65B00-7F47-4A87-BE45-83B529CB734F}">
          <x14:formula1>
            <xm:f>GENERAL!$AH$2:$AJ$2</xm:f>
          </x14:formula1>
          <xm:sqref>F4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F9A1D-D8B1-4B94-8B2B-87389DF3482E}">
  <dimension ref="A1:X42"/>
  <sheetViews>
    <sheetView zoomScale="85" zoomScaleNormal="85" zoomScalePageLayoutView="85" workbookViewId="0">
      <selection activeCell="A26" sqref="A26"/>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22012</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t="s">
        <v>254</v>
      </c>
      <c r="C2" s="164"/>
      <c r="D2" s="63"/>
      <c r="E2" s="166" t="s">
        <v>106</v>
      </c>
      <c r="F2" s="165"/>
    </row>
    <row r="3" spans="1:24" x14ac:dyDescent="0.25">
      <c r="A3" s="62" t="s">
        <v>94</v>
      </c>
      <c r="B3" s="222" t="s">
        <v>227</v>
      </c>
      <c r="C3" s="221"/>
      <c r="I3" s="1" t="s">
        <v>2</v>
      </c>
      <c r="J3" s="1" t="e" vm="1">
        <v>#VALUE!</v>
      </c>
      <c r="P3" s="223" t="s">
        <v>36</v>
      </c>
      <c r="Q3" s="223"/>
      <c r="R3" s="223"/>
      <c r="T3" s="1" t="s">
        <v>225</v>
      </c>
      <c r="U3" s="181">
        <v>0</v>
      </c>
    </row>
    <row r="4" spans="1:24" x14ac:dyDescent="0.25">
      <c r="A4" s="62" t="s">
        <v>25</v>
      </c>
      <c r="B4" s="222" t="s">
        <v>82</v>
      </c>
      <c r="C4" s="221"/>
      <c r="D4" s="2"/>
      <c r="E4" s="166" t="s">
        <v>195</v>
      </c>
      <c r="F4" s="196" t="s">
        <v>218</v>
      </c>
      <c r="I4" s="1" t="s">
        <v>29</v>
      </c>
      <c r="J4" t="str" cm="1">
        <f t="array" ref="J4">_FV(J3,"Símbolo bursátil",TRUE)</f>
        <v>BBVA</v>
      </c>
      <c r="P4" s="168" t="s">
        <v>37</v>
      </c>
      <c r="Q4" s="168" t="s">
        <v>37</v>
      </c>
      <c r="R4" s="30">
        <v>1</v>
      </c>
      <c r="T4" s="1" t="s">
        <v>219</v>
      </c>
      <c r="U4" s="192">
        <f>A8</f>
        <v>5300</v>
      </c>
    </row>
    <row r="5" spans="1:24" x14ac:dyDescent="0.25">
      <c r="A5" s="3" t="s">
        <v>1</v>
      </c>
      <c r="B5" s="199" t="str">
        <f>IF(H1="CORTO", "Venta", "Compra")</f>
        <v>Venta</v>
      </c>
      <c r="D5" s="166" t="s">
        <v>239</v>
      </c>
      <c r="E5" s="220" t="s">
        <v>255</v>
      </c>
      <c r="F5" s="221"/>
      <c r="I5" s="1" t="s">
        <v>28</v>
      </c>
      <c r="J5" t="str" cm="1">
        <f t="array" ref="J5">_FV(J3,"Abreviatura de intercambio",TRUE)</f>
        <v>BMEX</v>
      </c>
      <c r="P5" t="e" vm="2">
        <v>#VALUE!</v>
      </c>
      <c r="Q5" s="31" t="s">
        <v>38</v>
      </c>
      <c r="R5" s="32" cm="1">
        <f t="array" ref="R5">_FV(P5,"Precio")</f>
        <v>1.073</v>
      </c>
    </row>
    <row r="6" spans="1:24" x14ac:dyDescent="0.25">
      <c r="A6" s="21" t="s">
        <v>0</v>
      </c>
      <c r="B6" s="4">
        <v>44711</v>
      </c>
      <c r="I6" s="1" t="s">
        <v>30</v>
      </c>
      <c r="J6" t="str" cm="1">
        <f t="array" ref="J6">_FV(J3,"Moneda")</f>
        <v>EUR</v>
      </c>
      <c r="P6" t="e" vm="3">
        <v>#VALUE!</v>
      </c>
      <c r="Q6" s="31" t="s">
        <v>39</v>
      </c>
      <c r="R6" s="33" cm="1">
        <f t="array" ref="R6">_FV(P6,"Precio")</f>
        <v>0.88790000000000002</v>
      </c>
      <c r="T6" s="1" t="s">
        <v>14</v>
      </c>
      <c r="U6" s="26">
        <v>110.3</v>
      </c>
      <c r="V6" s="183" t="s">
        <v>37</v>
      </c>
      <c r="W6" s="185">
        <f>IF($X$6="","",$U$6/VLOOKUP($V$6,$Q$4:$R$30,2,0))</f>
        <v>110.3</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584590</v>
      </c>
      <c r="V7" t="str">
        <f>V6</f>
        <v>EUR</v>
      </c>
      <c r="W7" s="185">
        <f>IF($X$7="","",$U$7/VLOOKUP($V$7,$Q$4:$R$30,2,0))</f>
        <v>584590</v>
      </c>
      <c r="X7" s="1" t="s">
        <v>37</v>
      </c>
    </row>
    <row r="8" spans="1:24" x14ac:dyDescent="0.25">
      <c r="A8" s="7">
        <v>5300</v>
      </c>
      <c r="B8" s="202">
        <v>3.4020000000000001</v>
      </c>
      <c r="C8" s="203">
        <v>3.4020000000000001</v>
      </c>
      <c r="D8" s="11">
        <f t="shared" ref="D8:D18" si="0">(A8*C8)</f>
        <v>18030.600000000002</v>
      </c>
      <c r="E8" s="9">
        <v>14.42</v>
      </c>
      <c r="F8" s="9">
        <v>0</v>
      </c>
      <c r="H8" s="12">
        <f t="shared" ref="H8:H18" si="1">(A8*C8+E8+F8)</f>
        <v>18045.02</v>
      </c>
      <c r="I8" s="1" t="s">
        <v>14</v>
      </c>
      <c r="J8" s="186" cm="1">
        <f t="array" ref="J8">_FV(J3,"Precio")</f>
        <v>6.7530000000000001</v>
      </c>
      <c r="K8" s="27" t="str">
        <f>J6</f>
        <v>EUR</v>
      </c>
      <c r="L8" s="28">
        <f>IF($M$8="","",$J$8/VLOOKUP($J$6,$Q$4:$R$30,2,0))</f>
        <v>6.7530000000000001</v>
      </c>
      <c r="M8" s="1" t="s">
        <v>37</v>
      </c>
      <c r="P8"/>
      <c r="Q8"/>
      <c r="R8"/>
      <c r="T8" s="1" t="s">
        <v>11</v>
      </c>
      <c r="U8" s="172">
        <f>IF($H$1="LARGO",$U$7-$D$19,$D$19-$U$7)</f>
        <v>-566559.4</v>
      </c>
      <c r="V8" t="str">
        <f>V6</f>
        <v>EUR</v>
      </c>
      <c r="W8" s="185">
        <f>IF($X$8="","",$U$8/VLOOKUP($V$8,$Q$4:$R$30,2,0))</f>
        <v>-566559.4</v>
      </c>
      <c r="X8" s="1" t="s">
        <v>37</v>
      </c>
    </row>
    <row r="9" spans="1:24" x14ac:dyDescent="0.25">
      <c r="A9" s="7">
        <v>0</v>
      </c>
      <c r="B9" s="57">
        <v>0</v>
      </c>
      <c r="C9" s="8">
        <v>0</v>
      </c>
      <c r="D9" s="11">
        <f t="shared" si="0"/>
        <v>0</v>
      </c>
      <c r="E9" s="9">
        <v>0</v>
      </c>
      <c r="F9" s="9">
        <v>0</v>
      </c>
      <c r="H9" s="12">
        <f t="shared" si="1"/>
        <v>0</v>
      </c>
      <c r="I9" s="1" t="s">
        <v>31</v>
      </c>
      <c r="J9" s="187" cm="1">
        <f t="array" ref="J9">_FV(J3,"Cambio (%)",TRUE)</f>
        <v>-3.5410000000000003E-3</v>
      </c>
      <c r="P9"/>
      <c r="Q9"/>
      <c r="R9"/>
      <c r="U9" s="172"/>
      <c r="V9"/>
      <c r="W9" s="185"/>
    </row>
    <row r="10" spans="1:24" x14ac:dyDescent="0.25">
      <c r="A10" s="7">
        <v>0</v>
      </c>
      <c r="B10" s="57">
        <v>0</v>
      </c>
      <c r="C10" s="8">
        <v>0</v>
      </c>
      <c r="D10" s="11">
        <f t="shared" si="0"/>
        <v>0</v>
      </c>
      <c r="E10" s="9">
        <v>0</v>
      </c>
      <c r="F10" s="9">
        <v>0</v>
      </c>
      <c r="H10" s="12">
        <f t="shared" si="1"/>
        <v>0</v>
      </c>
      <c r="P10"/>
      <c r="Q10"/>
      <c r="R10"/>
    </row>
    <row r="11" spans="1:24" x14ac:dyDescent="0.25">
      <c r="A11" s="7">
        <v>0</v>
      </c>
      <c r="B11" s="57">
        <v>0</v>
      </c>
      <c r="C11" s="8">
        <v>0</v>
      </c>
      <c r="D11" s="11">
        <f t="shared" si="0"/>
        <v>0</v>
      </c>
      <c r="E11" s="9">
        <v>0</v>
      </c>
      <c r="F11" s="9">
        <v>0</v>
      </c>
      <c r="H11" s="12">
        <f t="shared" si="1"/>
        <v>0</v>
      </c>
      <c r="I11" s="1" t="s">
        <v>32</v>
      </c>
      <c r="J11" s="53" cm="1">
        <f t="array" ref="J11">_FV(J3,"Apertura")</f>
        <v>6.82</v>
      </c>
      <c r="P11"/>
      <c r="Q11"/>
      <c r="R11"/>
      <c r="T11" s="1" t="s">
        <v>42</v>
      </c>
      <c r="U11" s="201">
        <v>117.3</v>
      </c>
      <c r="V11" t="str">
        <f>V6</f>
        <v>EUR</v>
      </c>
      <c r="W11" s="185">
        <f>IF($X$11="","",$U$11/VLOOKUP($V$11,$Q$4:$R$30,2,0))</f>
        <v>117.3</v>
      </c>
      <c r="X11" s="1" t="s">
        <v>37</v>
      </c>
    </row>
    <row r="12" spans="1:24" x14ac:dyDescent="0.25">
      <c r="A12" s="7">
        <v>0</v>
      </c>
      <c r="B12" s="57">
        <v>0</v>
      </c>
      <c r="C12" s="8">
        <v>0</v>
      </c>
      <c r="D12" s="11">
        <f t="shared" si="0"/>
        <v>0</v>
      </c>
      <c r="E12" s="9">
        <v>0</v>
      </c>
      <c r="F12" s="9">
        <v>0</v>
      </c>
      <c r="H12" s="12">
        <f t="shared" si="1"/>
        <v>0</v>
      </c>
      <c r="I12" s="1" t="s">
        <v>33</v>
      </c>
      <c r="J12" s="53" cm="1">
        <f t="array" ref="J12">_FV(J3,"Máximo")</f>
        <v>6.82</v>
      </c>
      <c r="P12"/>
      <c r="Q12"/>
      <c r="R12"/>
      <c r="U12" s="193">
        <f>(U11*$U$4)</f>
        <v>621690</v>
      </c>
      <c r="V12" t="str">
        <f>V11</f>
        <v>EUR</v>
      </c>
      <c r="W12" s="185">
        <f>IF($X$12="","",$U$12/VLOOKUP($V$12,$Q$4:$R$30,2,0))</f>
        <v>621690</v>
      </c>
      <c r="X12" s="1" t="s">
        <v>37</v>
      </c>
    </row>
    <row r="13" spans="1:24" x14ac:dyDescent="0.25">
      <c r="A13" s="7">
        <v>0</v>
      </c>
      <c r="B13" s="57">
        <v>0</v>
      </c>
      <c r="C13" s="8">
        <v>0</v>
      </c>
      <c r="D13" s="11">
        <f t="shared" si="0"/>
        <v>0</v>
      </c>
      <c r="E13" s="9">
        <v>0</v>
      </c>
      <c r="F13" s="9">
        <v>0</v>
      </c>
      <c r="H13" s="12">
        <f t="shared" si="1"/>
        <v>0</v>
      </c>
      <c r="I13" s="1" t="s">
        <v>34</v>
      </c>
      <c r="J13" s="53" cm="1">
        <f t="array" ref="J13">_FV(J3,"Mínimo")</f>
        <v>6.7210000000000001</v>
      </c>
      <c r="P13"/>
      <c r="Q13"/>
      <c r="R13"/>
      <c r="T13" s="1" t="s">
        <v>11</v>
      </c>
      <c r="U13" s="172">
        <f>IF($H$1="LARGO",$U$12-$D$19,$D$19-$U$12)</f>
        <v>-603659.4</v>
      </c>
      <c r="V13" t="str">
        <f>V11</f>
        <v>EUR</v>
      </c>
      <c r="W13" s="185">
        <f>IF($X$13="","",$U$13/VLOOKUP($V$13,$Q$4:$R$30,2,0))</f>
        <v>-603659.4</v>
      </c>
      <c r="X13" s="1" t="s">
        <v>37</v>
      </c>
    </row>
    <row r="14" spans="1:24" x14ac:dyDescent="0.25">
      <c r="A14" s="7">
        <v>0</v>
      </c>
      <c r="B14" s="57">
        <v>0</v>
      </c>
      <c r="C14" s="8">
        <v>0</v>
      </c>
      <c r="D14" s="11">
        <f t="shared" si="0"/>
        <v>0</v>
      </c>
      <c r="E14" s="9">
        <v>0</v>
      </c>
      <c r="F14" s="9">
        <v>0</v>
      </c>
      <c r="H14" s="12">
        <f t="shared" si="1"/>
        <v>0</v>
      </c>
      <c r="I14" s="1" t="s">
        <v>35</v>
      </c>
      <c r="J14" s="53" cm="1">
        <f t="array" ref="J14">_FV(J3,"Cierre anterior",TRUE)</f>
        <v>6.7770000000000001</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201">
        <v>105.8</v>
      </c>
      <c r="V16" t="str">
        <f>V11</f>
        <v>EUR</v>
      </c>
      <c r="W16" s="185">
        <f>IF($X$16="","",$U$16/VLOOKUP($V$16,$Q$4:$R$30,2,0))</f>
        <v>105.8</v>
      </c>
      <c r="X16" s="1" t="s">
        <v>37</v>
      </c>
    </row>
    <row r="17" spans="1:24" x14ac:dyDescent="0.25">
      <c r="A17" s="7">
        <v>0</v>
      </c>
      <c r="B17" s="57">
        <v>0</v>
      </c>
      <c r="C17" s="8">
        <v>0</v>
      </c>
      <c r="D17" s="11">
        <f t="shared" si="0"/>
        <v>0</v>
      </c>
      <c r="E17" s="9">
        <v>0</v>
      </c>
      <c r="F17" s="9">
        <v>0</v>
      </c>
      <c r="H17" s="12">
        <f t="shared" si="1"/>
        <v>0</v>
      </c>
      <c r="P17"/>
      <c r="Q17"/>
      <c r="R17"/>
      <c r="U17" s="193">
        <f>(U16*$U$4)</f>
        <v>560740</v>
      </c>
      <c r="V17" t="str">
        <f>V16</f>
        <v>EUR</v>
      </c>
      <c r="W17" s="185">
        <f>IF($X$17="","",$U$17/VLOOKUP($V$17,$Q$4:$R$30,2,0))</f>
        <v>560740</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-542709.4</v>
      </c>
      <c r="V18" t="str">
        <f>V16</f>
        <v>EUR</v>
      </c>
      <c r="W18" s="185">
        <f>IF($X$18="","",$U$18/VLOOKUP($V$18,$Q$4:$R$30,2,0))</f>
        <v>-542709.4</v>
      </c>
      <c r="X18" s="1" t="s">
        <v>37</v>
      </c>
    </row>
    <row r="19" spans="1:24" x14ac:dyDescent="0.25">
      <c r="A19" s="14">
        <f>SUM(A8:A18)</f>
        <v>5300</v>
      </c>
      <c r="B19" s="16" cm="1">
        <f t="array" ref="B19">SUM(B8:B18/A20)</f>
        <v>3.4020000000000001</v>
      </c>
      <c r="C19" s="16" cm="1">
        <f t="array" ref="C19">SUM(C8:C18/A20)</f>
        <v>3.4020000000000001</v>
      </c>
      <c r="D19" s="16">
        <f>SUM(D8:D18)</f>
        <v>18030.600000000002</v>
      </c>
      <c r="E19" s="16">
        <f>SUM(E8:E18)</f>
        <v>14.42</v>
      </c>
      <c r="F19" s="17">
        <f>SUM(F8:F18)</f>
        <v>0</v>
      </c>
      <c r="H19" s="13">
        <f>SUM(H8:H18)</f>
        <v>18045.02</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200" t="str">
        <f>IF(B5="Venta", "Compra", "Venta")</f>
        <v>Compra</v>
      </c>
      <c r="P22"/>
      <c r="Q22"/>
      <c r="R22"/>
    </row>
    <row r="23" spans="1:24" x14ac:dyDescent="0.25">
      <c r="A23" s="21" t="s">
        <v>0</v>
      </c>
      <c r="B23" s="4">
        <v>44711</v>
      </c>
      <c r="P23"/>
      <c r="Q23"/>
      <c r="R23"/>
    </row>
    <row r="24" spans="1:24" x14ac:dyDescent="0.25">
      <c r="A24" s="5" t="s">
        <v>219</v>
      </c>
      <c r="B24" s="5" t="s">
        <v>8</v>
      </c>
      <c r="C24" s="5" t="s">
        <v>52</v>
      </c>
      <c r="D24" s="6" t="s">
        <v>9</v>
      </c>
      <c r="E24" s="6" t="s">
        <v>10</v>
      </c>
      <c r="F24" s="6" t="s">
        <v>5</v>
      </c>
      <c r="P24"/>
      <c r="Q24"/>
      <c r="R24"/>
    </row>
    <row r="25" spans="1:24" x14ac:dyDescent="0.25">
      <c r="A25" s="7">
        <v>5300</v>
      </c>
      <c r="B25" s="57">
        <v>3.371</v>
      </c>
      <c r="C25" s="8">
        <v>3.371</v>
      </c>
      <c r="D25" s="11">
        <f t="shared" ref="D25:D35" si="2">(A25*C25)</f>
        <v>17866.3</v>
      </c>
      <c r="E25" s="9">
        <v>14.29</v>
      </c>
      <c r="F25" s="9">
        <v>0</v>
      </c>
      <c r="H25" s="12">
        <f t="shared" ref="H25:H35" si="3">(A25*C25-E25-F25)</f>
        <v>17852.009999999998</v>
      </c>
      <c r="P25"/>
      <c r="Q25"/>
      <c r="R25"/>
    </row>
    <row r="26" spans="1:24" x14ac:dyDescent="0.25">
      <c r="A26" s="7">
        <v>0</v>
      </c>
      <c r="B26" s="57">
        <v>0</v>
      </c>
      <c r="C26" s="8">
        <v>0</v>
      </c>
      <c r="D26" s="11">
        <f t="shared" si="2"/>
        <v>0</v>
      </c>
      <c r="E26" s="9">
        <v>0</v>
      </c>
      <c r="F26" s="9">
        <v>0</v>
      </c>
      <c r="H26" s="12">
        <f t="shared" si="3"/>
        <v>0</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5300</v>
      </c>
      <c r="B36" s="58" cm="1">
        <f t="array" ref="B36">SUM(B25:B35/A37)</f>
        <v>3.371</v>
      </c>
      <c r="C36" s="15" cm="1">
        <f t="array" ref="C36">SUM(C25:C35/A37)</f>
        <v>3.371</v>
      </c>
      <c r="D36" s="16">
        <f>SUM(D25:D35)</f>
        <v>17866.3</v>
      </c>
      <c r="E36" s="16">
        <f>SUM(E25:E35)</f>
        <v>14.29</v>
      </c>
      <c r="F36" s="17">
        <f>SUM(F25:F35)</f>
        <v>0</v>
      </c>
      <c r="H36" s="13">
        <f>SUM(H25:H35)</f>
        <v>17852.009999999998</v>
      </c>
    </row>
    <row r="37" spans="1:8" x14ac:dyDescent="0.25">
      <c r="A37">
        <f>COUNTIF(A25:A35, "&gt;0")</f>
        <v>1</v>
      </c>
      <c r="B37"/>
    </row>
    <row r="38" spans="1:8" x14ac:dyDescent="0.25">
      <c r="H38" s="19">
        <f>(H36-H19)</f>
        <v>-193.01000000000204</v>
      </c>
    </row>
    <row r="39" spans="1:8" x14ac:dyDescent="0.25">
      <c r="D39" s="1" t="s">
        <v>20</v>
      </c>
    </row>
    <row r="40" spans="1:8" x14ac:dyDescent="0.25">
      <c r="A40" s="10" t="s">
        <v>11</v>
      </c>
      <c r="B40" s="10"/>
      <c r="D40" s="18">
        <f>IF(H1="LARGO",D36-D19,D19-D36)</f>
        <v>164.30000000000291</v>
      </c>
      <c r="E40" s="19">
        <f>(E19+E36)</f>
        <v>28.71</v>
      </c>
      <c r="F40" s="19">
        <f>(F19+F36)</f>
        <v>0</v>
      </c>
      <c r="H40" s="20">
        <f>(H38-F42)</f>
        <v>-328.60000000000491</v>
      </c>
    </row>
    <row r="41" spans="1:8" x14ac:dyDescent="0.25">
      <c r="A41" s="10"/>
      <c r="B41" s="10"/>
      <c r="D41" s="19"/>
      <c r="E41" s="19">
        <f>(E40+F40)</f>
        <v>28.71</v>
      </c>
      <c r="F41" s="19"/>
      <c r="G41" s="19"/>
      <c r="H41" s="20"/>
    </row>
    <row r="42" spans="1:8" x14ac:dyDescent="0.25">
      <c r="A42" s="10"/>
      <c r="B42" s="10"/>
      <c r="D42" s="19"/>
      <c r="E42" s="56" t="s">
        <v>55</v>
      </c>
      <c r="F42" s="18">
        <f>(D40-E40-F40)</f>
        <v>135.5900000000029</v>
      </c>
      <c r="G42" s="19"/>
      <c r="H42" s="20"/>
    </row>
  </sheetData>
  <mergeCells count="7">
    <mergeCell ref="E5:F5"/>
    <mergeCell ref="I1:N1"/>
    <mergeCell ref="P1:R1"/>
    <mergeCell ref="T1:X1"/>
    <mergeCell ref="B3:C3"/>
    <mergeCell ref="P3:R3"/>
    <mergeCell ref="B4:C4"/>
  </mergeCells>
  <dataValidations count="2">
    <dataValidation type="list" allowBlank="1" showInputMessage="1" showErrorMessage="1" sqref="H1" xr:uid="{AC736E6B-13F6-4E5F-8E62-40E8E4FF83A4}">
      <formula1>"LARGO, CORTO"</formula1>
    </dataValidation>
    <dataValidation type="list" allowBlank="1" showInputMessage="1" showErrorMessage="1" sqref="V6" xr:uid="{3E47C92F-BC1C-4091-AC4D-705541FEE162}">
      <formula1>$Q$4:$Q$7</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7FDB95CA-9BC2-4A2E-B673-46C8EF9340BB}">
          <x14:formula1>
            <xm:f>GENERAL!$AH$2:$AJ$2</xm:f>
          </x14:formula1>
          <xm:sqref>F4</xm:sqref>
        </x14:dataValidation>
        <x14:dataValidation type="list" allowBlank="1" showInputMessage="1" showErrorMessage="1" xr:uid="{5EB450A2-8598-41AF-99DD-3F29231B91AF}">
          <x14:formula1>
            <xm:f>GENERAL!$S$5:$S$20</xm:f>
          </x14:formula1>
          <xm:sqref>B4:C4</xm:sqref>
        </x14:dataValidation>
        <x14:dataValidation type="list" allowBlank="1" showInputMessage="1" showErrorMessage="1" xr:uid="{35304BB1-DA63-4B23-A17C-9D238FB23086}">
          <x14:formula1>
            <xm:f>GENERAL!$W$5:$W$53</xm:f>
          </x14:formula1>
          <xm:sqref>B3:C3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1030-C411-4E7A-ACAA-51840E13B4EF}">
  <dimension ref="A1:X42"/>
  <sheetViews>
    <sheetView zoomScale="85" zoomScaleNormal="85" zoomScalePageLayoutView="85" workbookViewId="0">
      <selection activeCell="E26" sqref="E26"/>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22011</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t="s">
        <v>244</v>
      </c>
      <c r="C2" s="164"/>
      <c r="D2" s="63"/>
      <c r="E2" s="166" t="s">
        <v>106</v>
      </c>
      <c r="F2" s="165"/>
    </row>
    <row r="3" spans="1:24" x14ac:dyDescent="0.25">
      <c r="A3" s="62" t="s">
        <v>94</v>
      </c>
      <c r="B3" s="222" t="s">
        <v>227</v>
      </c>
      <c r="C3" s="221"/>
      <c r="I3" s="1" t="s">
        <v>2</v>
      </c>
      <c r="J3" s="1" t="e" vm="1">
        <v>#VALUE!</v>
      </c>
      <c r="P3" s="223" t="s">
        <v>36</v>
      </c>
      <c r="Q3" s="223"/>
      <c r="R3" s="223"/>
      <c r="T3" s="1" t="s">
        <v>225</v>
      </c>
      <c r="U3" s="181">
        <v>1872.55</v>
      </c>
    </row>
    <row r="4" spans="1:24" x14ac:dyDescent="0.25">
      <c r="A4" s="62" t="s">
        <v>25</v>
      </c>
      <c r="B4" s="222" t="s">
        <v>87</v>
      </c>
      <c r="C4" s="221"/>
      <c r="D4" s="2"/>
      <c r="E4" s="166" t="s">
        <v>195</v>
      </c>
      <c r="F4" s="196" t="s">
        <v>218</v>
      </c>
      <c r="I4" s="1" t="s">
        <v>29</v>
      </c>
      <c r="J4" t="str" cm="1">
        <f t="array" ref="J4">_FV(J3,"Símbolo bursátil",TRUE)</f>
        <v>BBVA</v>
      </c>
      <c r="P4" s="168" t="s">
        <v>37</v>
      </c>
      <c r="Q4" s="168" t="s">
        <v>37</v>
      </c>
      <c r="R4" s="30">
        <v>1</v>
      </c>
      <c r="T4" s="1" t="s">
        <v>219</v>
      </c>
      <c r="U4" s="192">
        <f>A8</f>
        <v>1900</v>
      </c>
    </row>
    <row r="5" spans="1:24" x14ac:dyDescent="0.25">
      <c r="A5" s="3" t="s">
        <v>1</v>
      </c>
      <c r="B5" s="199" t="str">
        <f>IF(H1="CORTO", "Venta", "Compra")</f>
        <v>Venta</v>
      </c>
      <c r="D5" s="166" t="s">
        <v>239</v>
      </c>
      <c r="E5" s="220" t="s">
        <v>252</v>
      </c>
      <c r="F5" s="221"/>
      <c r="I5" s="1" t="s">
        <v>28</v>
      </c>
      <c r="J5" t="str" cm="1">
        <f t="array" ref="J5">_FV(J3,"Abreviatura de intercambio",TRUE)</f>
        <v>BMEX</v>
      </c>
      <c r="P5" t="e" vm="2">
        <v>#VALUE!</v>
      </c>
      <c r="Q5" s="31" t="s">
        <v>38</v>
      </c>
      <c r="R5" s="32" cm="1">
        <f t="array" ref="R5">_FV(P5,"Precio")</f>
        <v>1.073</v>
      </c>
    </row>
    <row r="6" spans="1:24" x14ac:dyDescent="0.25">
      <c r="A6" s="21" t="s">
        <v>0</v>
      </c>
      <c r="B6" s="4">
        <v>44704</v>
      </c>
      <c r="I6" s="1" t="s">
        <v>30</v>
      </c>
      <c r="J6" t="str" cm="1">
        <f t="array" ref="J6">_FV(J3,"Moneda")</f>
        <v>EUR</v>
      </c>
      <c r="P6" t="e" vm="3">
        <v>#VALUE!</v>
      </c>
      <c r="Q6" s="31" t="s">
        <v>39</v>
      </c>
      <c r="R6" s="33" cm="1">
        <f t="array" ref="R6">_FV(P6,"Precio")</f>
        <v>0.88790000000000002</v>
      </c>
      <c r="T6" s="1" t="s">
        <v>14</v>
      </c>
      <c r="U6" s="26">
        <v>10.815</v>
      </c>
      <c r="V6" s="183" t="s">
        <v>37</v>
      </c>
      <c r="W6" s="185">
        <f>IF($X$6="","",$U$6/VLOOKUP($V$6,$Q$4:$R$30,2,0))</f>
        <v>10.815</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20548.5</v>
      </c>
      <c r="V7" t="str">
        <f>V6</f>
        <v>EUR</v>
      </c>
      <c r="W7" s="185">
        <f>IF($X$7="","",$U$7/VLOOKUP($V$7,$Q$4:$R$30,2,0))</f>
        <v>20548.5</v>
      </c>
      <c r="X7" s="1" t="s">
        <v>37</v>
      </c>
    </row>
    <row r="8" spans="1:24" x14ac:dyDescent="0.25">
      <c r="A8" s="7">
        <v>1900</v>
      </c>
      <c r="B8" s="202">
        <v>11.14</v>
      </c>
      <c r="C8" s="203">
        <v>11.14</v>
      </c>
      <c r="D8" s="11">
        <f t="shared" ref="D8:D18" si="0">(A8*C8)</f>
        <v>21166</v>
      </c>
      <c r="E8" s="9">
        <v>16.93</v>
      </c>
      <c r="F8" s="9">
        <v>0</v>
      </c>
      <c r="H8" s="12">
        <f t="shared" ref="H8:H18" si="1">(A8*C8+E8+F8)</f>
        <v>21182.93</v>
      </c>
      <c r="I8" s="1" t="s">
        <v>14</v>
      </c>
      <c r="J8" s="186" cm="1">
        <f t="array" ref="J8">_FV(J3,"Precio")</f>
        <v>6.7530000000000001</v>
      </c>
      <c r="K8" s="27" t="str">
        <f>J6</f>
        <v>EUR</v>
      </c>
      <c r="L8" s="28">
        <f>IF($M$8="","",$J$8/VLOOKUP($J$6,$Q$4:$R$30,2,0))</f>
        <v>6.7530000000000001</v>
      </c>
      <c r="M8" s="1" t="s">
        <v>37</v>
      </c>
      <c r="P8"/>
      <c r="Q8"/>
      <c r="R8"/>
      <c r="T8" s="1" t="s">
        <v>11</v>
      </c>
      <c r="U8" s="172">
        <f>IF($H$1="LARGO",$U$7-$D$19,$D$19-$U$7)</f>
        <v>617.5</v>
      </c>
      <c r="V8" t="str">
        <f>V6</f>
        <v>EUR</v>
      </c>
      <c r="W8" s="185">
        <f>IF($X$8="","",$U$8/VLOOKUP($V$8,$Q$4:$R$30,2,0))</f>
        <v>617.5</v>
      </c>
      <c r="X8" s="1" t="s">
        <v>37</v>
      </c>
    </row>
    <row r="9" spans="1:24" x14ac:dyDescent="0.25">
      <c r="A9" s="7">
        <v>0</v>
      </c>
      <c r="B9" s="57">
        <v>0</v>
      </c>
      <c r="C9" s="8">
        <v>0</v>
      </c>
      <c r="D9" s="11">
        <f t="shared" si="0"/>
        <v>0</v>
      </c>
      <c r="E9" s="9">
        <v>0</v>
      </c>
      <c r="F9" s="9">
        <v>0</v>
      </c>
      <c r="H9" s="12">
        <f t="shared" si="1"/>
        <v>0</v>
      </c>
      <c r="I9" s="1" t="s">
        <v>31</v>
      </c>
      <c r="J9" s="187" cm="1">
        <f t="array" ref="J9">_FV(J3,"Cambio (%)",TRUE)</f>
        <v>-3.5410000000000003E-3</v>
      </c>
      <c r="P9"/>
      <c r="Q9"/>
      <c r="R9"/>
      <c r="U9" s="172"/>
      <c r="V9"/>
      <c r="W9" s="185"/>
    </row>
    <row r="10" spans="1:24" x14ac:dyDescent="0.25">
      <c r="A10" s="7">
        <v>0</v>
      </c>
      <c r="B10" s="57">
        <v>0</v>
      </c>
      <c r="C10" s="8">
        <v>0</v>
      </c>
      <c r="D10" s="11">
        <f t="shared" si="0"/>
        <v>0</v>
      </c>
      <c r="E10" s="9">
        <v>0</v>
      </c>
      <c r="F10" s="9">
        <v>0</v>
      </c>
      <c r="H10" s="12">
        <f t="shared" si="1"/>
        <v>0</v>
      </c>
      <c r="P10"/>
      <c r="Q10"/>
      <c r="R10"/>
    </row>
    <row r="11" spans="1:24" x14ac:dyDescent="0.25">
      <c r="A11" s="7">
        <v>0</v>
      </c>
      <c r="B11" s="57">
        <v>0</v>
      </c>
      <c r="C11" s="8">
        <v>0</v>
      </c>
      <c r="D11" s="11">
        <f t="shared" si="0"/>
        <v>0</v>
      </c>
      <c r="E11" s="9">
        <v>0</v>
      </c>
      <c r="F11" s="9">
        <v>0</v>
      </c>
      <c r="H11" s="12">
        <f t="shared" si="1"/>
        <v>0</v>
      </c>
      <c r="I11" s="1" t="s">
        <v>32</v>
      </c>
      <c r="J11" s="53" cm="1">
        <f t="array" ref="J11">_FV(J3,"Apertura")</f>
        <v>6.82</v>
      </c>
      <c r="P11"/>
      <c r="Q11"/>
      <c r="R11"/>
      <c r="T11" s="1" t="s">
        <v>42</v>
      </c>
      <c r="U11" s="201">
        <v>11.205</v>
      </c>
      <c r="V11" t="str">
        <f>V6</f>
        <v>EUR</v>
      </c>
      <c r="W11" s="185">
        <f>IF($X$11="","",$U$11/VLOOKUP($V$11,$Q$4:$R$30,2,0))</f>
        <v>11.205</v>
      </c>
      <c r="X11" s="1" t="s">
        <v>37</v>
      </c>
    </row>
    <row r="12" spans="1:24" x14ac:dyDescent="0.25">
      <c r="A12" s="7">
        <v>0</v>
      </c>
      <c r="B12" s="57">
        <v>0</v>
      </c>
      <c r="C12" s="8">
        <v>0</v>
      </c>
      <c r="D12" s="11">
        <f t="shared" si="0"/>
        <v>0</v>
      </c>
      <c r="E12" s="9">
        <v>0</v>
      </c>
      <c r="F12" s="9">
        <v>0</v>
      </c>
      <c r="H12" s="12">
        <f t="shared" si="1"/>
        <v>0</v>
      </c>
      <c r="I12" s="1" t="s">
        <v>33</v>
      </c>
      <c r="J12" s="53" cm="1">
        <f t="array" ref="J12">_FV(J3,"Máximo")</f>
        <v>6.82</v>
      </c>
      <c r="P12"/>
      <c r="Q12"/>
      <c r="R12"/>
      <c r="U12" s="193">
        <f>(U11*$U$4)</f>
        <v>21289.5</v>
      </c>
      <c r="V12" t="str">
        <f>V11</f>
        <v>EUR</v>
      </c>
      <c r="W12" s="185">
        <f>IF($X$12="","",$U$12/VLOOKUP($V$12,$Q$4:$R$30,2,0))</f>
        <v>21289.5</v>
      </c>
      <c r="X12" s="1" t="s">
        <v>37</v>
      </c>
    </row>
    <row r="13" spans="1:24" x14ac:dyDescent="0.25">
      <c r="A13" s="7">
        <v>0</v>
      </c>
      <c r="B13" s="57">
        <v>0</v>
      </c>
      <c r="C13" s="8">
        <v>0</v>
      </c>
      <c r="D13" s="11">
        <f t="shared" si="0"/>
        <v>0</v>
      </c>
      <c r="E13" s="9">
        <v>0</v>
      </c>
      <c r="F13" s="9">
        <v>0</v>
      </c>
      <c r="H13" s="12">
        <f t="shared" si="1"/>
        <v>0</v>
      </c>
      <c r="I13" s="1" t="s">
        <v>34</v>
      </c>
      <c r="J13" s="53" cm="1">
        <f t="array" ref="J13">_FV(J3,"Mínimo")</f>
        <v>6.7210000000000001</v>
      </c>
      <c r="P13"/>
      <c r="Q13"/>
      <c r="R13"/>
      <c r="T13" s="1" t="s">
        <v>11</v>
      </c>
      <c r="U13" s="172">
        <f>IF($H$1="LARGO",$U$12-$D$19,$D$19-$U$12)</f>
        <v>-123.5</v>
      </c>
      <c r="V13" t="str">
        <f>V11</f>
        <v>EUR</v>
      </c>
      <c r="W13" s="185">
        <f>IF($X$13="","",$U$13/VLOOKUP($V$13,$Q$4:$R$30,2,0))</f>
        <v>-123.5</v>
      </c>
      <c r="X13" s="1" t="s">
        <v>37</v>
      </c>
    </row>
    <row r="14" spans="1:24" x14ac:dyDescent="0.25">
      <c r="A14" s="7">
        <v>0</v>
      </c>
      <c r="B14" s="57">
        <v>0</v>
      </c>
      <c r="C14" s="8">
        <v>0</v>
      </c>
      <c r="D14" s="11">
        <f t="shared" si="0"/>
        <v>0</v>
      </c>
      <c r="E14" s="9">
        <v>0</v>
      </c>
      <c r="F14" s="9">
        <v>0</v>
      </c>
      <c r="H14" s="12">
        <f t="shared" si="1"/>
        <v>0</v>
      </c>
      <c r="I14" s="1" t="s">
        <v>35</v>
      </c>
      <c r="J14" s="53" cm="1">
        <f t="array" ref="J14">_FV(J3,"Cierre anterior",TRUE)</f>
        <v>6.7770000000000001</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201">
        <v>10.715</v>
      </c>
      <c r="V16" t="str">
        <f>V11</f>
        <v>EUR</v>
      </c>
      <c r="W16" s="185">
        <f>IF($X$16="","",$U$16/VLOOKUP($V$16,$Q$4:$R$30,2,0))</f>
        <v>10.715</v>
      </c>
      <c r="X16" s="1" t="s">
        <v>37</v>
      </c>
    </row>
    <row r="17" spans="1:24" x14ac:dyDescent="0.25">
      <c r="A17" s="7">
        <v>0</v>
      </c>
      <c r="B17" s="57">
        <v>0</v>
      </c>
      <c r="C17" s="8">
        <v>0</v>
      </c>
      <c r="D17" s="11">
        <f t="shared" si="0"/>
        <v>0</v>
      </c>
      <c r="E17" s="9">
        <v>0</v>
      </c>
      <c r="F17" s="9">
        <v>0</v>
      </c>
      <c r="H17" s="12">
        <f t="shared" si="1"/>
        <v>0</v>
      </c>
      <c r="P17"/>
      <c r="Q17"/>
      <c r="R17"/>
      <c r="U17" s="193">
        <f>(U16*$U$4)</f>
        <v>20358.5</v>
      </c>
      <c r="V17" t="str">
        <f>V16</f>
        <v>EUR</v>
      </c>
      <c r="W17" s="185">
        <f>IF($X$17="","",$U$17/VLOOKUP($V$17,$Q$4:$R$30,2,0))</f>
        <v>20358.5</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807.5</v>
      </c>
      <c r="V18" t="str">
        <f>V16</f>
        <v>EUR</v>
      </c>
      <c r="W18" s="185">
        <f>IF($X$18="","",$U$18/VLOOKUP($V$18,$Q$4:$R$30,2,0))</f>
        <v>807.5</v>
      </c>
      <c r="X18" s="1" t="s">
        <v>37</v>
      </c>
    </row>
    <row r="19" spans="1:24" x14ac:dyDescent="0.25">
      <c r="A19" s="14">
        <f>SUM(A8:A18)</f>
        <v>1900</v>
      </c>
      <c r="B19" s="16" cm="1">
        <f t="array" ref="B19">SUM(B8:B18/A20)</f>
        <v>11.14</v>
      </c>
      <c r="C19" s="16" cm="1">
        <f t="array" ref="C19">SUM(C8:C18/A20)</f>
        <v>11.14</v>
      </c>
      <c r="D19" s="16">
        <f>SUM(D8:D18)</f>
        <v>21166</v>
      </c>
      <c r="E19" s="16">
        <f>SUM(E8:E18)</f>
        <v>16.93</v>
      </c>
      <c r="F19" s="17">
        <f>SUM(F8:F18)</f>
        <v>0</v>
      </c>
      <c r="H19" s="13">
        <f>SUM(H8:H18)</f>
        <v>21182.93</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200" t="str">
        <f>IF(B5="Venta", "Compra", "Venta")</f>
        <v>Compra</v>
      </c>
      <c r="P22"/>
      <c r="Q22"/>
      <c r="R22"/>
    </row>
    <row r="23" spans="1:24" x14ac:dyDescent="0.25">
      <c r="A23" s="21" t="s">
        <v>0</v>
      </c>
      <c r="B23" s="4">
        <v>44704</v>
      </c>
      <c r="P23"/>
      <c r="Q23"/>
      <c r="R23"/>
    </row>
    <row r="24" spans="1:24" x14ac:dyDescent="0.25">
      <c r="A24" s="5" t="s">
        <v>219</v>
      </c>
      <c r="B24" s="5" t="s">
        <v>8</v>
      </c>
      <c r="C24" s="5" t="s">
        <v>52</v>
      </c>
      <c r="D24" s="6" t="s">
        <v>9</v>
      </c>
      <c r="E24" s="6" t="s">
        <v>10</v>
      </c>
      <c r="F24" s="6" t="s">
        <v>5</v>
      </c>
      <c r="P24"/>
      <c r="Q24"/>
      <c r="R24"/>
    </row>
    <row r="25" spans="1:24" x14ac:dyDescent="0.25">
      <c r="A25" s="7">
        <v>1900</v>
      </c>
      <c r="B25" s="57">
        <v>11.01</v>
      </c>
      <c r="C25" s="8">
        <v>11.01</v>
      </c>
      <c r="D25" s="11">
        <f t="shared" ref="D25:D35" si="2">(A25*C25)</f>
        <v>20919</v>
      </c>
      <c r="E25" s="9">
        <v>16.739999999999998</v>
      </c>
      <c r="F25" s="9">
        <v>0</v>
      </c>
      <c r="H25" s="12">
        <f t="shared" ref="H25:H35" si="3">(A25*C25-E25-F25)</f>
        <v>20902.259999999998</v>
      </c>
      <c r="P25"/>
      <c r="Q25"/>
      <c r="R25"/>
    </row>
    <row r="26" spans="1:24" x14ac:dyDescent="0.25">
      <c r="A26" s="7">
        <v>0</v>
      </c>
      <c r="B26" s="57">
        <v>0</v>
      </c>
      <c r="C26" s="8">
        <v>0</v>
      </c>
      <c r="D26" s="11">
        <f t="shared" si="2"/>
        <v>0</v>
      </c>
      <c r="E26" s="9">
        <v>0</v>
      </c>
      <c r="F26" s="9">
        <v>0</v>
      </c>
      <c r="H26" s="12">
        <f t="shared" si="3"/>
        <v>0</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1900</v>
      </c>
      <c r="B36" s="58" cm="1">
        <f t="array" ref="B36">SUM(B25:B35/A37)</f>
        <v>11.01</v>
      </c>
      <c r="C36" s="15" cm="1">
        <f t="array" ref="C36">SUM(C25:C35/A37)</f>
        <v>11.01</v>
      </c>
      <c r="D36" s="16">
        <f>SUM(D25:D35)</f>
        <v>20919</v>
      </c>
      <c r="E36" s="16">
        <f>SUM(E25:E35)</f>
        <v>16.739999999999998</v>
      </c>
      <c r="F36" s="17">
        <f>SUM(F25:F35)</f>
        <v>0</v>
      </c>
      <c r="H36" s="13">
        <f>SUM(H25:H35)</f>
        <v>20902.259999999998</v>
      </c>
    </row>
    <row r="37" spans="1:8" x14ac:dyDescent="0.25">
      <c r="A37">
        <f>COUNTIF(A25:A35, "&gt;0")</f>
        <v>1</v>
      </c>
      <c r="B37"/>
    </row>
    <row r="38" spans="1:8" x14ac:dyDescent="0.25">
      <c r="H38" s="19">
        <f>(H36-H19)</f>
        <v>-280.67000000000189</v>
      </c>
    </row>
    <row r="39" spans="1:8" x14ac:dyDescent="0.25">
      <c r="D39" s="1" t="s">
        <v>20</v>
      </c>
    </row>
    <row r="40" spans="1:8" x14ac:dyDescent="0.25">
      <c r="A40" s="10" t="s">
        <v>11</v>
      </c>
      <c r="B40" s="10"/>
      <c r="D40" s="18">
        <f>IF(H1="LARGO",D36-D19,D19-D36)</f>
        <v>247</v>
      </c>
      <c r="E40" s="19">
        <f>(E19+E36)</f>
        <v>33.67</v>
      </c>
      <c r="F40" s="19">
        <f>(F19+F36)</f>
        <v>0</v>
      </c>
      <c r="H40" s="20">
        <f>(H38-F42)</f>
        <v>-494.00000000000188</v>
      </c>
    </row>
    <row r="41" spans="1:8" x14ac:dyDescent="0.25">
      <c r="A41" s="10"/>
      <c r="B41" s="10"/>
      <c r="D41" s="19"/>
      <c r="E41" s="19">
        <f>(E40+F40)</f>
        <v>33.67</v>
      </c>
      <c r="F41" s="19"/>
      <c r="G41" s="19"/>
      <c r="H41" s="20"/>
    </row>
    <row r="42" spans="1:8" x14ac:dyDescent="0.25">
      <c r="A42" s="10"/>
      <c r="B42" s="10"/>
      <c r="D42" s="19"/>
      <c r="E42" s="56" t="s">
        <v>55</v>
      </c>
      <c r="F42" s="18">
        <f>(D40-E40-F40)</f>
        <v>213.32999999999998</v>
      </c>
      <c r="G42" s="19"/>
      <c r="H42" s="20"/>
    </row>
  </sheetData>
  <mergeCells count="7">
    <mergeCell ref="E5:F5"/>
    <mergeCell ref="I1:N1"/>
    <mergeCell ref="P1:R1"/>
    <mergeCell ref="T1:X1"/>
    <mergeCell ref="B3:C3"/>
    <mergeCell ref="P3:R3"/>
    <mergeCell ref="B4:C4"/>
  </mergeCells>
  <dataValidations count="2">
    <dataValidation type="list" allowBlank="1" showInputMessage="1" showErrorMessage="1" sqref="V6" xr:uid="{97382F22-F6F7-4134-9856-96360DD19761}">
      <formula1>$Q$4:$Q$7</formula1>
    </dataValidation>
    <dataValidation type="list" allowBlank="1" showInputMessage="1" showErrorMessage="1" sqref="H1" xr:uid="{D5E23340-6708-4802-8044-6EBAEF352DAA}">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E129B1E8-4F76-4B2E-874E-09E2E9504977}">
          <x14:formula1>
            <xm:f>GENERAL!$W$5:$W$53</xm:f>
          </x14:formula1>
          <xm:sqref>B3:C3</xm:sqref>
        </x14:dataValidation>
        <x14:dataValidation type="list" allowBlank="1" showInputMessage="1" showErrorMessage="1" xr:uid="{9DA82AEE-22B2-48B3-8A33-88CDAB6D0452}">
          <x14:formula1>
            <xm:f>GENERAL!$S$5:$S$20</xm:f>
          </x14:formula1>
          <xm:sqref>B4:C4</xm:sqref>
        </x14:dataValidation>
        <x14:dataValidation type="list" allowBlank="1" showInputMessage="1" showErrorMessage="1" xr:uid="{1D902E21-944F-4E65-B81F-47091E1F9851}">
          <x14:formula1>
            <xm:f>GENERAL!$AH$2:$AJ$2</xm:f>
          </x14:formula1>
          <xm:sqref>F4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EEF7-660D-45B5-9BA3-029CFC484A8F}">
  <dimension ref="A1:X42"/>
  <sheetViews>
    <sheetView zoomScale="85" zoomScaleNormal="85" zoomScalePageLayoutView="85" workbookViewId="0">
      <selection activeCell="E27" sqref="E27"/>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22010</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t="s">
        <v>249</v>
      </c>
      <c r="C2" s="164"/>
      <c r="D2" s="63"/>
      <c r="E2" s="166" t="s">
        <v>106</v>
      </c>
      <c r="F2" s="165"/>
    </row>
    <row r="3" spans="1:24" x14ac:dyDescent="0.25">
      <c r="A3" s="62" t="s">
        <v>94</v>
      </c>
      <c r="B3" s="222" t="s">
        <v>227</v>
      </c>
      <c r="C3" s="221"/>
      <c r="I3" s="1" t="s">
        <v>2</v>
      </c>
      <c r="J3" s="1">
        <v>0</v>
      </c>
      <c r="P3" s="223" t="s">
        <v>36</v>
      </c>
      <c r="Q3" s="223"/>
      <c r="R3" s="223"/>
      <c r="T3" s="1" t="s">
        <v>225</v>
      </c>
      <c r="U3" s="181">
        <v>3711.6</v>
      </c>
    </row>
    <row r="4" spans="1:24" x14ac:dyDescent="0.25">
      <c r="A4" s="62" t="s">
        <v>25</v>
      </c>
      <c r="B4" s="222" t="s">
        <v>82</v>
      </c>
      <c r="C4" s="221"/>
      <c r="D4" s="2"/>
      <c r="E4" s="166" t="s">
        <v>195</v>
      </c>
      <c r="F4" s="196" t="s">
        <v>218</v>
      </c>
      <c r="I4" s="1" t="s">
        <v>29</v>
      </c>
      <c r="J4" t="e" cm="1" vm="5">
        <f t="array" ref="J4">_FV(J3,"Símbolo bursátil",TRUE)</f>
        <v>#VALUE!</v>
      </c>
      <c r="P4" s="168" t="s">
        <v>37</v>
      </c>
      <c r="Q4" s="168" t="s">
        <v>37</v>
      </c>
      <c r="R4" s="30">
        <v>1</v>
      </c>
      <c r="T4" s="1" t="s">
        <v>219</v>
      </c>
      <c r="U4" s="192">
        <f>A8</f>
        <v>2000</v>
      </c>
    </row>
    <row r="5" spans="1:24" x14ac:dyDescent="0.25">
      <c r="A5" s="3" t="s">
        <v>1</v>
      </c>
      <c r="B5" s="199" t="str">
        <f>IF(H1="CORTO", "Venta", "Compra")</f>
        <v>Venta</v>
      </c>
      <c r="D5" s="166" t="s">
        <v>239</v>
      </c>
      <c r="E5" s="220">
        <v>5013048294</v>
      </c>
      <c r="F5" s="221"/>
      <c r="I5" s="1" t="s">
        <v>28</v>
      </c>
      <c r="J5" t="e" cm="1" vm="6">
        <f t="array" ref="J5">_FV(J3,"Abreviatura de intercambio",TRUE)</f>
        <v>#VALUE!</v>
      </c>
      <c r="P5" t="e" vm="2">
        <v>#VALUE!</v>
      </c>
      <c r="Q5" s="31" t="s">
        <v>38</v>
      </c>
      <c r="R5" s="32" cm="1">
        <f t="array" ref="R5">_FV(P5,"Precio")</f>
        <v>1.073</v>
      </c>
    </row>
    <row r="6" spans="1:24" x14ac:dyDescent="0.25">
      <c r="A6" s="21" t="s">
        <v>0</v>
      </c>
      <c r="B6" s="4">
        <v>44698</v>
      </c>
      <c r="I6" s="1" t="s">
        <v>30</v>
      </c>
      <c r="J6" t="e" cm="1" vm="7">
        <f t="array" ref="J6">_FV(J3,"Moneda")</f>
        <v>#VALUE!</v>
      </c>
      <c r="P6" t="e" vm="3">
        <v>#VALUE!</v>
      </c>
      <c r="Q6" s="31" t="s">
        <v>39</v>
      </c>
      <c r="R6" s="33" cm="1">
        <f t="array" ref="R6">_FV(P6,"Precio")</f>
        <v>0.88790000000000002</v>
      </c>
      <c r="T6" s="1" t="s">
        <v>14</v>
      </c>
      <c r="U6" s="26">
        <v>9.4949999999999992</v>
      </c>
      <c r="V6" s="183" t="s">
        <v>37</v>
      </c>
      <c r="W6" s="185">
        <f>IF($X$6="","",$U$6/VLOOKUP($V$6,$Q$4:$R$30,2,0))</f>
        <v>9.4949999999999992</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18990</v>
      </c>
      <c r="V7" t="str">
        <f>V6</f>
        <v>EUR</v>
      </c>
      <c r="W7" s="185">
        <f>IF($X$7="","",$U$7/VLOOKUP($V$7,$Q$4:$R$30,2,0))</f>
        <v>18990</v>
      </c>
      <c r="X7" s="1" t="s">
        <v>37</v>
      </c>
    </row>
    <row r="8" spans="1:24" x14ac:dyDescent="0.25">
      <c r="A8" s="7">
        <v>2000</v>
      </c>
      <c r="B8" s="202">
        <v>9.4960000000000004</v>
      </c>
      <c r="C8" s="203">
        <v>9.4960000000000004</v>
      </c>
      <c r="D8" s="11">
        <f t="shared" ref="D8:D18" si="0">(A8*C8)</f>
        <v>18992</v>
      </c>
      <c r="E8" s="9">
        <v>15.19</v>
      </c>
      <c r="F8" s="9">
        <v>0</v>
      </c>
      <c r="H8" s="12">
        <f t="shared" ref="H8:H18" si="1">(A8*C8+E8+F8)</f>
        <v>19007.189999999999</v>
      </c>
      <c r="I8" s="1" t="s">
        <v>14</v>
      </c>
      <c r="J8" s="186" t="e" cm="1" vm="8">
        <f t="array" ref="J8">_FV(J3,"Precio")</f>
        <v>#VALUE!</v>
      </c>
      <c r="K8" s="27" t="e" vm="9">
        <f>J6</f>
        <v>#VALUE!</v>
      </c>
      <c r="L8" s="28" t="e" vm="9">
        <f>IF($M$8="","",$J$8/VLOOKUP($J$6,$Q$4:$R$30,2,0))</f>
        <v>#VALUE!</v>
      </c>
      <c r="M8" s="1" t="s">
        <v>37</v>
      </c>
      <c r="P8"/>
      <c r="Q8"/>
      <c r="R8"/>
      <c r="T8" s="1" t="s">
        <v>11</v>
      </c>
      <c r="U8" s="172">
        <f>IF($H$1="LARGO",$U$7-$D$19,$D$19-$U$7)</f>
        <v>2</v>
      </c>
      <c r="V8" t="str">
        <f>V6</f>
        <v>EUR</v>
      </c>
      <c r="W8" s="185">
        <f>IF($X$8="","",$U$8/VLOOKUP($V$8,$Q$4:$R$30,2,0))</f>
        <v>2</v>
      </c>
      <c r="X8" s="1" t="s">
        <v>37</v>
      </c>
    </row>
    <row r="9" spans="1:24" x14ac:dyDescent="0.25">
      <c r="A9" s="7">
        <v>0</v>
      </c>
      <c r="B9" s="57">
        <v>0</v>
      </c>
      <c r="C9" s="8">
        <v>0</v>
      </c>
      <c r="D9" s="11">
        <f t="shared" si="0"/>
        <v>0</v>
      </c>
      <c r="E9" s="9">
        <v>1.61</v>
      </c>
      <c r="F9" s="9">
        <v>0</v>
      </c>
      <c r="H9" s="12">
        <f t="shared" si="1"/>
        <v>1.61</v>
      </c>
      <c r="I9" s="1" t="s">
        <v>31</v>
      </c>
      <c r="J9" s="187" t="e" cm="1" vm="10">
        <f t="array" ref="J9">_FV(J3,"Cambio (%)",TRUE)</f>
        <v>#VALUE!</v>
      </c>
      <c r="P9"/>
      <c r="Q9"/>
      <c r="R9"/>
      <c r="U9" s="172"/>
      <c r="V9"/>
      <c r="W9" s="185"/>
    </row>
    <row r="10" spans="1:24" x14ac:dyDescent="0.25">
      <c r="A10" s="7">
        <v>0</v>
      </c>
      <c r="B10" s="57">
        <v>0</v>
      </c>
      <c r="C10" s="8">
        <v>0</v>
      </c>
      <c r="D10" s="11">
        <f t="shared" si="0"/>
        <v>0</v>
      </c>
      <c r="E10" s="9">
        <v>1.6</v>
      </c>
      <c r="F10" s="9">
        <v>0</v>
      </c>
      <c r="H10" s="12">
        <f t="shared" si="1"/>
        <v>1.6</v>
      </c>
      <c r="P10"/>
      <c r="Q10"/>
      <c r="R10"/>
    </row>
    <row r="11" spans="1:24" x14ac:dyDescent="0.25">
      <c r="A11" s="7">
        <v>0</v>
      </c>
      <c r="B11" s="57">
        <v>0</v>
      </c>
      <c r="C11" s="8">
        <v>0</v>
      </c>
      <c r="D11" s="11">
        <f t="shared" si="0"/>
        <v>0</v>
      </c>
      <c r="E11" s="9">
        <v>0</v>
      </c>
      <c r="F11" s="9">
        <v>0</v>
      </c>
      <c r="H11" s="12">
        <f t="shared" si="1"/>
        <v>0</v>
      </c>
      <c r="I11" s="1" t="s">
        <v>32</v>
      </c>
      <c r="J11" s="53" t="e" cm="1" vm="11">
        <f t="array" ref="J11">_FV(J3,"Apertura")</f>
        <v>#VALUE!</v>
      </c>
      <c r="P11"/>
      <c r="Q11"/>
      <c r="R11"/>
      <c r="T11" s="1" t="s">
        <v>42</v>
      </c>
      <c r="U11" s="201">
        <v>9.6999999999999993</v>
      </c>
      <c r="V11" t="str">
        <f>V6</f>
        <v>EUR</v>
      </c>
      <c r="W11" s="185">
        <f>IF($X$11="","",$U$11/VLOOKUP($V$11,$Q$4:$R$30,2,0))</f>
        <v>9.6999999999999993</v>
      </c>
      <c r="X11" s="1" t="s">
        <v>37</v>
      </c>
    </row>
    <row r="12" spans="1:24" x14ac:dyDescent="0.25">
      <c r="A12" s="7">
        <v>0</v>
      </c>
      <c r="B12" s="57">
        <v>0</v>
      </c>
      <c r="C12" s="8">
        <v>0</v>
      </c>
      <c r="D12" s="11">
        <f t="shared" si="0"/>
        <v>0</v>
      </c>
      <c r="E12" s="9">
        <v>0</v>
      </c>
      <c r="F12" s="9">
        <v>0</v>
      </c>
      <c r="H12" s="12">
        <f t="shared" si="1"/>
        <v>0</v>
      </c>
      <c r="I12" s="1" t="s">
        <v>33</v>
      </c>
      <c r="J12" s="53" t="e" cm="1" vm="12">
        <f t="array" ref="J12">_FV(J3,"Máximo")</f>
        <v>#VALUE!</v>
      </c>
      <c r="P12"/>
      <c r="Q12"/>
      <c r="R12"/>
      <c r="U12" s="193">
        <f>(U11*$U$4)</f>
        <v>19400</v>
      </c>
      <c r="V12" t="str">
        <f>V11</f>
        <v>EUR</v>
      </c>
      <c r="W12" s="185">
        <f>IF($X$12="","",$U$12/VLOOKUP($V$12,$Q$4:$R$30,2,0))</f>
        <v>19400</v>
      </c>
      <c r="X12" s="1" t="s">
        <v>37</v>
      </c>
    </row>
    <row r="13" spans="1:24" x14ac:dyDescent="0.25">
      <c r="A13" s="7">
        <v>0</v>
      </c>
      <c r="B13" s="57">
        <v>0</v>
      </c>
      <c r="C13" s="8">
        <v>0</v>
      </c>
      <c r="D13" s="11">
        <f t="shared" si="0"/>
        <v>0</v>
      </c>
      <c r="E13" s="9">
        <v>0</v>
      </c>
      <c r="F13" s="9">
        <v>0</v>
      </c>
      <c r="H13" s="12">
        <f t="shared" si="1"/>
        <v>0</v>
      </c>
      <c r="I13" s="1" t="s">
        <v>34</v>
      </c>
      <c r="J13" s="53" t="e" cm="1" vm="13">
        <f t="array" ref="J13">_FV(J3,"Mínimo")</f>
        <v>#VALUE!</v>
      </c>
      <c r="P13"/>
      <c r="Q13"/>
      <c r="R13"/>
      <c r="T13" s="1" t="s">
        <v>11</v>
      </c>
      <c r="U13" s="172">
        <f>IF($H$1="LARGO",$U$12-$D$19,$D$19-$U$12)</f>
        <v>-408</v>
      </c>
      <c r="V13" t="str">
        <f>V11</f>
        <v>EUR</v>
      </c>
      <c r="W13" s="185">
        <f>IF($X$13="","",$U$13/VLOOKUP($V$13,$Q$4:$R$30,2,0))</f>
        <v>-408</v>
      </c>
      <c r="X13" s="1" t="s">
        <v>37</v>
      </c>
    </row>
    <row r="14" spans="1:24" x14ac:dyDescent="0.25">
      <c r="A14" s="7">
        <v>0</v>
      </c>
      <c r="B14" s="57">
        <v>0</v>
      </c>
      <c r="C14" s="8">
        <v>0</v>
      </c>
      <c r="D14" s="11">
        <f t="shared" si="0"/>
        <v>0</v>
      </c>
      <c r="E14" s="9">
        <v>0</v>
      </c>
      <c r="F14" s="9">
        <v>0</v>
      </c>
      <c r="H14" s="12">
        <f t="shared" si="1"/>
        <v>0</v>
      </c>
      <c r="I14" s="1" t="s">
        <v>35</v>
      </c>
      <c r="J14" s="53" t="e" cm="1" vm="14">
        <f t="array" ref="J14">_FV(J3,"Cierre anterior",TRUE)</f>
        <v>#VALUE!</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201">
        <v>8.84</v>
      </c>
      <c r="V16" t="str">
        <f>V11</f>
        <v>EUR</v>
      </c>
      <c r="W16" s="185">
        <f>IF($X$16="","",$U$16/VLOOKUP($V$16,$Q$4:$R$30,2,0))</f>
        <v>8.84</v>
      </c>
      <c r="X16" s="1" t="s">
        <v>37</v>
      </c>
    </row>
    <row r="17" spans="1:24" x14ac:dyDescent="0.25">
      <c r="A17" s="7">
        <v>0</v>
      </c>
      <c r="B17" s="57">
        <v>0</v>
      </c>
      <c r="C17" s="8">
        <v>0</v>
      </c>
      <c r="D17" s="11">
        <f t="shared" si="0"/>
        <v>0</v>
      </c>
      <c r="E17" s="9">
        <v>0</v>
      </c>
      <c r="F17" s="9">
        <v>0</v>
      </c>
      <c r="H17" s="12">
        <f t="shared" si="1"/>
        <v>0</v>
      </c>
      <c r="P17"/>
      <c r="Q17"/>
      <c r="R17"/>
      <c r="U17" s="193">
        <f>(U16*$U$4)</f>
        <v>17680</v>
      </c>
      <c r="V17" t="str">
        <f>V16</f>
        <v>EUR</v>
      </c>
      <c r="W17" s="185">
        <f>IF($X$17="","",$U$17/VLOOKUP($V$17,$Q$4:$R$30,2,0))</f>
        <v>17680</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1312</v>
      </c>
      <c r="V18" t="str">
        <f>V16</f>
        <v>EUR</v>
      </c>
      <c r="W18" s="185">
        <f>IF($X$18="","",$U$18/VLOOKUP($V$18,$Q$4:$R$30,2,0))</f>
        <v>1312</v>
      </c>
      <c r="X18" s="1" t="s">
        <v>37</v>
      </c>
    </row>
    <row r="19" spans="1:24" x14ac:dyDescent="0.25">
      <c r="A19" s="14">
        <f>SUM(A8:A18)</f>
        <v>2000</v>
      </c>
      <c r="B19" s="16" cm="1">
        <f t="array" ref="B19">SUM(B8:B18/A20)</f>
        <v>9.4960000000000004</v>
      </c>
      <c r="C19" s="16" cm="1">
        <f t="array" ref="C19">SUM(C8:C18/A20)</f>
        <v>9.4960000000000004</v>
      </c>
      <c r="D19" s="16">
        <f>SUM(D8:D18)</f>
        <v>18992</v>
      </c>
      <c r="E19" s="16">
        <f>SUM(E8:E18)</f>
        <v>18.400000000000002</v>
      </c>
      <c r="F19" s="17">
        <f>SUM(F8:F18)</f>
        <v>0</v>
      </c>
      <c r="H19" s="13">
        <f>SUM(H8:H18)</f>
        <v>19010.399999999998</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200" t="str">
        <f>IF(B5="Venta", "Compra", "Venta")</f>
        <v>Compra</v>
      </c>
      <c r="P22"/>
      <c r="Q22"/>
      <c r="R22"/>
    </row>
    <row r="23" spans="1:24" x14ac:dyDescent="0.25">
      <c r="A23" s="21" t="s">
        <v>0</v>
      </c>
      <c r="B23" s="4">
        <v>44700</v>
      </c>
      <c r="P23"/>
      <c r="Q23"/>
      <c r="R23"/>
    </row>
    <row r="24" spans="1:24" x14ac:dyDescent="0.25">
      <c r="A24" s="5" t="s">
        <v>219</v>
      </c>
      <c r="B24" s="5" t="s">
        <v>8</v>
      </c>
      <c r="C24" s="5" t="s">
        <v>52</v>
      </c>
      <c r="D24" s="6" t="s">
        <v>9</v>
      </c>
      <c r="E24" s="6" t="s">
        <v>10</v>
      </c>
      <c r="F24" s="6" t="s">
        <v>5</v>
      </c>
      <c r="P24"/>
      <c r="Q24"/>
      <c r="R24"/>
    </row>
    <row r="25" spans="1:24" x14ac:dyDescent="0.25">
      <c r="A25" s="7">
        <v>1226</v>
      </c>
      <c r="B25" s="57">
        <v>9.4440000000000008</v>
      </c>
      <c r="C25" s="8">
        <v>9.4440000000000008</v>
      </c>
      <c r="D25" s="11">
        <f t="shared" ref="D25:D35" si="2">(A25*C25)</f>
        <v>11578.344000000001</v>
      </c>
      <c r="E25" s="9">
        <v>9.26</v>
      </c>
      <c r="F25" s="9">
        <v>0</v>
      </c>
      <c r="H25" s="12">
        <f t="shared" ref="H25:H35" si="3">(A25*C25-E25-F25)</f>
        <v>11569.084000000001</v>
      </c>
      <c r="P25"/>
      <c r="Q25"/>
      <c r="R25"/>
    </row>
    <row r="26" spans="1:24" x14ac:dyDescent="0.25">
      <c r="A26" s="7">
        <v>774</v>
      </c>
      <c r="B26" s="57">
        <v>9.4429999999999996</v>
      </c>
      <c r="C26" s="8">
        <v>9.4429999999999996</v>
      </c>
      <c r="D26" s="11">
        <f t="shared" si="2"/>
        <v>7308.8819999999996</v>
      </c>
      <c r="E26" s="9">
        <v>5.85</v>
      </c>
      <c r="F26" s="9">
        <v>0</v>
      </c>
      <c r="H26" s="12">
        <f t="shared" si="3"/>
        <v>7303.0319999999992</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2000</v>
      </c>
      <c r="B36" s="58" cm="1">
        <f t="array" ref="B36">SUM(B25:B35/A37)</f>
        <v>9.4435000000000002</v>
      </c>
      <c r="C36" s="15" cm="1">
        <f t="array" ref="C36">SUM(C25:C35/A37)</f>
        <v>9.4435000000000002</v>
      </c>
      <c r="D36" s="16">
        <f>SUM(D25:D35)</f>
        <v>18887.226000000002</v>
      </c>
      <c r="E36" s="16">
        <f>SUM(E25:E35)</f>
        <v>15.11</v>
      </c>
      <c r="F36" s="17">
        <f>SUM(F25:F35)</f>
        <v>0</v>
      </c>
      <c r="H36" s="13">
        <f>SUM(H25:H35)</f>
        <v>18872.116000000002</v>
      </c>
    </row>
    <row r="37" spans="1:8" x14ac:dyDescent="0.25">
      <c r="A37">
        <f>COUNTIF(A25:A35, "&gt;0")</f>
        <v>2</v>
      </c>
      <c r="B37"/>
    </row>
    <row r="38" spans="1:8" x14ac:dyDescent="0.25">
      <c r="H38" s="19">
        <f>(H36-H19)</f>
        <v>-138.28399999999601</v>
      </c>
    </row>
    <row r="39" spans="1:8" x14ac:dyDescent="0.25">
      <c r="D39" s="1" t="s">
        <v>20</v>
      </c>
    </row>
    <row r="40" spans="1:8" x14ac:dyDescent="0.25">
      <c r="A40" s="10" t="s">
        <v>11</v>
      </c>
      <c r="B40" s="10"/>
      <c r="D40" s="18">
        <f>IF(H1="LARGO",D36-D19,D19-D36)</f>
        <v>104.77399999999761</v>
      </c>
      <c r="E40" s="19">
        <f>(E19+E36)</f>
        <v>33.510000000000005</v>
      </c>
      <c r="F40" s="19">
        <f>(F19+F36)</f>
        <v>0</v>
      </c>
      <c r="H40" s="20">
        <f>(H38-F42)</f>
        <v>-209.54799999999364</v>
      </c>
    </row>
    <row r="41" spans="1:8" x14ac:dyDescent="0.25">
      <c r="A41" s="10"/>
      <c r="B41" s="10"/>
      <c r="D41" s="19"/>
      <c r="E41" s="19">
        <f>(E40+F40)</f>
        <v>33.510000000000005</v>
      </c>
      <c r="F41" s="19"/>
      <c r="G41" s="19"/>
      <c r="H41" s="20"/>
    </row>
    <row r="42" spans="1:8" x14ac:dyDescent="0.25">
      <c r="A42" s="10"/>
      <c r="B42" s="10"/>
      <c r="D42" s="19"/>
      <c r="E42" s="56" t="s">
        <v>55</v>
      </c>
      <c r="F42" s="18">
        <f>(D40-E40-F40)</f>
        <v>71.263999999997608</v>
      </c>
      <c r="G42" s="19"/>
      <c r="H42" s="20"/>
    </row>
  </sheetData>
  <mergeCells count="7">
    <mergeCell ref="E5:F5"/>
    <mergeCell ref="I1:N1"/>
    <mergeCell ref="P1:R1"/>
    <mergeCell ref="T1:X1"/>
    <mergeCell ref="B3:C3"/>
    <mergeCell ref="P3:R3"/>
    <mergeCell ref="B4:C4"/>
  </mergeCells>
  <dataValidations count="2">
    <dataValidation type="list" allowBlank="1" showInputMessage="1" showErrorMessage="1" sqref="V6" xr:uid="{2F93A87B-C2E8-4DE5-9135-986E914583B9}">
      <formula1>$Q$4:$Q$7</formula1>
    </dataValidation>
    <dataValidation type="list" allowBlank="1" showInputMessage="1" showErrorMessage="1" sqref="H1" xr:uid="{C0672557-9202-47B7-BF81-08EC2AFE5621}">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C895598-9102-424C-9177-4267E16A2161}">
          <x14:formula1>
            <xm:f>GENERAL!$W$5:$W$53</xm:f>
          </x14:formula1>
          <xm:sqref>B3:C3</xm:sqref>
        </x14:dataValidation>
        <x14:dataValidation type="list" allowBlank="1" showInputMessage="1" showErrorMessage="1" xr:uid="{82FB29CE-01F7-4A9C-9DC3-1D160CC588D3}">
          <x14:formula1>
            <xm:f>GENERAL!$S$5:$S$20</xm:f>
          </x14:formula1>
          <xm:sqref>B4:C4</xm:sqref>
        </x14:dataValidation>
        <x14:dataValidation type="list" allowBlank="1" showInputMessage="1" showErrorMessage="1" xr:uid="{26784863-E274-4A78-B5F4-752681BA8299}">
          <x14:formula1>
            <xm:f>GENERAL!$AH$2:$AJ$2</xm:f>
          </x14:formula1>
          <xm:sqref>F4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71439-2F9E-4D3A-961D-4F86A2AD1837}">
  <dimension ref="A1:X42"/>
  <sheetViews>
    <sheetView zoomScale="85" zoomScaleNormal="85" zoomScalePageLayoutView="85" workbookViewId="0">
      <selection activeCell="E26" sqref="E26"/>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22009</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t="s">
        <v>249</v>
      </c>
      <c r="C2" s="164"/>
      <c r="D2" s="63"/>
      <c r="E2" s="166" t="s">
        <v>106</v>
      </c>
      <c r="F2" s="165"/>
    </row>
    <row r="3" spans="1:24" x14ac:dyDescent="0.25">
      <c r="A3" s="62" t="s">
        <v>94</v>
      </c>
      <c r="B3" s="222" t="s">
        <v>227</v>
      </c>
      <c r="C3" s="221"/>
      <c r="I3" s="1" t="s">
        <v>2</v>
      </c>
      <c r="J3" s="1">
        <v>0</v>
      </c>
      <c r="P3" s="223" t="s">
        <v>36</v>
      </c>
      <c r="Q3" s="223"/>
      <c r="R3" s="223"/>
      <c r="T3" s="1" t="s">
        <v>225</v>
      </c>
      <c r="U3" s="181">
        <v>3711.6</v>
      </c>
    </row>
    <row r="4" spans="1:24" x14ac:dyDescent="0.25">
      <c r="A4" s="62" t="s">
        <v>25</v>
      </c>
      <c r="B4" s="222" t="s">
        <v>82</v>
      </c>
      <c r="C4" s="221"/>
      <c r="D4" s="2"/>
      <c r="E4" s="166" t="s">
        <v>195</v>
      </c>
      <c r="F4" s="196" t="s">
        <v>218</v>
      </c>
      <c r="I4" s="1" t="s">
        <v>29</v>
      </c>
      <c r="J4" t="e" cm="1" vm="5">
        <f t="array" ref="J4">_FV(J3,"Símbolo bursátil",TRUE)</f>
        <v>#VALUE!</v>
      </c>
      <c r="P4" s="168" t="s">
        <v>37</v>
      </c>
      <c r="Q4" s="168" t="s">
        <v>37</v>
      </c>
      <c r="R4" s="30">
        <v>1</v>
      </c>
      <c r="T4" s="1" t="s">
        <v>219</v>
      </c>
      <c r="U4" s="192">
        <f>A8</f>
        <v>2000</v>
      </c>
    </row>
    <row r="5" spans="1:24" x14ac:dyDescent="0.25">
      <c r="A5" s="3" t="s">
        <v>1</v>
      </c>
      <c r="B5" s="199" t="str">
        <f>IF(H1="CORTO", "Venta", "Compra")</f>
        <v>Venta</v>
      </c>
      <c r="D5" s="166" t="s">
        <v>239</v>
      </c>
      <c r="E5" s="220">
        <v>5012728023</v>
      </c>
      <c r="F5" s="221"/>
      <c r="I5" s="1" t="s">
        <v>28</v>
      </c>
      <c r="J5" t="e" cm="1" vm="6">
        <f t="array" ref="J5">_FV(J3,"Abreviatura de intercambio",TRUE)</f>
        <v>#VALUE!</v>
      </c>
      <c r="P5" t="e" vm="2">
        <v>#VALUE!</v>
      </c>
      <c r="Q5" s="31" t="s">
        <v>38</v>
      </c>
      <c r="R5" s="32" cm="1">
        <f t="array" ref="R5">_FV(P5,"Precio")</f>
        <v>1.073</v>
      </c>
    </row>
    <row r="6" spans="1:24" x14ac:dyDescent="0.25">
      <c r="A6" s="21" t="s">
        <v>0</v>
      </c>
      <c r="B6" s="4">
        <v>44697</v>
      </c>
      <c r="I6" s="1" t="s">
        <v>30</v>
      </c>
      <c r="J6" t="e" cm="1" vm="7">
        <f t="array" ref="J6">_FV(J3,"Moneda")</f>
        <v>#VALUE!</v>
      </c>
      <c r="P6" t="e" vm="3">
        <v>#VALUE!</v>
      </c>
      <c r="Q6" s="31" t="s">
        <v>39</v>
      </c>
      <c r="R6" s="33" cm="1">
        <f t="array" ref="R6">_FV(P6,"Precio")</f>
        <v>0.88790000000000002</v>
      </c>
      <c r="T6" s="1" t="s">
        <v>14</v>
      </c>
      <c r="U6" s="26">
        <v>9.3059999999999992</v>
      </c>
      <c r="V6" s="183" t="s">
        <v>37</v>
      </c>
      <c r="W6" s="185">
        <f>IF($X$6="","",$U$6/VLOOKUP($V$6,$Q$4:$R$30,2,0))</f>
        <v>9.3059999999999992</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18612</v>
      </c>
      <c r="V7" t="str">
        <f>V6</f>
        <v>EUR</v>
      </c>
      <c r="W7" s="185">
        <f>IF($X$7="","",$U$7/VLOOKUP($V$7,$Q$4:$R$30,2,0))</f>
        <v>18612</v>
      </c>
      <c r="X7" s="1" t="s">
        <v>37</v>
      </c>
    </row>
    <row r="8" spans="1:24" x14ac:dyDescent="0.25">
      <c r="A8" s="7">
        <v>2000</v>
      </c>
      <c r="B8" s="202">
        <v>9.2789999999999999</v>
      </c>
      <c r="C8" s="203">
        <v>9.2789999999999999</v>
      </c>
      <c r="D8" s="11">
        <f t="shared" ref="D8:D18" si="0">(A8*C8)</f>
        <v>18558</v>
      </c>
      <c r="E8" s="9">
        <v>14.85</v>
      </c>
      <c r="F8" s="9">
        <v>0</v>
      </c>
      <c r="H8" s="12">
        <f t="shared" ref="H8:H18" si="1">(A8*C8+E8+F8)</f>
        <v>18572.849999999999</v>
      </c>
      <c r="I8" s="1" t="s">
        <v>14</v>
      </c>
      <c r="J8" s="186" t="e" cm="1" vm="8">
        <f t="array" ref="J8">_FV(J3,"Precio")</f>
        <v>#VALUE!</v>
      </c>
      <c r="K8" s="27" t="e" vm="9">
        <f>J6</f>
        <v>#VALUE!</v>
      </c>
      <c r="L8" s="28" t="e" vm="9">
        <f>IF($M$8="","",$J$8/VLOOKUP($J$6,$Q$4:$R$30,2,0))</f>
        <v>#VALUE!</v>
      </c>
      <c r="M8" s="1" t="s">
        <v>37</v>
      </c>
      <c r="P8"/>
      <c r="Q8"/>
      <c r="R8"/>
      <c r="T8" s="1" t="s">
        <v>11</v>
      </c>
      <c r="U8" s="172">
        <f>IF($H$1="LARGO",$U$7-$D$19,$D$19-$U$7)</f>
        <v>-54</v>
      </c>
      <c r="V8" t="str">
        <f>V6</f>
        <v>EUR</v>
      </c>
      <c r="W8" s="185">
        <f>IF($X$8="","",$U$8/VLOOKUP($V$8,$Q$4:$R$30,2,0))</f>
        <v>-54</v>
      </c>
      <c r="X8" s="1" t="s">
        <v>37</v>
      </c>
    </row>
    <row r="9" spans="1:24" x14ac:dyDescent="0.25">
      <c r="A9" s="7">
        <v>0</v>
      </c>
      <c r="B9" s="57">
        <v>0</v>
      </c>
      <c r="C9" s="8">
        <v>0</v>
      </c>
      <c r="D9" s="11">
        <f t="shared" si="0"/>
        <v>0</v>
      </c>
      <c r="E9" s="9">
        <v>1.57</v>
      </c>
      <c r="F9" s="9">
        <v>0</v>
      </c>
      <c r="H9" s="12">
        <f t="shared" si="1"/>
        <v>1.57</v>
      </c>
      <c r="I9" s="1" t="s">
        <v>31</v>
      </c>
      <c r="J9" s="187" t="e" cm="1" vm="10">
        <f t="array" ref="J9">_FV(J3,"Cambio (%)",TRUE)</f>
        <v>#VALUE!</v>
      </c>
      <c r="P9"/>
      <c r="Q9"/>
      <c r="R9"/>
      <c r="U9" s="172"/>
      <c r="V9"/>
      <c r="W9" s="185"/>
    </row>
    <row r="10" spans="1:24" x14ac:dyDescent="0.25">
      <c r="A10" s="7">
        <v>0</v>
      </c>
      <c r="B10" s="57">
        <v>0</v>
      </c>
      <c r="C10" s="8">
        <v>0</v>
      </c>
      <c r="D10" s="11">
        <f t="shared" si="0"/>
        <v>0</v>
      </c>
      <c r="E10" s="9">
        <v>0</v>
      </c>
      <c r="F10" s="9">
        <v>0</v>
      </c>
      <c r="H10" s="12">
        <f t="shared" si="1"/>
        <v>0</v>
      </c>
      <c r="P10"/>
      <c r="Q10"/>
      <c r="R10"/>
    </row>
    <row r="11" spans="1:24" x14ac:dyDescent="0.25">
      <c r="A11" s="7">
        <v>0</v>
      </c>
      <c r="B11" s="57">
        <v>0</v>
      </c>
      <c r="C11" s="8">
        <v>0</v>
      </c>
      <c r="D11" s="11">
        <f t="shared" si="0"/>
        <v>0</v>
      </c>
      <c r="E11" s="9">
        <v>0</v>
      </c>
      <c r="F11" s="9">
        <v>0</v>
      </c>
      <c r="H11" s="12">
        <f t="shared" si="1"/>
        <v>0</v>
      </c>
      <c r="I11" s="1" t="s">
        <v>32</v>
      </c>
      <c r="J11" s="53" t="e" cm="1" vm="11">
        <f t="array" ref="J11">_FV(J3,"Apertura")</f>
        <v>#VALUE!</v>
      </c>
      <c r="P11"/>
      <c r="Q11"/>
      <c r="R11"/>
      <c r="T11" s="1" t="s">
        <v>42</v>
      </c>
      <c r="U11" s="201">
        <v>9.5</v>
      </c>
      <c r="V11" t="str">
        <f>V6</f>
        <v>EUR</v>
      </c>
      <c r="W11" s="185">
        <f>IF($X$11="","",$U$11/VLOOKUP($V$11,$Q$4:$R$30,2,0))</f>
        <v>9.5</v>
      </c>
      <c r="X11" s="1" t="s">
        <v>37</v>
      </c>
    </row>
    <row r="12" spans="1:24" x14ac:dyDescent="0.25">
      <c r="A12" s="7">
        <v>0</v>
      </c>
      <c r="B12" s="57">
        <v>0</v>
      </c>
      <c r="C12" s="8">
        <v>0</v>
      </c>
      <c r="D12" s="11">
        <f t="shared" si="0"/>
        <v>0</v>
      </c>
      <c r="E12" s="9">
        <v>0</v>
      </c>
      <c r="F12" s="9">
        <v>0</v>
      </c>
      <c r="H12" s="12">
        <f t="shared" si="1"/>
        <v>0</v>
      </c>
      <c r="I12" s="1" t="s">
        <v>33</v>
      </c>
      <c r="J12" s="53" t="e" cm="1" vm="12">
        <f t="array" ref="J12">_FV(J3,"Máximo")</f>
        <v>#VALUE!</v>
      </c>
      <c r="P12"/>
      <c r="Q12"/>
      <c r="R12"/>
      <c r="U12" s="193">
        <f>(U11*$U$4)</f>
        <v>19000</v>
      </c>
      <c r="V12" t="str">
        <f>V11</f>
        <v>EUR</v>
      </c>
      <c r="W12" s="185">
        <f>IF($X$12="","",$U$12/VLOOKUP($V$12,$Q$4:$R$30,2,0))</f>
        <v>19000</v>
      </c>
      <c r="X12" s="1" t="s">
        <v>37</v>
      </c>
    </row>
    <row r="13" spans="1:24" x14ac:dyDescent="0.25">
      <c r="A13" s="7">
        <v>0</v>
      </c>
      <c r="B13" s="57">
        <v>0</v>
      </c>
      <c r="C13" s="8">
        <v>0</v>
      </c>
      <c r="D13" s="11">
        <f t="shared" si="0"/>
        <v>0</v>
      </c>
      <c r="E13" s="9">
        <v>0</v>
      </c>
      <c r="F13" s="9">
        <v>0</v>
      </c>
      <c r="H13" s="12">
        <f t="shared" si="1"/>
        <v>0</v>
      </c>
      <c r="I13" s="1" t="s">
        <v>34</v>
      </c>
      <c r="J13" s="53" t="e" cm="1" vm="13">
        <f t="array" ref="J13">_FV(J3,"Mínimo")</f>
        <v>#VALUE!</v>
      </c>
      <c r="P13"/>
      <c r="Q13"/>
      <c r="R13"/>
      <c r="T13" s="1" t="s">
        <v>11</v>
      </c>
      <c r="U13" s="172">
        <f>IF($H$1="LARGO",$U$12-$D$19,$D$19-$U$12)</f>
        <v>-442</v>
      </c>
      <c r="V13" t="str">
        <f>V11</f>
        <v>EUR</v>
      </c>
      <c r="W13" s="185">
        <f>IF($X$13="","",$U$13/VLOOKUP($V$13,$Q$4:$R$30,2,0))</f>
        <v>-442</v>
      </c>
      <c r="X13" s="1" t="s">
        <v>37</v>
      </c>
    </row>
    <row r="14" spans="1:24" x14ac:dyDescent="0.25">
      <c r="A14" s="7">
        <v>0</v>
      </c>
      <c r="B14" s="57">
        <v>0</v>
      </c>
      <c r="C14" s="8">
        <v>0</v>
      </c>
      <c r="D14" s="11">
        <f t="shared" si="0"/>
        <v>0</v>
      </c>
      <c r="E14" s="9">
        <v>0</v>
      </c>
      <c r="F14" s="9">
        <v>0</v>
      </c>
      <c r="H14" s="12">
        <f t="shared" si="1"/>
        <v>0</v>
      </c>
      <c r="I14" s="1" t="s">
        <v>35</v>
      </c>
      <c r="J14" s="53" t="e" cm="1" vm="14">
        <f t="array" ref="J14">_FV(J3,"Cierre anterior",TRUE)</f>
        <v>#VALUE!</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201">
        <v>8.84</v>
      </c>
      <c r="V16" t="str">
        <f>V11</f>
        <v>EUR</v>
      </c>
      <c r="W16" s="185">
        <f>IF($X$16="","",$U$16/VLOOKUP($V$16,$Q$4:$R$30,2,0))</f>
        <v>8.84</v>
      </c>
      <c r="X16" s="1" t="s">
        <v>37</v>
      </c>
    </row>
    <row r="17" spans="1:24" x14ac:dyDescent="0.25">
      <c r="A17" s="7">
        <v>0</v>
      </c>
      <c r="B17" s="57">
        <v>0</v>
      </c>
      <c r="C17" s="8">
        <v>0</v>
      </c>
      <c r="D17" s="11">
        <f t="shared" si="0"/>
        <v>0</v>
      </c>
      <c r="E17" s="9">
        <v>0</v>
      </c>
      <c r="F17" s="9">
        <v>0</v>
      </c>
      <c r="H17" s="12">
        <f t="shared" si="1"/>
        <v>0</v>
      </c>
      <c r="P17"/>
      <c r="Q17"/>
      <c r="R17"/>
      <c r="U17" s="193">
        <f>(U16*$U$4)</f>
        <v>17680</v>
      </c>
      <c r="V17" t="str">
        <f>V16</f>
        <v>EUR</v>
      </c>
      <c r="W17" s="185">
        <f>IF($X$17="","",$U$17/VLOOKUP($V$17,$Q$4:$R$30,2,0))</f>
        <v>17680</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878</v>
      </c>
      <c r="V18" t="str">
        <f>V16</f>
        <v>EUR</v>
      </c>
      <c r="W18" s="185">
        <f>IF($X$18="","",$U$18/VLOOKUP($V$18,$Q$4:$R$30,2,0))</f>
        <v>878</v>
      </c>
      <c r="X18" s="1" t="s">
        <v>37</v>
      </c>
    </row>
    <row r="19" spans="1:24" x14ac:dyDescent="0.25">
      <c r="A19" s="14">
        <f>SUM(A8:A18)</f>
        <v>2000</v>
      </c>
      <c r="B19" s="16" cm="1">
        <f t="array" ref="B19">SUM(B8:B18/A20)</f>
        <v>9.2789999999999999</v>
      </c>
      <c r="C19" s="16" cm="1">
        <f t="array" ref="C19">SUM(C8:C18/A20)</f>
        <v>9.2789999999999999</v>
      </c>
      <c r="D19" s="16">
        <f>SUM(D8:D18)</f>
        <v>18558</v>
      </c>
      <c r="E19" s="16">
        <f>SUM(E8:E18)</f>
        <v>16.419999999999998</v>
      </c>
      <c r="F19" s="17">
        <f>SUM(F8:F18)</f>
        <v>0</v>
      </c>
      <c r="H19" s="13">
        <f>SUM(H8:H18)</f>
        <v>18574.419999999998</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200" t="str">
        <f>IF(B5="Venta", "Compra", "Venta")</f>
        <v>Compra</v>
      </c>
      <c r="P22"/>
      <c r="Q22"/>
      <c r="R22"/>
    </row>
    <row r="23" spans="1:24" x14ac:dyDescent="0.25">
      <c r="A23" s="21" t="s">
        <v>0</v>
      </c>
      <c r="B23" s="4">
        <v>44698</v>
      </c>
      <c r="P23"/>
      <c r="Q23"/>
      <c r="R23"/>
    </row>
    <row r="24" spans="1:24" x14ac:dyDescent="0.25">
      <c r="A24" s="5" t="s">
        <v>219</v>
      </c>
      <c r="B24" s="5" t="s">
        <v>8</v>
      </c>
      <c r="C24" s="5" t="s">
        <v>52</v>
      </c>
      <c r="D24" s="6" t="s">
        <v>9</v>
      </c>
      <c r="E24" s="6" t="s">
        <v>10</v>
      </c>
      <c r="F24" s="6" t="s">
        <v>5</v>
      </c>
      <c r="P24"/>
      <c r="Q24"/>
      <c r="R24"/>
    </row>
    <row r="25" spans="1:24" x14ac:dyDescent="0.25">
      <c r="A25" s="7">
        <v>2000</v>
      </c>
      <c r="B25" s="57">
        <v>9.5030000000000001</v>
      </c>
      <c r="C25" s="8">
        <v>9.5030000000000001</v>
      </c>
      <c r="D25" s="11">
        <f t="shared" ref="D25:D35" si="2">(A25*C25)</f>
        <v>19006</v>
      </c>
      <c r="E25" s="9">
        <v>15.2</v>
      </c>
      <c r="F25" s="9">
        <v>0</v>
      </c>
      <c r="H25" s="12">
        <f t="shared" ref="H25:H35" si="3">(A25*C25-E25-F25)</f>
        <v>18990.8</v>
      </c>
      <c r="P25"/>
      <c r="Q25"/>
      <c r="R25"/>
    </row>
    <row r="26" spans="1:24" x14ac:dyDescent="0.25">
      <c r="A26" s="7">
        <v>0</v>
      </c>
      <c r="B26" s="57">
        <v>0</v>
      </c>
      <c r="C26" s="8">
        <v>0</v>
      </c>
      <c r="D26" s="11">
        <f t="shared" si="2"/>
        <v>0</v>
      </c>
      <c r="E26" s="9">
        <v>0</v>
      </c>
      <c r="F26" s="9">
        <v>0</v>
      </c>
      <c r="H26" s="12">
        <f t="shared" si="3"/>
        <v>0</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2000</v>
      </c>
      <c r="B36" s="58" cm="1">
        <f t="array" ref="B36">SUM(B25:B35/A37)</f>
        <v>9.5030000000000001</v>
      </c>
      <c r="C36" s="15" cm="1">
        <f t="array" ref="C36">SUM(C25:C35/A37)</f>
        <v>9.5030000000000001</v>
      </c>
      <c r="D36" s="16">
        <f>SUM(D25:D35)</f>
        <v>19006</v>
      </c>
      <c r="E36" s="16">
        <f>SUM(E25:E35)</f>
        <v>15.2</v>
      </c>
      <c r="F36" s="17">
        <f>SUM(F25:F35)</f>
        <v>0</v>
      </c>
      <c r="H36" s="13">
        <f>SUM(H25:H35)</f>
        <v>18990.8</v>
      </c>
    </row>
    <row r="37" spans="1:8" x14ac:dyDescent="0.25">
      <c r="A37">
        <f>COUNTIF(A25:A35, "&gt;0")</f>
        <v>1</v>
      </c>
      <c r="B37"/>
    </row>
    <row r="38" spans="1:8" x14ac:dyDescent="0.25">
      <c r="H38" s="19">
        <f>(H36-H19)</f>
        <v>416.38000000000102</v>
      </c>
    </row>
    <row r="39" spans="1:8" x14ac:dyDescent="0.25">
      <c r="D39" s="1" t="s">
        <v>20</v>
      </c>
    </row>
    <row r="40" spans="1:8" x14ac:dyDescent="0.25">
      <c r="A40" s="10" t="s">
        <v>11</v>
      </c>
      <c r="B40" s="10"/>
      <c r="D40" s="18">
        <f>IF(H1="LARGO",D36-D19,D19-D36)</f>
        <v>-448</v>
      </c>
      <c r="E40" s="19">
        <f>(E19+E36)</f>
        <v>31.619999999999997</v>
      </c>
      <c r="F40" s="19">
        <f>(F19+F36)</f>
        <v>0</v>
      </c>
      <c r="H40" s="20">
        <f>(H38-F42)</f>
        <v>896.00000000000102</v>
      </c>
    </row>
    <row r="41" spans="1:8" x14ac:dyDescent="0.25">
      <c r="A41" s="10"/>
      <c r="B41" s="10"/>
      <c r="D41" s="19"/>
      <c r="E41" s="19">
        <f>(E40+F40)</f>
        <v>31.619999999999997</v>
      </c>
      <c r="F41" s="19"/>
      <c r="G41" s="19"/>
      <c r="H41" s="20"/>
    </row>
    <row r="42" spans="1:8" x14ac:dyDescent="0.25">
      <c r="A42" s="10"/>
      <c r="B42" s="10"/>
      <c r="D42" s="19"/>
      <c r="E42" s="56" t="s">
        <v>55</v>
      </c>
      <c r="F42" s="18">
        <f>(D40-E40-F40)</f>
        <v>-479.62</v>
      </c>
      <c r="G42" s="19"/>
      <c r="H42" s="20"/>
    </row>
  </sheetData>
  <mergeCells count="7">
    <mergeCell ref="E5:F5"/>
    <mergeCell ref="I1:N1"/>
    <mergeCell ref="P1:R1"/>
    <mergeCell ref="T1:X1"/>
    <mergeCell ref="B3:C3"/>
    <mergeCell ref="P3:R3"/>
    <mergeCell ref="B4:C4"/>
  </mergeCells>
  <dataValidations count="2">
    <dataValidation type="list" allowBlank="1" showInputMessage="1" showErrorMessage="1" sqref="H1" xr:uid="{884F0F97-B71F-451F-9CD7-C17832FF4822}">
      <formula1>"LARGO, CORTO"</formula1>
    </dataValidation>
    <dataValidation type="list" allowBlank="1" showInputMessage="1" showErrorMessage="1" sqref="V6" xr:uid="{3CE5EE8E-E637-46C2-AE90-29A3D9C15180}">
      <formula1>$Q$4:$Q$7</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C2E290FE-B55E-4B9B-8376-85F40401F9E7}">
          <x14:formula1>
            <xm:f>GENERAL!$AH$2:$AJ$2</xm:f>
          </x14:formula1>
          <xm:sqref>F4</xm:sqref>
        </x14:dataValidation>
        <x14:dataValidation type="list" allowBlank="1" showInputMessage="1" showErrorMessage="1" xr:uid="{C7E80F42-91DD-4341-B778-CC3A8A807D2F}">
          <x14:formula1>
            <xm:f>GENERAL!$S$5:$S$20</xm:f>
          </x14:formula1>
          <xm:sqref>B4:C4</xm:sqref>
        </x14:dataValidation>
        <x14:dataValidation type="list" allowBlank="1" showInputMessage="1" showErrorMessage="1" xr:uid="{03D0CCEB-CDB2-422D-A660-2F1453143D5C}">
          <x14:formula1>
            <xm:f>GENERAL!$W$5:$W$53</xm:f>
          </x14:formula1>
          <xm:sqref>B3:C3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BA17-E8F4-4783-A065-C96D5FF3809F}">
  <dimension ref="A1:X42"/>
  <sheetViews>
    <sheetView zoomScale="85" zoomScaleNormal="85" zoomScalePageLayoutView="85" workbookViewId="0">
      <selection activeCell="E26" sqref="E26"/>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22008</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t="s">
        <v>247</v>
      </c>
      <c r="C2" s="164"/>
      <c r="D2" s="63"/>
      <c r="E2" s="166" t="s">
        <v>106</v>
      </c>
      <c r="F2" s="165"/>
    </row>
    <row r="3" spans="1:24" x14ac:dyDescent="0.25">
      <c r="A3" s="62" t="s">
        <v>94</v>
      </c>
      <c r="B3" s="222" t="s">
        <v>227</v>
      </c>
      <c r="C3" s="221"/>
      <c r="I3" s="1" t="s">
        <v>2</v>
      </c>
      <c r="J3" s="1" t="e" vm="1">
        <v>#VALUE!</v>
      </c>
      <c r="P3" s="223" t="s">
        <v>36</v>
      </c>
      <c r="Q3" s="223"/>
      <c r="R3" s="223"/>
      <c r="T3" s="1" t="s">
        <v>225</v>
      </c>
      <c r="U3" s="181">
        <v>1866.4</v>
      </c>
    </row>
    <row r="4" spans="1:24" x14ac:dyDescent="0.25">
      <c r="A4" s="62" t="s">
        <v>25</v>
      </c>
      <c r="B4" s="222" t="s">
        <v>87</v>
      </c>
      <c r="C4" s="221"/>
      <c r="D4" s="2"/>
      <c r="E4" s="166" t="s">
        <v>195</v>
      </c>
      <c r="F4" s="196" t="s">
        <v>218</v>
      </c>
      <c r="I4" s="1" t="s">
        <v>29</v>
      </c>
      <c r="J4" t="str" cm="1">
        <f t="array" ref="J4">_FV(J3,"Símbolo bursátil",TRUE)</f>
        <v>BBVA</v>
      </c>
      <c r="P4" s="168" t="s">
        <v>37</v>
      </c>
      <c r="Q4" s="168" t="s">
        <v>37</v>
      </c>
      <c r="R4" s="30">
        <v>1</v>
      </c>
      <c r="T4" s="1" t="s">
        <v>219</v>
      </c>
      <c r="U4" s="192">
        <f>A8</f>
        <v>228</v>
      </c>
    </row>
    <row r="5" spans="1:24" x14ac:dyDescent="0.25">
      <c r="A5" s="3" t="s">
        <v>1</v>
      </c>
      <c r="B5" s="199" t="str">
        <f>IF(H1="CORTO", "Venta", "Compra")</f>
        <v>Venta</v>
      </c>
      <c r="D5" s="166" t="s">
        <v>239</v>
      </c>
      <c r="E5" s="220">
        <v>749164753</v>
      </c>
      <c r="F5" s="221"/>
      <c r="I5" s="1" t="s">
        <v>28</v>
      </c>
      <c r="J5" t="str" cm="1">
        <f t="array" ref="J5">_FV(J3,"Abreviatura de intercambio",TRUE)</f>
        <v>BMEX</v>
      </c>
      <c r="P5" t="e" vm="2">
        <v>#VALUE!</v>
      </c>
      <c r="Q5" s="31" t="s">
        <v>38</v>
      </c>
      <c r="R5" s="32" cm="1">
        <f t="array" ref="R5">_FV(P5,"Precio")</f>
        <v>1.073</v>
      </c>
    </row>
    <row r="6" spans="1:24" x14ac:dyDescent="0.25">
      <c r="A6" s="21" t="s">
        <v>0</v>
      </c>
      <c r="B6" s="4">
        <v>44690</v>
      </c>
      <c r="I6" s="1" t="s">
        <v>30</v>
      </c>
      <c r="J6" t="str" cm="1">
        <f t="array" ref="J6">_FV(J3,"Moneda")</f>
        <v>EUR</v>
      </c>
      <c r="P6" t="e" vm="3">
        <v>#VALUE!</v>
      </c>
      <c r="Q6" s="31" t="s">
        <v>39</v>
      </c>
      <c r="R6" s="33" cm="1">
        <f t="array" ref="R6">_FV(P6,"Precio")</f>
        <v>0.88790000000000002</v>
      </c>
      <c r="T6" s="1" t="s">
        <v>14</v>
      </c>
      <c r="U6" s="26">
        <v>40.03</v>
      </c>
      <c r="V6" s="183" t="s">
        <v>37</v>
      </c>
      <c r="W6" s="185">
        <f>IF($X$6="","",$U$6/VLOOKUP($V$6,$Q$4:$R$30,2,0))</f>
        <v>40.03</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9126.84</v>
      </c>
      <c r="V7" t="str">
        <f>V6</f>
        <v>EUR</v>
      </c>
      <c r="W7" s="185">
        <f>IF($X$7="","",$U$7/VLOOKUP($V$7,$Q$4:$R$30,2,0))</f>
        <v>9126.84</v>
      </c>
      <c r="X7" s="1" t="s">
        <v>37</v>
      </c>
    </row>
    <row r="8" spans="1:24" x14ac:dyDescent="0.25">
      <c r="A8" s="7">
        <v>228</v>
      </c>
      <c r="B8" s="188">
        <v>40.93</v>
      </c>
      <c r="C8" s="9">
        <v>40.93</v>
      </c>
      <c r="D8" s="11">
        <f t="shared" ref="D8:D18" si="0">(A8*C8)</f>
        <v>9332.0399999999991</v>
      </c>
      <c r="E8" s="9">
        <v>8</v>
      </c>
      <c r="F8" s="9">
        <v>0</v>
      </c>
      <c r="H8" s="12">
        <f t="shared" ref="H8:H18" si="1">(A8*C8+E8+F8)</f>
        <v>9340.0399999999991</v>
      </c>
      <c r="I8" s="1" t="s">
        <v>14</v>
      </c>
      <c r="J8" s="186" cm="1">
        <f t="array" ref="J8">_FV(J3,"Precio")</f>
        <v>6.7530000000000001</v>
      </c>
      <c r="K8" s="27" t="str">
        <f>J6</f>
        <v>EUR</v>
      </c>
      <c r="L8" s="28">
        <f>IF($M$8="","",$J$8/VLOOKUP($J$6,$Q$4:$R$30,2,0))</f>
        <v>6.7530000000000001</v>
      </c>
      <c r="M8" s="1" t="s">
        <v>37</v>
      </c>
      <c r="P8"/>
      <c r="Q8"/>
      <c r="R8"/>
      <c r="T8" s="1" t="s">
        <v>11</v>
      </c>
      <c r="U8" s="172">
        <f>IF($H$1="LARGO",$U$7-$D$19,$D$19-$U$7)</f>
        <v>205.19999999999891</v>
      </c>
      <c r="V8" t="str">
        <f>V6</f>
        <v>EUR</v>
      </c>
      <c r="W8" s="185">
        <f>IF($X$8="","",$U$8/VLOOKUP($V$8,$Q$4:$R$30,2,0))</f>
        <v>205.19999999999891</v>
      </c>
      <c r="X8" s="1" t="s">
        <v>37</v>
      </c>
    </row>
    <row r="9" spans="1:24" x14ac:dyDescent="0.25">
      <c r="A9" s="7">
        <v>0</v>
      </c>
      <c r="B9" s="57">
        <v>0</v>
      </c>
      <c r="C9" s="8">
        <v>0</v>
      </c>
      <c r="D9" s="11">
        <f t="shared" si="0"/>
        <v>0</v>
      </c>
      <c r="E9" s="9">
        <v>0.77</v>
      </c>
      <c r="F9" s="9">
        <v>0</v>
      </c>
      <c r="H9" s="12">
        <f t="shared" si="1"/>
        <v>0.77</v>
      </c>
      <c r="I9" s="1" t="s">
        <v>31</v>
      </c>
      <c r="J9" s="187" cm="1">
        <f t="array" ref="J9">_FV(J3,"Cambio (%)",TRUE)</f>
        <v>-3.5410000000000003E-3</v>
      </c>
      <c r="P9"/>
      <c r="Q9"/>
      <c r="R9"/>
      <c r="U9" s="172"/>
      <c r="V9"/>
      <c r="W9" s="185"/>
    </row>
    <row r="10" spans="1:24" x14ac:dyDescent="0.25">
      <c r="A10" s="7">
        <v>0</v>
      </c>
      <c r="B10" s="57">
        <v>0</v>
      </c>
      <c r="C10" s="8">
        <v>0</v>
      </c>
      <c r="D10" s="11">
        <f t="shared" si="0"/>
        <v>0</v>
      </c>
      <c r="E10" s="9">
        <v>0</v>
      </c>
      <c r="F10" s="9">
        <v>0</v>
      </c>
      <c r="H10" s="12">
        <f t="shared" si="1"/>
        <v>0</v>
      </c>
      <c r="P10"/>
      <c r="Q10"/>
      <c r="R10"/>
    </row>
    <row r="11" spans="1:24" x14ac:dyDescent="0.25">
      <c r="A11" s="7">
        <v>0</v>
      </c>
      <c r="B11" s="57">
        <v>0</v>
      </c>
      <c r="C11" s="8">
        <v>0</v>
      </c>
      <c r="D11" s="11">
        <f t="shared" si="0"/>
        <v>0</v>
      </c>
      <c r="E11" s="9">
        <v>0</v>
      </c>
      <c r="F11" s="9">
        <v>0</v>
      </c>
      <c r="H11" s="12">
        <f t="shared" si="1"/>
        <v>0</v>
      </c>
      <c r="I11" s="1" t="s">
        <v>32</v>
      </c>
      <c r="J11" s="53" cm="1">
        <f t="array" ref="J11">_FV(J3,"Apertura")</f>
        <v>6.82</v>
      </c>
      <c r="P11"/>
      <c r="Q11"/>
      <c r="R11"/>
      <c r="T11" s="1" t="s">
        <v>42</v>
      </c>
      <c r="U11" s="201">
        <v>41.96</v>
      </c>
      <c r="V11" t="str">
        <f>V6</f>
        <v>EUR</v>
      </c>
      <c r="W11" s="185">
        <f>IF($X$11="","",$U$11/VLOOKUP($V$11,$Q$4:$R$30,2,0))</f>
        <v>41.96</v>
      </c>
      <c r="X11" s="1" t="s">
        <v>37</v>
      </c>
    </row>
    <row r="12" spans="1:24" x14ac:dyDescent="0.25">
      <c r="A12" s="7">
        <v>0</v>
      </c>
      <c r="B12" s="57">
        <v>0</v>
      </c>
      <c r="C12" s="8">
        <v>0</v>
      </c>
      <c r="D12" s="11">
        <f t="shared" si="0"/>
        <v>0</v>
      </c>
      <c r="E12" s="9">
        <v>0</v>
      </c>
      <c r="F12" s="9">
        <v>0</v>
      </c>
      <c r="H12" s="12">
        <f t="shared" si="1"/>
        <v>0</v>
      </c>
      <c r="I12" s="1" t="s">
        <v>33</v>
      </c>
      <c r="J12" s="53" cm="1">
        <f t="array" ref="J12">_FV(J3,"Máximo")</f>
        <v>6.82</v>
      </c>
      <c r="P12"/>
      <c r="Q12"/>
      <c r="R12"/>
      <c r="U12" s="193">
        <f>(U11*$U$4)</f>
        <v>9566.880000000001</v>
      </c>
      <c r="V12" t="str">
        <f>V11</f>
        <v>EUR</v>
      </c>
      <c r="W12" s="185">
        <f>IF($X$12="","",$U$12/VLOOKUP($V$12,$Q$4:$R$30,2,0))</f>
        <v>9566.880000000001</v>
      </c>
      <c r="X12" s="1" t="s">
        <v>37</v>
      </c>
    </row>
    <row r="13" spans="1:24" x14ac:dyDescent="0.25">
      <c r="A13" s="7">
        <v>0</v>
      </c>
      <c r="B13" s="57">
        <v>0</v>
      </c>
      <c r="C13" s="8">
        <v>0</v>
      </c>
      <c r="D13" s="11">
        <f t="shared" si="0"/>
        <v>0</v>
      </c>
      <c r="E13" s="9">
        <v>0</v>
      </c>
      <c r="F13" s="9">
        <v>0</v>
      </c>
      <c r="H13" s="12">
        <f t="shared" si="1"/>
        <v>0</v>
      </c>
      <c r="I13" s="1" t="s">
        <v>34</v>
      </c>
      <c r="J13" s="53" cm="1">
        <f t="array" ref="J13">_FV(J3,"Mínimo")</f>
        <v>6.7210000000000001</v>
      </c>
      <c r="P13"/>
      <c r="Q13"/>
      <c r="R13"/>
      <c r="T13" s="1" t="s">
        <v>11</v>
      </c>
      <c r="U13" s="172">
        <f>IF($H$1="LARGO",$U$12-$D$19,$D$19-$U$12)</f>
        <v>-234.84000000000196</v>
      </c>
      <c r="V13" t="str">
        <f>V11</f>
        <v>EUR</v>
      </c>
      <c r="W13" s="185">
        <f>IF($X$13="","",$U$13/VLOOKUP($V$13,$Q$4:$R$30,2,0))</f>
        <v>-234.84000000000196</v>
      </c>
      <c r="X13" s="1" t="s">
        <v>37</v>
      </c>
    </row>
    <row r="14" spans="1:24" x14ac:dyDescent="0.25">
      <c r="A14" s="7">
        <v>0</v>
      </c>
      <c r="B14" s="57">
        <v>0</v>
      </c>
      <c r="C14" s="8">
        <v>0</v>
      </c>
      <c r="D14" s="11">
        <f t="shared" si="0"/>
        <v>0</v>
      </c>
      <c r="E14" s="9">
        <v>0</v>
      </c>
      <c r="F14" s="9">
        <v>0</v>
      </c>
      <c r="H14" s="12">
        <f t="shared" si="1"/>
        <v>0</v>
      </c>
      <c r="I14" s="1" t="s">
        <v>35</v>
      </c>
      <c r="J14" s="53" cm="1">
        <f t="array" ref="J14">_FV(J3,"Cierre anterior",TRUE)</f>
        <v>6.7770000000000001</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201">
        <v>39.409999999999997</v>
      </c>
      <c r="V16" t="str">
        <f>V11</f>
        <v>EUR</v>
      </c>
      <c r="W16" s="185">
        <f>IF($X$16="","",$U$16/VLOOKUP($V$16,$Q$4:$R$30,2,0))</f>
        <v>39.409999999999997</v>
      </c>
      <c r="X16" s="1" t="s">
        <v>37</v>
      </c>
    </row>
    <row r="17" spans="1:24" x14ac:dyDescent="0.25">
      <c r="A17" s="7">
        <v>0</v>
      </c>
      <c r="B17" s="57">
        <v>0</v>
      </c>
      <c r="C17" s="8">
        <v>0</v>
      </c>
      <c r="D17" s="11">
        <f t="shared" si="0"/>
        <v>0</v>
      </c>
      <c r="E17" s="9">
        <v>0</v>
      </c>
      <c r="F17" s="9">
        <v>0</v>
      </c>
      <c r="H17" s="12">
        <f t="shared" si="1"/>
        <v>0</v>
      </c>
      <c r="P17"/>
      <c r="Q17"/>
      <c r="R17"/>
      <c r="U17" s="193">
        <f>(U16*$U$4)</f>
        <v>8985.48</v>
      </c>
      <c r="V17" t="str">
        <f>V16</f>
        <v>EUR</v>
      </c>
      <c r="W17" s="185">
        <f>IF($X$17="","",$U$17/VLOOKUP($V$17,$Q$4:$R$30,2,0))</f>
        <v>8985.48</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346.55999999999949</v>
      </c>
      <c r="V18" t="str">
        <f>V16</f>
        <v>EUR</v>
      </c>
      <c r="W18" s="185">
        <f>IF($X$18="","",$U$18/VLOOKUP($V$18,$Q$4:$R$30,2,0))</f>
        <v>346.55999999999949</v>
      </c>
      <c r="X18" s="1" t="s">
        <v>37</v>
      </c>
    </row>
    <row r="19" spans="1:24" x14ac:dyDescent="0.25">
      <c r="A19" s="14">
        <f>SUM(A8:A18)</f>
        <v>228</v>
      </c>
      <c r="B19" s="16" cm="1">
        <f t="array" ref="B19">SUM(B8:B18/A20)</f>
        <v>40.93</v>
      </c>
      <c r="C19" s="16" cm="1">
        <f t="array" ref="C19">SUM(C8:C18/A20)</f>
        <v>40.93</v>
      </c>
      <c r="D19" s="16">
        <f>SUM(D8:D18)</f>
        <v>9332.0399999999991</v>
      </c>
      <c r="E19" s="16">
        <f>SUM(E8:E18)</f>
        <v>8.77</v>
      </c>
      <c r="F19" s="17">
        <f>SUM(F8:F18)</f>
        <v>0</v>
      </c>
      <c r="H19" s="13">
        <f>SUM(H8:H18)</f>
        <v>9340.81</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200" t="str">
        <f>IF(B5="Venta", "Compra", "Venta")</f>
        <v>Compra</v>
      </c>
      <c r="P22"/>
      <c r="Q22"/>
      <c r="R22"/>
    </row>
    <row r="23" spans="1:24" x14ac:dyDescent="0.25">
      <c r="A23" s="21" t="s">
        <v>0</v>
      </c>
      <c r="B23" s="4">
        <v>44691</v>
      </c>
      <c r="P23"/>
      <c r="Q23"/>
      <c r="R23"/>
    </row>
    <row r="24" spans="1:24" x14ac:dyDescent="0.25">
      <c r="A24" s="5" t="s">
        <v>219</v>
      </c>
      <c r="B24" s="5" t="s">
        <v>8</v>
      </c>
      <c r="C24" s="5" t="s">
        <v>52</v>
      </c>
      <c r="D24" s="6" t="s">
        <v>9</v>
      </c>
      <c r="E24" s="6" t="s">
        <v>10</v>
      </c>
      <c r="F24" s="6" t="s">
        <v>5</v>
      </c>
      <c r="P24"/>
      <c r="Q24"/>
      <c r="R24"/>
    </row>
    <row r="25" spans="1:24" x14ac:dyDescent="0.25">
      <c r="A25" s="7">
        <v>228</v>
      </c>
      <c r="B25" s="57">
        <v>39.42</v>
      </c>
      <c r="C25" s="8">
        <v>39.42</v>
      </c>
      <c r="D25" s="11">
        <f t="shared" ref="D25:D35" si="2">(A25*C25)</f>
        <v>8987.76</v>
      </c>
      <c r="E25" s="9">
        <v>8</v>
      </c>
      <c r="F25" s="9">
        <v>0</v>
      </c>
      <c r="H25" s="12">
        <f t="shared" ref="H25:H35" si="3">(A25*C25-E25-F25)</f>
        <v>8979.76</v>
      </c>
      <c r="P25"/>
      <c r="Q25"/>
      <c r="R25"/>
    </row>
    <row r="26" spans="1:24" x14ac:dyDescent="0.25">
      <c r="A26" s="7">
        <v>0</v>
      </c>
      <c r="B26" s="57">
        <v>0</v>
      </c>
      <c r="C26" s="8">
        <v>0</v>
      </c>
      <c r="D26" s="11">
        <f t="shared" si="2"/>
        <v>0</v>
      </c>
      <c r="E26" s="9">
        <v>0</v>
      </c>
      <c r="F26" s="9">
        <v>0</v>
      </c>
      <c r="H26" s="12">
        <f t="shared" si="3"/>
        <v>0</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228</v>
      </c>
      <c r="B36" s="58" cm="1">
        <f t="array" ref="B36">SUM(B25:B35/A37)</f>
        <v>39.42</v>
      </c>
      <c r="C36" s="15" cm="1">
        <f t="array" ref="C36">SUM(C25:C35/A37)</f>
        <v>39.42</v>
      </c>
      <c r="D36" s="16">
        <f>SUM(D25:D35)</f>
        <v>8987.76</v>
      </c>
      <c r="E36" s="16">
        <f>SUM(E25:E35)</f>
        <v>8</v>
      </c>
      <c r="F36" s="17">
        <f>SUM(F25:F35)</f>
        <v>0</v>
      </c>
      <c r="H36" s="13">
        <f>SUM(H25:H35)</f>
        <v>8979.76</v>
      </c>
    </row>
    <row r="37" spans="1:8" x14ac:dyDescent="0.25">
      <c r="A37">
        <f>COUNTIF(A25:A35, "&gt;0")</f>
        <v>1</v>
      </c>
      <c r="B37"/>
    </row>
    <row r="38" spans="1:8" x14ac:dyDescent="0.25">
      <c r="H38" s="19">
        <f>(H36-H19)</f>
        <v>-361.04999999999927</v>
      </c>
    </row>
    <row r="39" spans="1:8" x14ac:dyDescent="0.25">
      <c r="D39" s="1" t="s">
        <v>20</v>
      </c>
    </row>
    <row r="40" spans="1:8" x14ac:dyDescent="0.25">
      <c r="A40" s="10" t="s">
        <v>11</v>
      </c>
      <c r="B40" s="10"/>
      <c r="D40" s="18">
        <f>IF(H1="LARGO",D36-D19,D19-D36)</f>
        <v>344.27999999999884</v>
      </c>
      <c r="E40" s="19">
        <f>(E19+E36)</f>
        <v>16.77</v>
      </c>
      <c r="F40" s="19">
        <f>(F19+F36)</f>
        <v>0</v>
      </c>
      <c r="H40" s="20">
        <f>(H38-F42)</f>
        <v>-688.55999999999813</v>
      </c>
    </row>
    <row r="41" spans="1:8" x14ac:dyDescent="0.25">
      <c r="A41" s="10"/>
      <c r="B41" s="10"/>
      <c r="D41" s="19"/>
      <c r="E41" s="19">
        <f>(E40+F40)</f>
        <v>16.77</v>
      </c>
      <c r="F41" s="19"/>
      <c r="G41" s="19"/>
      <c r="H41" s="20"/>
    </row>
    <row r="42" spans="1:8" x14ac:dyDescent="0.25">
      <c r="A42" s="10"/>
      <c r="B42" s="10"/>
      <c r="D42" s="19"/>
      <c r="E42" s="56" t="s">
        <v>55</v>
      </c>
      <c r="F42" s="18">
        <f>(D40-E40-F40)</f>
        <v>327.50999999999885</v>
      </c>
      <c r="G42" s="19"/>
      <c r="H42" s="20"/>
    </row>
  </sheetData>
  <mergeCells count="7">
    <mergeCell ref="E5:F5"/>
    <mergeCell ref="I1:N1"/>
    <mergeCell ref="P1:R1"/>
    <mergeCell ref="T1:X1"/>
    <mergeCell ref="B3:C3"/>
    <mergeCell ref="P3:R3"/>
    <mergeCell ref="B4:C4"/>
  </mergeCells>
  <dataValidations count="2">
    <dataValidation type="list" allowBlank="1" showInputMessage="1" showErrorMessage="1" sqref="H1" xr:uid="{56593BD8-2AB9-4CEB-84D2-48D00E05FDC8}">
      <formula1>"LARGO, CORTO"</formula1>
    </dataValidation>
    <dataValidation type="list" allowBlank="1" showInputMessage="1" showErrorMessage="1" sqref="V6" xr:uid="{D7A43806-01F8-4CE2-A419-F1826BA44FF7}">
      <formula1>$Q$4:$Q$7</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F71E3F0-ECF9-40D4-B920-3B9539F1D0A7}">
          <x14:formula1>
            <xm:f>GENERAL!$AH$2:$AJ$2</xm:f>
          </x14:formula1>
          <xm:sqref>F4</xm:sqref>
        </x14:dataValidation>
        <x14:dataValidation type="list" allowBlank="1" showInputMessage="1" showErrorMessage="1" xr:uid="{4ED28D31-05A2-4041-87F9-2E4C3853CAA4}">
          <x14:formula1>
            <xm:f>GENERAL!$S$5:$S$20</xm:f>
          </x14:formula1>
          <xm:sqref>B4:C4</xm:sqref>
        </x14:dataValidation>
        <x14:dataValidation type="list" allowBlank="1" showInputMessage="1" showErrorMessage="1" xr:uid="{DA599058-F96A-4859-AF1C-E3E51C8BC78E}">
          <x14:formula1>
            <xm:f>GENERAL!$W$5:$W$53</xm:f>
          </x14:formula1>
          <xm:sqref>B3:C3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78FBC-ECDD-4B5A-86E7-6D478F108429}">
  <dimension ref="A1:X42"/>
  <sheetViews>
    <sheetView zoomScale="85" zoomScaleNormal="85" zoomScalePageLayoutView="85" workbookViewId="0">
      <selection activeCell="U8" sqref="U8"/>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22007</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t="s">
        <v>244</v>
      </c>
      <c r="C2" s="164"/>
      <c r="D2" s="63"/>
      <c r="E2" s="166" t="s">
        <v>106</v>
      </c>
      <c r="F2" s="165"/>
    </row>
    <row r="3" spans="1:24" x14ac:dyDescent="0.25">
      <c r="A3" s="62" t="s">
        <v>94</v>
      </c>
      <c r="B3" s="222" t="s">
        <v>227</v>
      </c>
      <c r="C3" s="221"/>
      <c r="I3" s="1" t="s">
        <v>2</v>
      </c>
      <c r="J3" s="1" t="e" vm="1">
        <v>#VALUE!</v>
      </c>
      <c r="P3" s="223" t="s">
        <v>36</v>
      </c>
      <c r="Q3" s="223"/>
      <c r="R3" s="223"/>
      <c r="T3" s="1" t="s">
        <v>225</v>
      </c>
      <c r="U3" s="181">
        <v>1872.55</v>
      </c>
    </row>
    <row r="4" spans="1:24" x14ac:dyDescent="0.25">
      <c r="A4" s="62" t="s">
        <v>25</v>
      </c>
      <c r="B4" s="222" t="s">
        <v>87</v>
      </c>
      <c r="C4" s="221"/>
      <c r="D4" s="2"/>
      <c r="E4" s="166" t="s">
        <v>195</v>
      </c>
      <c r="F4" s="196" t="s">
        <v>218</v>
      </c>
      <c r="I4" s="1" t="s">
        <v>29</v>
      </c>
      <c r="J4" t="str" cm="1">
        <f t="array" ref="J4">_FV(J3,"Símbolo bursátil",TRUE)</f>
        <v>BBVA</v>
      </c>
      <c r="P4" s="168" t="s">
        <v>37</v>
      </c>
      <c r="Q4" s="168" t="s">
        <v>37</v>
      </c>
      <c r="R4" s="30">
        <v>1</v>
      </c>
      <c r="T4" s="1" t="s">
        <v>219</v>
      </c>
      <c r="U4" s="192">
        <f>A8</f>
        <v>850</v>
      </c>
    </row>
    <row r="5" spans="1:24" x14ac:dyDescent="0.25">
      <c r="A5" s="3" t="s">
        <v>1</v>
      </c>
      <c r="B5" s="199" t="str">
        <f>IF(H1="CORTO", "Venta", "Compra")</f>
        <v>Venta</v>
      </c>
      <c r="D5" s="166" t="s">
        <v>239</v>
      </c>
      <c r="E5" s="220" t="s">
        <v>245</v>
      </c>
      <c r="F5" s="221"/>
      <c r="I5" s="1" t="s">
        <v>28</v>
      </c>
      <c r="J5" t="str" cm="1">
        <f t="array" ref="J5">_FV(J3,"Abreviatura de intercambio",TRUE)</f>
        <v>BMEX</v>
      </c>
      <c r="P5" t="e" vm="2">
        <v>#VALUE!</v>
      </c>
      <c r="Q5" s="31" t="s">
        <v>38</v>
      </c>
      <c r="R5" s="32" cm="1">
        <f t="array" ref="R5">_FV(P5,"Precio")</f>
        <v>1.073</v>
      </c>
    </row>
    <row r="6" spans="1:24" x14ac:dyDescent="0.25">
      <c r="A6" s="21" t="s">
        <v>0</v>
      </c>
      <c r="B6" s="4">
        <v>44684</v>
      </c>
      <c r="I6" s="1" t="s">
        <v>30</v>
      </c>
      <c r="J6" t="str" cm="1">
        <f t="array" ref="J6">_FV(J3,"Moneda")</f>
        <v>EUR</v>
      </c>
      <c r="P6" t="e" vm="3">
        <v>#VALUE!</v>
      </c>
      <c r="Q6" s="31" t="s">
        <v>39</v>
      </c>
      <c r="R6" s="33" cm="1">
        <f t="array" ref="R6">_FV(P6,"Precio")</f>
        <v>0.88790000000000002</v>
      </c>
      <c r="T6" s="1" t="s">
        <v>14</v>
      </c>
      <c r="U6" s="26">
        <v>10.815</v>
      </c>
      <c r="V6" s="183" t="s">
        <v>37</v>
      </c>
      <c r="W6" s="185">
        <f>IF($X$6="","",$U$6/VLOOKUP($V$6,$Q$4:$R$30,2,0))</f>
        <v>10.815</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9192.75</v>
      </c>
      <c r="V7" t="str">
        <f>V6</f>
        <v>EUR</v>
      </c>
      <c r="W7" s="185">
        <f>IF($X$7="","",$U$7/VLOOKUP($V$7,$Q$4:$R$30,2,0))</f>
        <v>9192.75</v>
      </c>
      <c r="X7" s="1" t="s">
        <v>37</v>
      </c>
    </row>
    <row r="8" spans="1:24" x14ac:dyDescent="0.25">
      <c r="A8" s="7">
        <v>850</v>
      </c>
      <c r="B8" s="202">
        <v>11.015000000000001</v>
      </c>
      <c r="C8" s="203">
        <v>11.015000000000001</v>
      </c>
      <c r="D8" s="11">
        <f t="shared" ref="D8:D18" si="0">(A8*C8)</f>
        <v>9362.75</v>
      </c>
      <c r="E8" s="9">
        <v>7.49</v>
      </c>
      <c r="F8" s="9">
        <v>0</v>
      </c>
      <c r="H8" s="12">
        <f t="shared" ref="H8:H18" si="1">(A8*C8+E8+F8)</f>
        <v>9370.24</v>
      </c>
      <c r="I8" s="1" t="s">
        <v>14</v>
      </c>
      <c r="J8" s="186" cm="1">
        <f t="array" ref="J8">_FV(J3,"Precio")</f>
        <v>6.7530000000000001</v>
      </c>
      <c r="K8" s="27" t="str">
        <f>J6</f>
        <v>EUR</v>
      </c>
      <c r="L8" s="28">
        <f>IF($M$8="","",$J$8/VLOOKUP($J$6,$Q$4:$R$30,2,0))</f>
        <v>6.7530000000000001</v>
      </c>
      <c r="M8" s="1" t="s">
        <v>37</v>
      </c>
      <c r="P8"/>
      <c r="Q8"/>
      <c r="R8"/>
      <c r="T8" s="1" t="s">
        <v>11</v>
      </c>
      <c r="U8" s="172">
        <f>IF($H$1="LARGO",$U$7-$D$19,$D$19-$U$7)</f>
        <v>170</v>
      </c>
      <c r="V8" t="str">
        <f>V6</f>
        <v>EUR</v>
      </c>
      <c r="W8" s="185">
        <f>IF($X$8="","",$U$8/VLOOKUP($V$8,$Q$4:$R$30,2,0))</f>
        <v>170</v>
      </c>
      <c r="X8" s="1" t="s">
        <v>37</v>
      </c>
    </row>
    <row r="9" spans="1:24" x14ac:dyDescent="0.25">
      <c r="A9" s="7">
        <v>0</v>
      </c>
      <c r="B9" s="57">
        <v>0</v>
      </c>
      <c r="C9" s="8">
        <v>0</v>
      </c>
      <c r="D9" s="11">
        <f t="shared" si="0"/>
        <v>0</v>
      </c>
      <c r="E9" s="9">
        <v>0.79</v>
      </c>
      <c r="F9" s="9">
        <v>0</v>
      </c>
      <c r="H9" s="12">
        <f t="shared" si="1"/>
        <v>0.79</v>
      </c>
      <c r="I9" s="1" t="s">
        <v>31</v>
      </c>
      <c r="J9" s="187" cm="1">
        <f t="array" ref="J9">_FV(J3,"Cambio (%)",TRUE)</f>
        <v>-3.5410000000000003E-3</v>
      </c>
      <c r="P9"/>
      <c r="Q9"/>
      <c r="R9"/>
      <c r="U9" s="172"/>
      <c r="V9"/>
      <c r="W9" s="185"/>
    </row>
    <row r="10" spans="1:24" x14ac:dyDescent="0.25">
      <c r="A10" s="7">
        <v>0</v>
      </c>
      <c r="B10" s="57">
        <v>0</v>
      </c>
      <c r="C10" s="8">
        <v>0</v>
      </c>
      <c r="D10" s="11">
        <f t="shared" si="0"/>
        <v>0</v>
      </c>
      <c r="E10" s="9">
        <v>0.79</v>
      </c>
      <c r="F10" s="9">
        <v>0</v>
      </c>
      <c r="H10" s="12">
        <f t="shared" si="1"/>
        <v>0.79</v>
      </c>
      <c r="P10"/>
      <c r="Q10"/>
      <c r="R10"/>
    </row>
    <row r="11" spans="1:24" x14ac:dyDescent="0.25">
      <c r="A11" s="7">
        <v>0</v>
      </c>
      <c r="B11" s="57">
        <v>0</v>
      </c>
      <c r="C11" s="8">
        <v>0</v>
      </c>
      <c r="D11" s="11">
        <f t="shared" si="0"/>
        <v>0</v>
      </c>
      <c r="E11" s="9">
        <v>0</v>
      </c>
      <c r="F11" s="9">
        <v>0</v>
      </c>
      <c r="H11" s="12">
        <f t="shared" si="1"/>
        <v>0</v>
      </c>
      <c r="I11" s="1" t="s">
        <v>32</v>
      </c>
      <c r="J11" s="53" cm="1">
        <f t="array" ref="J11">_FV(J3,"Apertura")</f>
        <v>6.82</v>
      </c>
      <c r="P11"/>
      <c r="Q11"/>
      <c r="R11"/>
      <c r="T11" s="1" t="s">
        <v>42</v>
      </c>
      <c r="U11" s="201">
        <v>11.205</v>
      </c>
      <c r="V11" t="str">
        <f>V6</f>
        <v>EUR</v>
      </c>
      <c r="W11" s="185">
        <f>IF($X$11="","",$U$11/VLOOKUP($V$11,$Q$4:$R$30,2,0))</f>
        <v>11.205</v>
      </c>
      <c r="X11" s="1" t="s">
        <v>37</v>
      </c>
    </row>
    <row r="12" spans="1:24" x14ac:dyDescent="0.25">
      <c r="A12" s="7">
        <v>0</v>
      </c>
      <c r="B12" s="57">
        <v>0</v>
      </c>
      <c r="C12" s="8">
        <v>0</v>
      </c>
      <c r="D12" s="11">
        <f t="shared" si="0"/>
        <v>0</v>
      </c>
      <c r="E12" s="9">
        <v>0</v>
      </c>
      <c r="F12" s="9">
        <v>0</v>
      </c>
      <c r="H12" s="12">
        <f t="shared" si="1"/>
        <v>0</v>
      </c>
      <c r="I12" s="1" t="s">
        <v>33</v>
      </c>
      <c r="J12" s="53" cm="1">
        <f t="array" ref="J12">_FV(J3,"Máximo")</f>
        <v>6.82</v>
      </c>
      <c r="P12"/>
      <c r="Q12"/>
      <c r="R12"/>
      <c r="U12" s="193">
        <f>(U11*$U$4)</f>
        <v>9524.25</v>
      </c>
      <c r="V12" t="str">
        <f>V11</f>
        <v>EUR</v>
      </c>
      <c r="W12" s="185">
        <f>IF($X$12="","",$U$12/VLOOKUP($V$12,$Q$4:$R$30,2,0))</f>
        <v>9524.25</v>
      </c>
      <c r="X12" s="1" t="s">
        <v>37</v>
      </c>
    </row>
    <row r="13" spans="1:24" x14ac:dyDescent="0.25">
      <c r="A13" s="7">
        <v>0</v>
      </c>
      <c r="B13" s="57">
        <v>0</v>
      </c>
      <c r="C13" s="8">
        <v>0</v>
      </c>
      <c r="D13" s="11">
        <f t="shared" si="0"/>
        <v>0</v>
      </c>
      <c r="E13" s="9">
        <v>0</v>
      </c>
      <c r="F13" s="9">
        <v>0</v>
      </c>
      <c r="H13" s="12">
        <f t="shared" si="1"/>
        <v>0</v>
      </c>
      <c r="I13" s="1" t="s">
        <v>34</v>
      </c>
      <c r="J13" s="53" cm="1">
        <f t="array" ref="J13">_FV(J3,"Mínimo")</f>
        <v>6.7210000000000001</v>
      </c>
      <c r="P13"/>
      <c r="Q13"/>
      <c r="R13"/>
      <c r="T13" s="1" t="s">
        <v>11</v>
      </c>
      <c r="U13" s="172">
        <f>IF($H$1="LARGO",$U$12-$D$19,$D$19-$U$12)</f>
        <v>-161.5</v>
      </c>
      <c r="V13" t="str">
        <f>V11</f>
        <v>EUR</v>
      </c>
      <c r="W13" s="185">
        <f>IF($X$13="","",$U$13/VLOOKUP($V$13,$Q$4:$R$30,2,0))</f>
        <v>-161.5</v>
      </c>
      <c r="X13" s="1" t="s">
        <v>37</v>
      </c>
    </row>
    <row r="14" spans="1:24" x14ac:dyDescent="0.25">
      <c r="A14" s="7">
        <v>0</v>
      </c>
      <c r="B14" s="57">
        <v>0</v>
      </c>
      <c r="C14" s="8">
        <v>0</v>
      </c>
      <c r="D14" s="11">
        <f t="shared" si="0"/>
        <v>0</v>
      </c>
      <c r="E14" s="9">
        <v>0</v>
      </c>
      <c r="F14" s="9">
        <v>0</v>
      </c>
      <c r="H14" s="12">
        <f t="shared" si="1"/>
        <v>0</v>
      </c>
      <c r="I14" s="1" t="s">
        <v>35</v>
      </c>
      <c r="J14" s="53" cm="1">
        <f t="array" ref="J14">_FV(J3,"Cierre anterior",TRUE)</f>
        <v>6.7770000000000001</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201">
        <v>10.715</v>
      </c>
      <c r="V16" t="str">
        <f>V11</f>
        <v>EUR</v>
      </c>
      <c r="W16" s="185">
        <f>IF($X$16="","",$U$16/VLOOKUP($V$16,$Q$4:$R$30,2,0))</f>
        <v>10.715</v>
      </c>
      <c r="X16" s="1" t="s">
        <v>37</v>
      </c>
    </row>
    <row r="17" spans="1:24" x14ac:dyDescent="0.25">
      <c r="A17" s="7">
        <v>0</v>
      </c>
      <c r="B17" s="57">
        <v>0</v>
      </c>
      <c r="C17" s="8">
        <v>0</v>
      </c>
      <c r="D17" s="11">
        <f t="shared" si="0"/>
        <v>0</v>
      </c>
      <c r="E17" s="9">
        <v>0</v>
      </c>
      <c r="F17" s="9">
        <v>0</v>
      </c>
      <c r="H17" s="12">
        <f t="shared" si="1"/>
        <v>0</v>
      </c>
      <c r="P17"/>
      <c r="Q17"/>
      <c r="R17"/>
      <c r="U17" s="193">
        <f>(U16*$U$4)</f>
        <v>9107.75</v>
      </c>
      <c r="V17" t="str">
        <f>V16</f>
        <v>EUR</v>
      </c>
      <c r="W17" s="185">
        <f>IF($X$17="","",$U$17/VLOOKUP($V$17,$Q$4:$R$30,2,0))</f>
        <v>9107.75</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255</v>
      </c>
      <c r="V18" t="str">
        <f>V16</f>
        <v>EUR</v>
      </c>
      <c r="W18" s="185">
        <f>IF($X$18="","",$U$18/VLOOKUP($V$18,$Q$4:$R$30,2,0))</f>
        <v>255</v>
      </c>
      <c r="X18" s="1" t="s">
        <v>37</v>
      </c>
    </row>
    <row r="19" spans="1:24" x14ac:dyDescent="0.25">
      <c r="A19" s="14">
        <f>SUM(A8:A18)</f>
        <v>850</v>
      </c>
      <c r="B19" s="16" cm="1">
        <f t="array" ref="B19">SUM(B8:B18/A20)</f>
        <v>11.015000000000001</v>
      </c>
      <c r="C19" s="16" cm="1">
        <f t="array" ref="C19">SUM(C8:C18/A20)</f>
        <v>11.015000000000001</v>
      </c>
      <c r="D19" s="16">
        <f>SUM(D8:D18)</f>
        <v>9362.75</v>
      </c>
      <c r="E19" s="16">
        <f>SUM(E8:E18)</f>
        <v>9.07</v>
      </c>
      <c r="F19" s="17">
        <f>SUM(F8:F18)</f>
        <v>0</v>
      </c>
      <c r="H19" s="13">
        <f>SUM(H8:H18)</f>
        <v>9371.8200000000015</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200" t="str">
        <f>IF(B5="Venta", "Compra", "Venta")</f>
        <v>Compra</v>
      </c>
      <c r="P22"/>
      <c r="Q22"/>
      <c r="R22"/>
    </row>
    <row r="23" spans="1:24" x14ac:dyDescent="0.25">
      <c r="A23" s="21" t="s">
        <v>0</v>
      </c>
      <c r="B23" s="4">
        <v>44686</v>
      </c>
      <c r="P23"/>
      <c r="Q23"/>
      <c r="R23"/>
    </row>
    <row r="24" spans="1:24" x14ac:dyDescent="0.25">
      <c r="A24" s="5" t="s">
        <v>219</v>
      </c>
      <c r="B24" s="5" t="s">
        <v>8</v>
      </c>
      <c r="C24" s="5" t="s">
        <v>52</v>
      </c>
      <c r="D24" s="6" t="s">
        <v>9</v>
      </c>
      <c r="E24" s="6" t="s">
        <v>10</v>
      </c>
      <c r="F24" s="6" t="s">
        <v>5</v>
      </c>
      <c r="P24"/>
      <c r="Q24"/>
      <c r="R24"/>
    </row>
    <row r="25" spans="1:24" x14ac:dyDescent="0.25">
      <c r="A25" s="7">
        <v>850</v>
      </c>
      <c r="B25" s="57">
        <v>10.945</v>
      </c>
      <c r="C25" s="8">
        <v>10.945</v>
      </c>
      <c r="D25" s="11">
        <f t="shared" ref="D25:D35" si="2">(A25*C25)</f>
        <v>9303.25</v>
      </c>
      <c r="E25" s="9">
        <v>7.44</v>
      </c>
      <c r="F25" s="9">
        <v>0</v>
      </c>
      <c r="H25" s="12">
        <f t="shared" ref="H25:H35" si="3">(A25*C25-E25-F25)</f>
        <v>9295.81</v>
      </c>
      <c r="P25"/>
      <c r="Q25"/>
      <c r="R25"/>
    </row>
    <row r="26" spans="1:24" x14ac:dyDescent="0.25">
      <c r="A26" s="7">
        <v>0</v>
      </c>
      <c r="B26" s="57">
        <v>0</v>
      </c>
      <c r="C26" s="8">
        <v>0</v>
      </c>
      <c r="D26" s="11">
        <f t="shared" si="2"/>
        <v>0</v>
      </c>
      <c r="E26" s="9">
        <v>0</v>
      </c>
      <c r="F26" s="9">
        <v>0</v>
      </c>
      <c r="H26" s="12">
        <f t="shared" si="3"/>
        <v>0</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850</v>
      </c>
      <c r="B36" s="58" cm="1">
        <f t="array" ref="B36">SUM(B25:B35/A37)</f>
        <v>10.945</v>
      </c>
      <c r="C36" s="15" cm="1">
        <f t="array" ref="C36">SUM(C25:C35/A37)</f>
        <v>10.945</v>
      </c>
      <c r="D36" s="16">
        <f>SUM(D25:D35)</f>
        <v>9303.25</v>
      </c>
      <c r="E36" s="16">
        <f>SUM(E25:E35)</f>
        <v>7.44</v>
      </c>
      <c r="F36" s="17">
        <f>SUM(F25:F35)</f>
        <v>0</v>
      </c>
      <c r="H36" s="13">
        <f>SUM(H25:H35)</f>
        <v>9295.81</v>
      </c>
    </row>
    <row r="37" spans="1:8" x14ac:dyDescent="0.25">
      <c r="A37">
        <f>COUNTIF(A25:A35, "&gt;0")</f>
        <v>1</v>
      </c>
      <c r="B37"/>
    </row>
    <row r="38" spans="1:8" x14ac:dyDescent="0.25">
      <c r="H38" s="19">
        <f>(H36-H19)</f>
        <v>-76.010000000002037</v>
      </c>
    </row>
    <row r="39" spans="1:8" x14ac:dyDescent="0.25">
      <c r="D39" s="1" t="s">
        <v>20</v>
      </c>
    </row>
    <row r="40" spans="1:8" x14ac:dyDescent="0.25">
      <c r="A40" s="10" t="s">
        <v>11</v>
      </c>
      <c r="B40" s="10"/>
      <c r="D40" s="18">
        <f>IF(H1="LARGO",D36-D19,D19-D36)</f>
        <v>59.5</v>
      </c>
      <c r="E40" s="19">
        <f>(E19+E36)</f>
        <v>16.510000000000002</v>
      </c>
      <c r="F40" s="19">
        <f>(F19+F36)</f>
        <v>0</v>
      </c>
      <c r="H40" s="20">
        <f>(H38-F42)</f>
        <v>-119.00000000000203</v>
      </c>
    </row>
    <row r="41" spans="1:8" x14ac:dyDescent="0.25">
      <c r="A41" s="10"/>
      <c r="B41" s="10"/>
      <c r="D41" s="19"/>
      <c r="E41" s="19">
        <f>(E40+F40)</f>
        <v>16.510000000000002</v>
      </c>
      <c r="F41" s="19"/>
      <c r="G41" s="19"/>
      <c r="H41" s="20"/>
    </row>
    <row r="42" spans="1:8" x14ac:dyDescent="0.25">
      <c r="A42" s="10"/>
      <c r="B42" s="10"/>
      <c r="D42" s="19"/>
      <c r="E42" s="56" t="s">
        <v>55</v>
      </c>
      <c r="F42" s="18">
        <f>(D40-E40-F40)</f>
        <v>42.989999999999995</v>
      </c>
      <c r="G42" s="19"/>
      <c r="H42" s="20"/>
    </row>
  </sheetData>
  <mergeCells count="7">
    <mergeCell ref="E5:F5"/>
    <mergeCell ref="I1:N1"/>
    <mergeCell ref="P1:R1"/>
    <mergeCell ref="T1:X1"/>
    <mergeCell ref="B3:C3"/>
    <mergeCell ref="P3:R3"/>
    <mergeCell ref="B4:C4"/>
  </mergeCells>
  <dataValidations count="2">
    <dataValidation type="list" allowBlank="1" showInputMessage="1" showErrorMessage="1" sqref="H1" xr:uid="{7018A3B6-0638-4360-9845-98341DB9120B}">
      <formula1>"LARGO, CORTO"</formula1>
    </dataValidation>
    <dataValidation type="list" allowBlank="1" showInputMessage="1" showErrorMessage="1" sqref="V6" xr:uid="{FC9F122F-60F1-4A03-A5C4-455DA165AD05}">
      <formula1>$Q$4:$Q$7</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96B28C3-0AA4-4654-999B-37AFE89BF8A9}">
          <x14:formula1>
            <xm:f>GENERAL!$AH$2:$AJ$2</xm:f>
          </x14:formula1>
          <xm:sqref>F4</xm:sqref>
        </x14:dataValidation>
        <x14:dataValidation type="list" allowBlank="1" showInputMessage="1" showErrorMessage="1" xr:uid="{C96952B1-366A-4FDE-8127-DE77473074FC}">
          <x14:formula1>
            <xm:f>GENERAL!$S$5:$S$20</xm:f>
          </x14:formula1>
          <xm:sqref>B4:C4</xm:sqref>
        </x14:dataValidation>
        <x14:dataValidation type="list" allowBlank="1" showInputMessage="1" showErrorMessage="1" xr:uid="{82CF3965-08C0-482A-B7AD-E827AEB2ED11}">
          <x14:formula1>
            <xm:f>GENERAL!$W$5:$W$53</xm:f>
          </x14:formula1>
          <xm:sqref>B3:C3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83646-5C4A-4EAF-A23D-454AAFF93E8B}">
  <dimension ref="A1:X42"/>
  <sheetViews>
    <sheetView zoomScale="85" zoomScaleNormal="85" zoomScalePageLayoutView="85" workbookViewId="0">
      <selection activeCell="B24" sqref="B24"/>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22006</v>
      </c>
      <c r="H1" s="65" t="s">
        <v>235</v>
      </c>
      <c r="I1" s="219" t="s">
        <v>217</v>
      </c>
      <c r="J1" s="219"/>
      <c r="K1" s="219"/>
      <c r="L1" s="219"/>
      <c r="M1" s="219"/>
      <c r="N1" s="219"/>
      <c r="O1" s="177"/>
      <c r="P1" s="219" t="s">
        <v>41</v>
      </c>
      <c r="Q1" s="219"/>
      <c r="R1" s="219"/>
      <c r="T1" s="219" t="s">
        <v>218</v>
      </c>
      <c r="U1" s="219"/>
      <c r="V1" s="219"/>
      <c r="W1" s="219"/>
      <c r="X1" s="219"/>
    </row>
    <row r="2" spans="1:24" x14ac:dyDescent="0.25">
      <c r="A2" s="62" t="s">
        <v>2</v>
      </c>
      <c r="B2" s="64" t="s">
        <v>241</v>
      </c>
      <c r="C2" s="164"/>
      <c r="D2" s="63"/>
      <c r="E2" s="166" t="s">
        <v>106</v>
      </c>
      <c r="F2" s="165"/>
    </row>
    <row r="3" spans="1:24" x14ac:dyDescent="0.25">
      <c r="A3" s="62" t="s">
        <v>94</v>
      </c>
      <c r="B3" s="222" t="s">
        <v>227</v>
      </c>
      <c r="C3" s="221"/>
      <c r="I3" s="1" t="s">
        <v>2</v>
      </c>
      <c r="J3" s="1">
        <v>0</v>
      </c>
      <c r="P3" s="223" t="s">
        <v>36</v>
      </c>
      <c r="Q3" s="223"/>
      <c r="R3" s="223"/>
      <c r="T3" s="1" t="s">
        <v>225</v>
      </c>
      <c r="U3" s="181">
        <v>1720.4</v>
      </c>
    </row>
    <row r="4" spans="1:24" x14ac:dyDescent="0.25">
      <c r="A4" s="62" t="s">
        <v>25</v>
      </c>
      <c r="B4" s="222" t="s">
        <v>83</v>
      </c>
      <c r="C4" s="221"/>
      <c r="D4" s="2"/>
      <c r="E4" s="166" t="s">
        <v>195</v>
      </c>
      <c r="F4" s="196" t="s">
        <v>218</v>
      </c>
      <c r="I4" s="1" t="s">
        <v>29</v>
      </c>
      <c r="J4" t="e" cm="1" vm="5">
        <f t="array" ref="J4">_FV(J3,"Símbolo bursátil",TRUE)</f>
        <v>#VALUE!</v>
      </c>
      <c r="P4" s="168" t="s">
        <v>37</v>
      </c>
      <c r="Q4" s="168" t="s">
        <v>37</v>
      </c>
      <c r="R4" s="30">
        <v>1</v>
      </c>
      <c r="T4" s="1" t="s">
        <v>219</v>
      </c>
      <c r="U4" s="192">
        <f>A8</f>
        <v>850</v>
      </c>
    </row>
    <row r="5" spans="1:24" x14ac:dyDescent="0.25">
      <c r="A5" s="3" t="s">
        <v>1</v>
      </c>
      <c r="B5" s="43" t="s">
        <v>22</v>
      </c>
      <c r="D5" s="166" t="s">
        <v>239</v>
      </c>
      <c r="E5" s="220" t="s">
        <v>242</v>
      </c>
      <c r="F5" s="221"/>
      <c r="I5" s="1" t="s">
        <v>28</v>
      </c>
      <c r="J5" t="e" cm="1" vm="6">
        <f t="array" ref="J5">_FV(J3,"Abreviatura de intercambio",TRUE)</f>
        <v>#VALUE!</v>
      </c>
      <c r="P5" t="e" vm="2">
        <v>#VALUE!</v>
      </c>
      <c r="Q5" s="31" t="s">
        <v>38</v>
      </c>
      <c r="R5" s="32" cm="1">
        <f t="array" ref="R5">_FV(P5,"Precio")</f>
        <v>1.073</v>
      </c>
    </row>
    <row r="6" spans="1:24" x14ac:dyDescent="0.25">
      <c r="A6" s="21" t="s">
        <v>0</v>
      </c>
      <c r="B6" s="4">
        <v>44676</v>
      </c>
      <c r="I6" s="1" t="s">
        <v>30</v>
      </c>
      <c r="J6" t="e" cm="1" vm="7">
        <f t="array" ref="J6">_FV(J3,"Moneda")</f>
        <v>#VALUE!</v>
      </c>
      <c r="P6" t="e" vm="3">
        <v>#VALUE!</v>
      </c>
      <c r="Q6" s="31" t="s">
        <v>39</v>
      </c>
      <c r="R6" s="33" cm="1">
        <f t="array" ref="R6">_FV(P6,"Precio")</f>
        <v>0.88790000000000002</v>
      </c>
      <c r="T6" s="1" t="s">
        <v>14</v>
      </c>
      <c r="U6" s="26">
        <v>10.065</v>
      </c>
      <c r="V6" s="183" t="s">
        <v>37</v>
      </c>
      <c r="W6" s="185">
        <f>IF($X$6="","",$U$6/VLOOKUP($V$6,$Q$4:$R$30,2,0))</f>
        <v>10.065</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8555.25</v>
      </c>
      <c r="V7" t="str">
        <f>V6</f>
        <v>EUR</v>
      </c>
      <c r="W7" s="185">
        <f>IF($X$7="","",$U$7/VLOOKUP($V$7,$Q$4:$R$30,2,0))</f>
        <v>8555.25</v>
      </c>
      <c r="X7" s="1" t="s">
        <v>37</v>
      </c>
    </row>
    <row r="8" spans="1:24" x14ac:dyDescent="0.25">
      <c r="A8" s="7">
        <v>850</v>
      </c>
      <c r="B8" s="188">
        <v>10.119999999999999</v>
      </c>
      <c r="C8" s="9">
        <v>10.119999999999999</v>
      </c>
      <c r="D8" s="11">
        <f t="shared" ref="D8:D18" si="0">(A8*C8)</f>
        <v>8602</v>
      </c>
      <c r="E8" s="9">
        <v>10.32</v>
      </c>
      <c r="F8" s="9">
        <v>0</v>
      </c>
      <c r="H8" s="12">
        <f t="shared" ref="H8:H18" si="1">(A8*C8+E8+F8)</f>
        <v>8612.32</v>
      </c>
      <c r="I8" s="1" t="s">
        <v>14</v>
      </c>
      <c r="J8" s="186" t="e" cm="1" vm="8">
        <f t="array" ref="J8">_FV(J3,"Precio")</f>
        <v>#VALUE!</v>
      </c>
      <c r="K8" s="27" t="e" vm="9">
        <f>J6</f>
        <v>#VALUE!</v>
      </c>
      <c r="L8" s="28" t="e" vm="9">
        <f>IF($M$8="","",$J$8/VLOOKUP($J$6,$Q$4:$R$30,2,0))</f>
        <v>#VALUE!</v>
      </c>
      <c r="M8" s="1" t="s">
        <v>37</v>
      </c>
      <c r="P8"/>
      <c r="Q8"/>
      <c r="R8"/>
      <c r="T8" s="1" t="s">
        <v>11</v>
      </c>
      <c r="U8" s="172">
        <f>IF($H$1="LARGO",$U$7-$D$19,$D$19-$U$7)</f>
        <v>46.75</v>
      </c>
      <c r="V8" t="str">
        <f>V6</f>
        <v>EUR</v>
      </c>
      <c r="W8" s="185">
        <f>IF($X$8="","",$U$8/VLOOKUP($V$8,$Q$4:$R$30,2,0))</f>
        <v>46.75</v>
      </c>
      <c r="X8" s="1" t="s">
        <v>37</v>
      </c>
    </row>
    <row r="9" spans="1:24" x14ac:dyDescent="0.25">
      <c r="A9" s="7">
        <v>0</v>
      </c>
      <c r="B9" s="57">
        <v>0</v>
      </c>
      <c r="C9" s="8">
        <v>0</v>
      </c>
      <c r="D9" s="11">
        <f t="shared" si="0"/>
        <v>0</v>
      </c>
      <c r="E9" s="9">
        <v>0.72</v>
      </c>
      <c r="F9" s="9">
        <v>0</v>
      </c>
      <c r="H9" s="12">
        <f t="shared" si="1"/>
        <v>0.72</v>
      </c>
      <c r="I9" s="1" t="s">
        <v>31</v>
      </c>
      <c r="J9" s="187" t="e" cm="1" vm="10">
        <f t="array" ref="J9">_FV(J3,"Cambio (%)",TRUE)</f>
        <v>#VALUE!</v>
      </c>
      <c r="P9"/>
      <c r="Q9"/>
      <c r="R9"/>
      <c r="U9" s="172"/>
      <c r="V9"/>
      <c r="W9" s="185"/>
    </row>
    <row r="10" spans="1:24" x14ac:dyDescent="0.25">
      <c r="A10" s="7">
        <v>0</v>
      </c>
      <c r="B10" s="57">
        <v>0</v>
      </c>
      <c r="C10" s="8">
        <v>0</v>
      </c>
      <c r="D10" s="11">
        <f t="shared" si="0"/>
        <v>0</v>
      </c>
      <c r="E10" s="9">
        <v>0.72</v>
      </c>
      <c r="F10" s="9">
        <v>0</v>
      </c>
      <c r="H10" s="12">
        <f t="shared" si="1"/>
        <v>0.72</v>
      </c>
      <c r="P10"/>
      <c r="Q10"/>
      <c r="R10"/>
    </row>
    <row r="11" spans="1:24" x14ac:dyDescent="0.25">
      <c r="A11" s="7">
        <v>0</v>
      </c>
      <c r="B11" s="57">
        <v>0</v>
      </c>
      <c r="C11" s="8">
        <v>0</v>
      </c>
      <c r="D11" s="11">
        <f t="shared" si="0"/>
        <v>0</v>
      </c>
      <c r="E11" s="9">
        <v>0</v>
      </c>
      <c r="F11" s="9">
        <v>0</v>
      </c>
      <c r="H11" s="12">
        <f t="shared" si="1"/>
        <v>0</v>
      </c>
      <c r="I11" s="1" t="s">
        <v>32</v>
      </c>
      <c r="J11" s="53" t="e" cm="1" vm="11">
        <f t="array" ref="J11">_FV(J3,"Apertura")</f>
        <v>#VALUE!</v>
      </c>
      <c r="P11"/>
      <c r="Q11"/>
      <c r="R11"/>
      <c r="T11" s="1" t="s">
        <v>42</v>
      </c>
      <c r="U11" s="201">
        <v>10.404999999999999</v>
      </c>
      <c r="V11" t="str">
        <f>V6</f>
        <v>EUR</v>
      </c>
      <c r="W11" s="185">
        <f>IF($X$11="","",$U$11/VLOOKUP($V$11,$Q$4:$R$30,2,0))</f>
        <v>10.404999999999999</v>
      </c>
      <c r="X11" s="1" t="s">
        <v>37</v>
      </c>
    </row>
    <row r="12" spans="1:24" x14ac:dyDescent="0.25">
      <c r="A12" s="7">
        <v>0</v>
      </c>
      <c r="B12" s="57">
        <v>0</v>
      </c>
      <c r="C12" s="8">
        <v>0</v>
      </c>
      <c r="D12" s="11">
        <f t="shared" si="0"/>
        <v>0</v>
      </c>
      <c r="E12" s="9">
        <v>0</v>
      </c>
      <c r="F12" s="9">
        <v>0</v>
      </c>
      <c r="H12" s="12">
        <f t="shared" si="1"/>
        <v>0</v>
      </c>
      <c r="I12" s="1" t="s">
        <v>33</v>
      </c>
      <c r="J12" s="53" t="e" cm="1" vm="12">
        <f t="array" ref="J12">_FV(J3,"Máximo")</f>
        <v>#VALUE!</v>
      </c>
      <c r="P12"/>
      <c r="Q12"/>
      <c r="R12"/>
      <c r="U12" s="193">
        <f>(U11*$U$4)</f>
        <v>8844.25</v>
      </c>
      <c r="V12" t="str">
        <f>V11</f>
        <v>EUR</v>
      </c>
      <c r="W12" s="185">
        <f>IF($X$12="","",$U$12/VLOOKUP($V$12,$Q$4:$R$30,2,0))</f>
        <v>8844.25</v>
      </c>
      <c r="X12" s="1" t="s">
        <v>37</v>
      </c>
    </row>
    <row r="13" spans="1:24" x14ac:dyDescent="0.25">
      <c r="A13" s="7">
        <v>0</v>
      </c>
      <c r="B13" s="57">
        <v>0</v>
      </c>
      <c r="C13" s="8">
        <v>0</v>
      </c>
      <c r="D13" s="11">
        <f t="shared" si="0"/>
        <v>0</v>
      </c>
      <c r="E13" s="9">
        <v>0</v>
      </c>
      <c r="F13" s="9">
        <v>0</v>
      </c>
      <c r="H13" s="12">
        <f t="shared" si="1"/>
        <v>0</v>
      </c>
      <c r="I13" s="1" t="s">
        <v>34</v>
      </c>
      <c r="J13" s="53" t="e" cm="1" vm="13">
        <f t="array" ref="J13">_FV(J3,"Mínimo")</f>
        <v>#VALUE!</v>
      </c>
      <c r="P13"/>
      <c r="Q13"/>
      <c r="R13"/>
      <c r="T13" s="1" t="s">
        <v>11</v>
      </c>
      <c r="U13" s="172">
        <f>IF($H$1="LARGO",$U$12-$D$19,$D$19-$U$12)</f>
        <v>-242.25</v>
      </c>
      <c r="V13" t="str">
        <f>V11</f>
        <v>EUR</v>
      </c>
      <c r="W13" s="185">
        <f>IF($X$13="","",$U$13/VLOOKUP($V$13,$Q$4:$R$30,2,0))</f>
        <v>-242.25</v>
      </c>
      <c r="X13" s="1" t="s">
        <v>37</v>
      </c>
    </row>
    <row r="14" spans="1:24" x14ac:dyDescent="0.25">
      <c r="A14" s="7">
        <v>0</v>
      </c>
      <c r="B14" s="57">
        <v>0</v>
      </c>
      <c r="C14" s="8">
        <v>0</v>
      </c>
      <c r="D14" s="11">
        <f t="shared" si="0"/>
        <v>0</v>
      </c>
      <c r="E14" s="9">
        <v>0</v>
      </c>
      <c r="F14" s="9">
        <v>0</v>
      </c>
      <c r="H14" s="12">
        <f t="shared" si="1"/>
        <v>0</v>
      </c>
      <c r="I14" s="1" t="s">
        <v>35</v>
      </c>
      <c r="J14" s="53" t="e" cm="1" vm="14">
        <f t="array" ref="J14">_FV(J3,"Cierre anterior",TRUE)</f>
        <v>#VALUE!</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201">
        <v>9.6150000000000002</v>
      </c>
      <c r="V16" t="str">
        <f>V11</f>
        <v>EUR</v>
      </c>
      <c r="W16" s="185">
        <f>IF($X$16="","",$U$16/VLOOKUP($V$16,$Q$4:$R$30,2,0))</f>
        <v>9.6150000000000002</v>
      </c>
      <c r="X16" s="1" t="s">
        <v>37</v>
      </c>
    </row>
    <row r="17" spans="1:24" x14ac:dyDescent="0.25">
      <c r="A17" s="7">
        <v>0</v>
      </c>
      <c r="B17" s="57">
        <v>0</v>
      </c>
      <c r="C17" s="8">
        <v>0</v>
      </c>
      <c r="D17" s="11">
        <f t="shared" si="0"/>
        <v>0</v>
      </c>
      <c r="E17" s="9">
        <v>0</v>
      </c>
      <c r="F17" s="9">
        <v>0</v>
      </c>
      <c r="H17" s="12">
        <f t="shared" si="1"/>
        <v>0</v>
      </c>
      <c r="P17"/>
      <c r="Q17"/>
      <c r="R17"/>
      <c r="U17" s="193">
        <f>(U16*$U$4)</f>
        <v>8172.75</v>
      </c>
      <c r="V17" t="str">
        <f>V16</f>
        <v>EUR</v>
      </c>
      <c r="W17" s="185">
        <f>IF($X$17="","",$U$17/VLOOKUP($V$17,$Q$4:$R$30,2,0))</f>
        <v>8172.75</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429.25</v>
      </c>
      <c r="V18" t="str">
        <f>V16</f>
        <v>EUR</v>
      </c>
      <c r="W18" s="185">
        <f>IF($X$18="","",$U$18/VLOOKUP($V$18,$Q$4:$R$30,2,0))</f>
        <v>429.25</v>
      </c>
      <c r="X18" s="1" t="s">
        <v>37</v>
      </c>
    </row>
    <row r="19" spans="1:24" x14ac:dyDescent="0.25">
      <c r="A19" s="14">
        <f>SUM(A8:A18)</f>
        <v>850</v>
      </c>
      <c r="B19" s="16" cm="1">
        <f t="array" ref="B19">SUM(B8:B18/A20)</f>
        <v>10.119999999999999</v>
      </c>
      <c r="C19" s="16" cm="1">
        <f t="array" ref="C19">SUM(C8:C18/A20)</f>
        <v>10.119999999999999</v>
      </c>
      <c r="D19" s="16">
        <f>SUM(D8:D18)</f>
        <v>8602</v>
      </c>
      <c r="E19" s="16">
        <f>SUM(E8:E18)</f>
        <v>11.760000000000002</v>
      </c>
      <c r="F19" s="17">
        <f>SUM(F8:F18)</f>
        <v>0</v>
      </c>
      <c r="H19" s="13">
        <f>SUM(H8:H18)</f>
        <v>8613.7599999999984</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44" t="s">
        <v>21</v>
      </c>
      <c r="P22"/>
      <c r="Q22"/>
      <c r="R22"/>
    </row>
    <row r="23" spans="1:24" x14ac:dyDescent="0.25">
      <c r="A23" s="21" t="s">
        <v>0</v>
      </c>
      <c r="B23" s="4">
        <v>44678</v>
      </c>
      <c r="P23"/>
      <c r="Q23"/>
      <c r="R23"/>
    </row>
    <row r="24" spans="1:24" x14ac:dyDescent="0.25">
      <c r="A24" s="5" t="s">
        <v>219</v>
      </c>
      <c r="B24" s="5" t="s">
        <v>8</v>
      </c>
      <c r="C24" s="5" t="s">
        <v>52</v>
      </c>
      <c r="D24" s="6" t="s">
        <v>9</v>
      </c>
      <c r="E24" s="6" t="s">
        <v>10</v>
      </c>
      <c r="F24" s="6" t="s">
        <v>5</v>
      </c>
      <c r="P24"/>
      <c r="Q24"/>
      <c r="R24"/>
    </row>
    <row r="25" spans="1:24" x14ac:dyDescent="0.25">
      <c r="A25" s="7">
        <v>850</v>
      </c>
      <c r="B25" s="57">
        <v>9.8480000000000008</v>
      </c>
      <c r="C25" s="8">
        <v>9.8480000000000008</v>
      </c>
      <c r="D25" s="11">
        <f t="shared" ref="D25:D35" si="2">(A25*C25)</f>
        <v>8370.8000000000011</v>
      </c>
      <c r="E25" s="9">
        <v>10.039999999999999</v>
      </c>
      <c r="F25" s="9">
        <v>0</v>
      </c>
      <c r="H25" s="12">
        <f t="shared" ref="H25:H35" si="3">(A25*C25-E25-F25)</f>
        <v>8360.76</v>
      </c>
      <c r="P25"/>
      <c r="Q25"/>
      <c r="R25"/>
    </row>
    <row r="26" spans="1:24" x14ac:dyDescent="0.25">
      <c r="A26" s="7">
        <v>0</v>
      </c>
      <c r="B26" s="57">
        <v>0</v>
      </c>
      <c r="C26" s="8">
        <v>0</v>
      </c>
      <c r="D26" s="11">
        <f t="shared" si="2"/>
        <v>0</v>
      </c>
      <c r="E26" s="9">
        <v>0</v>
      </c>
      <c r="F26" s="9">
        <v>0</v>
      </c>
      <c r="H26" s="12">
        <f t="shared" si="3"/>
        <v>0</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850</v>
      </c>
      <c r="B36" s="58" cm="1">
        <f t="array" ref="B36">SUM(B25:B35/A37)</f>
        <v>9.8480000000000008</v>
      </c>
      <c r="C36" s="15" cm="1">
        <f t="array" ref="C36">SUM(C25:C35/A37)</f>
        <v>9.8480000000000008</v>
      </c>
      <c r="D36" s="16">
        <f>SUM(D25:D35)</f>
        <v>8370.8000000000011</v>
      </c>
      <c r="E36" s="16">
        <f>SUM(E25:E35)</f>
        <v>10.039999999999999</v>
      </c>
      <c r="F36" s="17">
        <f>SUM(F25:F35)</f>
        <v>0</v>
      </c>
      <c r="H36" s="13">
        <f>SUM(H25:H35)</f>
        <v>8360.76</v>
      </c>
    </row>
    <row r="37" spans="1:8" x14ac:dyDescent="0.25">
      <c r="A37">
        <f>COUNTIF(A25:A35, "&gt;0")</f>
        <v>1</v>
      </c>
      <c r="B37"/>
    </row>
    <row r="38" spans="1:8" x14ac:dyDescent="0.25">
      <c r="H38" s="19">
        <f>(H36-H19)</f>
        <v>-252.99999999999818</v>
      </c>
    </row>
    <row r="39" spans="1:8" x14ac:dyDescent="0.25">
      <c r="D39" s="1" t="s">
        <v>20</v>
      </c>
    </row>
    <row r="40" spans="1:8" x14ac:dyDescent="0.25">
      <c r="A40" s="10" t="s">
        <v>11</v>
      </c>
      <c r="B40" s="10"/>
      <c r="D40" s="18">
        <f>IF(H1="LARGO",D36-D19,D19-D36)</f>
        <v>231.19999999999891</v>
      </c>
      <c r="E40" s="19">
        <f>(E19+E36)</f>
        <v>21.8</v>
      </c>
      <c r="F40" s="19">
        <f>(F19+F36)</f>
        <v>0</v>
      </c>
      <c r="H40" s="20">
        <f>(H38-F42)</f>
        <v>-462.39999999999708</v>
      </c>
    </row>
    <row r="41" spans="1:8" x14ac:dyDescent="0.25">
      <c r="A41" s="10"/>
      <c r="B41" s="10"/>
      <c r="D41" s="19"/>
      <c r="E41" s="19">
        <f>(E40+F40)</f>
        <v>21.8</v>
      </c>
      <c r="F41" s="19"/>
      <c r="G41" s="19"/>
      <c r="H41" s="20"/>
    </row>
    <row r="42" spans="1:8" x14ac:dyDescent="0.25">
      <c r="A42" s="10"/>
      <c r="B42" s="10"/>
      <c r="D42" s="19"/>
      <c r="E42" s="56" t="s">
        <v>55</v>
      </c>
      <c r="F42" s="18">
        <f>(D40-E40-F40)</f>
        <v>209.3999999999989</v>
      </c>
      <c r="G42" s="19"/>
      <c r="H42" s="20"/>
    </row>
  </sheetData>
  <mergeCells count="7">
    <mergeCell ref="E5:F5"/>
    <mergeCell ref="I1:N1"/>
    <mergeCell ref="P1:R1"/>
    <mergeCell ref="T1:X1"/>
    <mergeCell ref="B3:C3"/>
    <mergeCell ref="P3:R3"/>
    <mergeCell ref="B4:C4"/>
  </mergeCells>
  <dataValidations count="2">
    <dataValidation type="list" allowBlank="1" showInputMessage="1" showErrorMessage="1" sqref="H1" xr:uid="{359ED331-3449-423D-87D7-8C207EB3C872}">
      <formula1>"LARGO, CORTO"</formula1>
    </dataValidation>
    <dataValidation type="list" allowBlank="1" showInputMessage="1" showErrorMessage="1" sqref="V6" xr:uid="{EBEA0C72-BD19-460C-826F-AC9E9576F4F8}">
      <formula1>$Q$4:$Q$7</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490448D-CAD6-4FFF-862B-7F031089F1EA}">
          <x14:formula1>
            <xm:f>GENERAL!$AH$2:$AJ$2</xm:f>
          </x14:formula1>
          <xm:sqref>F4</xm:sqref>
        </x14:dataValidation>
        <x14:dataValidation type="list" allowBlank="1" showInputMessage="1" showErrorMessage="1" xr:uid="{B12B636C-15E5-4498-9C1B-F547251CBB3D}">
          <x14:formula1>
            <xm:f>GENERAL!$S$5:$S$20</xm:f>
          </x14:formula1>
          <xm:sqref>B4:C4</xm:sqref>
        </x14:dataValidation>
        <x14:dataValidation type="list" allowBlank="1" showInputMessage="1" showErrorMessage="1" xr:uid="{F9D8D4A4-C330-4BC7-A11F-4121CFB6854F}">
          <x14:formula1>
            <xm:f>GENERAL!$W$5:$W$53</xm:f>
          </x14:formula1>
          <xm:sqref>B3:C3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AC6C-5608-493C-A9DB-C1AD496B856B}">
  <dimension ref="A1:X42"/>
  <sheetViews>
    <sheetView zoomScale="85" zoomScaleNormal="85" zoomScalePageLayoutView="85" workbookViewId="0">
      <selection activeCell="B24" sqref="B24"/>
    </sheetView>
  </sheetViews>
  <sheetFormatPr baseColWidth="10" defaultColWidth="11.42578125" defaultRowHeight="15" x14ac:dyDescent="0.25"/>
  <cols>
    <col min="1" max="1" width="11.42578125" style="1"/>
    <col min="2" max="2" width="14.140625" style="1" customWidth="1"/>
    <col min="3" max="3" width="12.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1" style="1" customWidth="1"/>
    <col min="15" max="15" width="3.7109375" style="1" customWidth="1"/>
    <col min="16" max="18" width="11.42578125" style="1"/>
    <col min="19" max="19" width="3.7109375" style="1" customWidth="1"/>
    <col min="20" max="20" width="30.28515625" style="1" customWidth="1"/>
    <col min="21" max="21" width="13.5703125" style="1" customWidth="1"/>
    <col min="22" max="22" width="7.28515625" style="1" customWidth="1"/>
    <col min="23" max="16384" width="11.42578125" style="1"/>
  </cols>
  <sheetData>
    <row r="1" spans="1:24" x14ac:dyDescent="0.25">
      <c r="A1" s="22" t="s">
        <v>6</v>
      </c>
      <c r="B1" s="55"/>
      <c r="C1" s="23"/>
      <c r="D1" s="174">
        <v>22005</v>
      </c>
      <c r="H1" s="65" t="s">
        <v>235</v>
      </c>
      <c r="I1" s="219" t="s">
        <v>217</v>
      </c>
      <c r="J1" s="219"/>
      <c r="K1" s="219"/>
      <c r="L1" s="219"/>
      <c r="M1" s="219"/>
      <c r="N1" s="219"/>
      <c r="O1" s="177"/>
      <c r="P1" s="219" t="s">
        <v>41</v>
      </c>
      <c r="Q1" s="219"/>
      <c r="R1" s="219"/>
      <c r="T1" s="219" t="s">
        <v>218</v>
      </c>
      <c r="U1" s="219"/>
      <c r="V1" s="219"/>
      <c r="W1" s="219"/>
    </row>
    <row r="2" spans="1:24" x14ac:dyDescent="0.25">
      <c r="A2" s="62" t="s">
        <v>2</v>
      </c>
      <c r="B2" s="64" t="s">
        <v>236</v>
      </c>
      <c r="C2" s="164"/>
      <c r="D2" s="63"/>
      <c r="E2" s="166" t="s">
        <v>106</v>
      </c>
      <c r="F2" s="165"/>
    </row>
    <row r="3" spans="1:24" x14ac:dyDescent="0.25">
      <c r="A3" s="62" t="s">
        <v>94</v>
      </c>
      <c r="B3" s="222" t="s">
        <v>227</v>
      </c>
      <c r="C3" s="221"/>
      <c r="I3" s="1" t="s">
        <v>2</v>
      </c>
      <c r="J3" s="1">
        <v>0</v>
      </c>
      <c r="P3" s="223" t="s">
        <v>36</v>
      </c>
      <c r="Q3" s="223"/>
      <c r="R3" s="223"/>
      <c r="T3" s="1" t="s">
        <v>225</v>
      </c>
      <c r="U3" s="181">
        <v>1645.42</v>
      </c>
    </row>
    <row r="4" spans="1:24" x14ac:dyDescent="0.25">
      <c r="A4" s="62" t="s">
        <v>25</v>
      </c>
      <c r="B4" s="222" t="s">
        <v>79</v>
      </c>
      <c r="C4" s="221"/>
      <c r="D4" s="2"/>
      <c r="E4" s="166" t="s">
        <v>195</v>
      </c>
      <c r="F4" s="196" t="s">
        <v>218</v>
      </c>
      <c r="I4" s="1" t="s">
        <v>29</v>
      </c>
      <c r="J4" t="e" cm="1" vm="5">
        <f t="array" ref="J4">_FV(J3,"Símbolo bursátil",TRUE)</f>
        <v>#VALUE!</v>
      </c>
      <c r="P4" s="168" t="s">
        <v>37</v>
      </c>
      <c r="Q4" s="168" t="s">
        <v>37</v>
      </c>
      <c r="R4" s="30">
        <v>1</v>
      </c>
      <c r="T4" s="1" t="s">
        <v>219</v>
      </c>
      <c r="U4" s="192">
        <f>A8</f>
        <v>73</v>
      </c>
    </row>
    <row r="5" spans="1:24" x14ac:dyDescent="0.25">
      <c r="A5" s="3" t="s">
        <v>1</v>
      </c>
      <c r="B5" s="43" t="s">
        <v>22</v>
      </c>
      <c r="D5" s="166" t="s">
        <v>239</v>
      </c>
      <c r="E5" s="220" t="s">
        <v>240</v>
      </c>
      <c r="F5" s="221"/>
      <c r="I5" s="1" t="s">
        <v>28</v>
      </c>
      <c r="J5" t="e" cm="1" vm="6">
        <f t="array" ref="J5">_FV(J3,"Abreviatura de intercambio",TRUE)</f>
        <v>#VALUE!</v>
      </c>
      <c r="P5" t="e" vm="2">
        <v>#VALUE!</v>
      </c>
      <c r="Q5" s="31" t="s">
        <v>38</v>
      </c>
      <c r="R5" s="32" cm="1">
        <f t="array" ref="R5">_FV(P5,"Precio")</f>
        <v>1.073</v>
      </c>
    </row>
    <row r="6" spans="1:24" x14ac:dyDescent="0.25">
      <c r="A6" s="21" t="s">
        <v>0</v>
      </c>
      <c r="B6" s="4">
        <v>44662</v>
      </c>
      <c r="I6" s="1" t="s">
        <v>30</v>
      </c>
      <c r="J6" t="e" cm="1" vm="7">
        <f t="array" ref="J6">_FV(J3,"Moneda")</f>
        <v>#VALUE!</v>
      </c>
      <c r="P6" t="e" vm="3">
        <v>#VALUE!</v>
      </c>
      <c r="Q6" s="31" t="s">
        <v>39</v>
      </c>
      <c r="R6" s="33" cm="1">
        <f t="array" ref="R6">_FV(P6,"Precio")</f>
        <v>0.88790000000000002</v>
      </c>
      <c r="T6" s="1" t="s">
        <v>14</v>
      </c>
      <c r="U6" s="182">
        <v>110.3</v>
      </c>
      <c r="V6" s="183" t="s">
        <v>37</v>
      </c>
      <c r="W6" s="185">
        <f>IF($X$6="","",$U$6/VLOOKUP($V$6,$Q$4:$R$30,2,0))</f>
        <v>110.3</v>
      </c>
      <c r="X6" s="1" t="s">
        <v>37</v>
      </c>
    </row>
    <row r="7" spans="1:24" x14ac:dyDescent="0.25">
      <c r="A7" s="5" t="s">
        <v>219</v>
      </c>
      <c r="B7" s="5" t="s">
        <v>8</v>
      </c>
      <c r="C7" s="5" t="s">
        <v>52</v>
      </c>
      <c r="D7" s="6" t="s">
        <v>9</v>
      </c>
      <c r="E7" s="6" t="s">
        <v>10</v>
      </c>
      <c r="F7" s="6" t="s">
        <v>5</v>
      </c>
      <c r="P7" t="e" vm="4">
        <v>#VALUE!</v>
      </c>
      <c r="Q7" s="31" t="s">
        <v>40</v>
      </c>
      <c r="R7" s="34" cm="1">
        <f t="array" ref="R7">_FV(P7,"Precio")</f>
        <v>7.2827000000000002</v>
      </c>
      <c r="U7" s="193">
        <f>(U6*$U$4)</f>
        <v>8051.9</v>
      </c>
      <c r="V7" t="str">
        <f>V6</f>
        <v>EUR</v>
      </c>
      <c r="W7" s="185">
        <f>IF($X$7="","",$U$7/VLOOKUP($V$7,$Q$4:$R$30,2,0))</f>
        <v>8051.9</v>
      </c>
      <c r="X7" s="1" t="s">
        <v>37</v>
      </c>
    </row>
    <row r="8" spans="1:24" x14ac:dyDescent="0.25">
      <c r="A8" s="7">
        <v>73</v>
      </c>
      <c r="B8" s="188">
        <v>112.7</v>
      </c>
      <c r="C8" s="9">
        <v>112.7</v>
      </c>
      <c r="D8" s="11">
        <f t="shared" ref="D8:D18" si="0">(A8*C8)</f>
        <v>8227.1</v>
      </c>
      <c r="E8" s="9">
        <v>8</v>
      </c>
      <c r="F8" s="9">
        <v>0</v>
      </c>
      <c r="H8" s="12">
        <f t="shared" ref="H8:H18" si="1">(A8*C8+E8+F8)</f>
        <v>8235.1</v>
      </c>
      <c r="I8" s="1" t="s">
        <v>14</v>
      </c>
      <c r="J8" s="186" t="e" cm="1" vm="8">
        <f t="array" ref="J8">_FV(J3,"Precio")</f>
        <v>#VALUE!</v>
      </c>
      <c r="K8" s="27" t="e" vm="9">
        <f>J6</f>
        <v>#VALUE!</v>
      </c>
      <c r="L8" s="28" t="e" vm="9">
        <f>IF($M$8="","",$J$8/VLOOKUP($J$6,$Q$4:$R$30,2,0))</f>
        <v>#VALUE!</v>
      </c>
      <c r="M8" s="1" t="s">
        <v>37</v>
      </c>
      <c r="P8"/>
      <c r="Q8"/>
      <c r="R8"/>
      <c r="T8" s="1" t="s">
        <v>11</v>
      </c>
      <c r="U8" s="172">
        <f>IF($H$1="LARGO",$U$7-$D$19,$D$19-$U$7)</f>
        <v>175.20000000000073</v>
      </c>
      <c r="V8" t="str">
        <f>V6</f>
        <v>EUR</v>
      </c>
      <c r="W8" s="185">
        <f>IF($X$8="","",$U$8/VLOOKUP($V$8,$Q$4:$R$30,2,0))</f>
        <v>175.20000000000073</v>
      </c>
      <c r="X8" s="1" t="s">
        <v>37</v>
      </c>
    </row>
    <row r="9" spans="1:24" x14ac:dyDescent="0.25">
      <c r="A9" s="7">
        <v>0</v>
      </c>
      <c r="B9" s="57">
        <v>0</v>
      </c>
      <c r="C9" s="8">
        <v>0</v>
      </c>
      <c r="D9" s="11">
        <f t="shared" si="0"/>
        <v>0</v>
      </c>
      <c r="E9" s="9">
        <v>0.68</v>
      </c>
      <c r="F9" s="9">
        <v>0</v>
      </c>
      <c r="H9" s="12">
        <f t="shared" si="1"/>
        <v>0.68</v>
      </c>
      <c r="I9" s="1" t="s">
        <v>31</v>
      </c>
      <c r="J9" s="187" t="e" cm="1" vm="10">
        <f t="array" ref="J9">_FV(J3,"Cambio (%)",TRUE)</f>
        <v>#VALUE!</v>
      </c>
      <c r="P9"/>
      <c r="Q9"/>
      <c r="R9"/>
      <c r="U9" s="172"/>
      <c r="V9"/>
      <c r="W9" s="185"/>
    </row>
    <row r="10" spans="1:24" x14ac:dyDescent="0.25">
      <c r="A10" s="7">
        <v>0</v>
      </c>
      <c r="B10" s="57">
        <v>0</v>
      </c>
      <c r="C10" s="8">
        <v>0</v>
      </c>
      <c r="D10" s="11">
        <f t="shared" si="0"/>
        <v>0</v>
      </c>
      <c r="E10" s="9">
        <v>0.68</v>
      </c>
      <c r="F10" s="9">
        <v>0</v>
      </c>
      <c r="H10" s="12">
        <f t="shared" si="1"/>
        <v>0.68</v>
      </c>
      <c r="P10"/>
      <c r="Q10"/>
      <c r="R10"/>
    </row>
    <row r="11" spans="1:24" x14ac:dyDescent="0.25">
      <c r="A11" s="7">
        <v>0</v>
      </c>
      <c r="B11" s="57">
        <v>0</v>
      </c>
      <c r="C11" s="8">
        <v>0</v>
      </c>
      <c r="D11" s="11">
        <f t="shared" si="0"/>
        <v>0</v>
      </c>
      <c r="E11" s="9">
        <v>0</v>
      </c>
      <c r="F11" s="9">
        <v>0</v>
      </c>
      <c r="H11" s="12">
        <f t="shared" si="1"/>
        <v>0</v>
      </c>
      <c r="I11" s="1" t="s">
        <v>32</v>
      </c>
      <c r="J11" s="53" t="e" cm="1" vm="11">
        <f t="array" ref="J11">_FV(J3,"Apertura")</f>
        <v>#VALUE!</v>
      </c>
      <c r="P11"/>
      <c r="Q11"/>
      <c r="R11"/>
      <c r="T11" s="1" t="s">
        <v>42</v>
      </c>
      <c r="U11" s="191">
        <v>117.3</v>
      </c>
      <c r="V11" t="str">
        <f>V6</f>
        <v>EUR</v>
      </c>
      <c r="W11" s="185">
        <f>IF($X$11="","",$U$11/VLOOKUP($V$11,$Q$4:$R$30,2,0))</f>
        <v>117.3</v>
      </c>
      <c r="X11" s="1" t="s">
        <v>37</v>
      </c>
    </row>
    <row r="12" spans="1:24" x14ac:dyDescent="0.25">
      <c r="A12" s="7">
        <v>0</v>
      </c>
      <c r="B12" s="57">
        <v>0</v>
      </c>
      <c r="C12" s="8">
        <v>0</v>
      </c>
      <c r="D12" s="11">
        <f t="shared" si="0"/>
        <v>0</v>
      </c>
      <c r="E12" s="9">
        <v>0</v>
      </c>
      <c r="F12" s="9">
        <v>0</v>
      </c>
      <c r="H12" s="12">
        <f t="shared" si="1"/>
        <v>0</v>
      </c>
      <c r="I12" s="1" t="s">
        <v>33</v>
      </c>
      <c r="J12" s="53" t="e" cm="1" vm="12">
        <f t="array" ref="J12">_FV(J3,"Máximo")</f>
        <v>#VALUE!</v>
      </c>
      <c r="P12"/>
      <c r="Q12"/>
      <c r="R12"/>
      <c r="U12" s="193">
        <f>(U11*$U$4)</f>
        <v>8562.9</v>
      </c>
      <c r="V12" t="str">
        <f>V11</f>
        <v>EUR</v>
      </c>
      <c r="W12" s="185">
        <f>IF($X$12="","",$U$12/VLOOKUP($V$12,$Q$4:$R$30,2,0))</f>
        <v>8562.9</v>
      </c>
      <c r="X12" s="1" t="s">
        <v>37</v>
      </c>
    </row>
    <row r="13" spans="1:24" x14ac:dyDescent="0.25">
      <c r="A13" s="7">
        <v>0</v>
      </c>
      <c r="B13" s="57">
        <v>0</v>
      </c>
      <c r="C13" s="8">
        <v>0</v>
      </c>
      <c r="D13" s="11">
        <f t="shared" si="0"/>
        <v>0</v>
      </c>
      <c r="E13" s="9">
        <v>0</v>
      </c>
      <c r="F13" s="9">
        <v>0</v>
      </c>
      <c r="H13" s="12">
        <f t="shared" si="1"/>
        <v>0</v>
      </c>
      <c r="I13" s="1" t="s">
        <v>34</v>
      </c>
      <c r="J13" s="53" t="e" cm="1" vm="13">
        <f t="array" ref="J13">_FV(J3,"Mínimo")</f>
        <v>#VALUE!</v>
      </c>
      <c r="P13"/>
      <c r="Q13"/>
      <c r="R13"/>
      <c r="T13" s="1" t="s">
        <v>11</v>
      </c>
      <c r="U13" s="172">
        <f>IF($H$1="LARGO",$U$12-$D$19,$D$19-$U$12)</f>
        <v>-335.79999999999927</v>
      </c>
      <c r="V13" t="str">
        <f>V11</f>
        <v>EUR</v>
      </c>
      <c r="W13" s="185">
        <f>IF($X$13="","",$U$13/VLOOKUP($V$13,$Q$4:$R$30,2,0))</f>
        <v>-335.79999999999927</v>
      </c>
      <c r="X13" s="1" t="s">
        <v>37</v>
      </c>
    </row>
    <row r="14" spans="1:24" x14ac:dyDescent="0.25">
      <c r="A14" s="7">
        <v>0</v>
      </c>
      <c r="B14" s="57">
        <v>0</v>
      </c>
      <c r="C14" s="8">
        <v>0</v>
      </c>
      <c r="D14" s="11">
        <f t="shared" si="0"/>
        <v>0</v>
      </c>
      <c r="E14" s="9">
        <v>0</v>
      </c>
      <c r="F14" s="9">
        <v>0</v>
      </c>
      <c r="H14" s="12">
        <f t="shared" si="1"/>
        <v>0</v>
      </c>
      <c r="I14" s="1" t="s">
        <v>35</v>
      </c>
      <c r="J14" s="53" t="e" cm="1" vm="14">
        <f t="array" ref="J14">_FV(J3,"Cierre anterior",TRUE)</f>
        <v>#VALUE!</v>
      </c>
      <c r="P14"/>
      <c r="Q14"/>
      <c r="R14"/>
      <c r="U14" s="184"/>
      <c r="V14"/>
      <c r="W14" s="185"/>
    </row>
    <row r="15" spans="1:24" x14ac:dyDescent="0.25">
      <c r="A15" s="7">
        <v>0</v>
      </c>
      <c r="B15" s="57">
        <v>0</v>
      </c>
      <c r="C15" s="8">
        <v>0</v>
      </c>
      <c r="D15" s="11">
        <f t="shared" si="0"/>
        <v>0</v>
      </c>
      <c r="E15" s="9">
        <v>0</v>
      </c>
      <c r="F15" s="9">
        <v>0</v>
      </c>
      <c r="H15" s="12">
        <f t="shared" si="1"/>
        <v>0</v>
      </c>
      <c r="P15"/>
      <c r="Q15"/>
      <c r="R15"/>
      <c r="U15" s="184"/>
      <c r="V15"/>
      <c r="W15" s="185"/>
    </row>
    <row r="16" spans="1:24" x14ac:dyDescent="0.25">
      <c r="A16" s="7">
        <v>0</v>
      </c>
      <c r="B16" s="57">
        <v>0</v>
      </c>
      <c r="C16" s="8">
        <v>0</v>
      </c>
      <c r="D16" s="11">
        <f t="shared" si="0"/>
        <v>0</v>
      </c>
      <c r="E16" s="9">
        <v>0</v>
      </c>
      <c r="F16" s="9">
        <v>0</v>
      </c>
      <c r="H16" s="12">
        <f t="shared" si="1"/>
        <v>0</v>
      </c>
      <c r="P16"/>
      <c r="Q16"/>
      <c r="R16"/>
      <c r="T16" s="1" t="s">
        <v>43</v>
      </c>
      <c r="U16" s="191">
        <v>105.8</v>
      </c>
      <c r="V16" t="str">
        <f>V11</f>
        <v>EUR</v>
      </c>
      <c r="W16" s="185">
        <f>IF($X$16="","",$U$16/VLOOKUP($V$16,$Q$4:$R$30,2,0))</f>
        <v>105.8</v>
      </c>
      <c r="X16" s="1" t="s">
        <v>37</v>
      </c>
    </row>
    <row r="17" spans="1:24" x14ac:dyDescent="0.25">
      <c r="A17" s="7">
        <v>0</v>
      </c>
      <c r="B17" s="57">
        <v>0</v>
      </c>
      <c r="C17" s="8">
        <v>0</v>
      </c>
      <c r="D17" s="11">
        <f t="shared" si="0"/>
        <v>0</v>
      </c>
      <c r="E17" s="9">
        <v>0</v>
      </c>
      <c r="F17" s="9">
        <v>0</v>
      </c>
      <c r="H17" s="12">
        <f t="shared" si="1"/>
        <v>0</v>
      </c>
      <c r="P17"/>
      <c r="Q17"/>
      <c r="R17"/>
      <c r="U17" s="193">
        <f>(U16*$U$4)</f>
        <v>7723.4</v>
      </c>
      <c r="V17" t="str">
        <f>V16</f>
        <v>EUR</v>
      </c>
      <c r="W17" s="185">
        <f>IF($X$17="","",$U$17/VLOOKUP($V$17,$Q$4:$R$30,2,0))</f>
        <v>7723.4</v>
      </c>
      <c r="X17" s="1" t="s">
        <v>37</v>
      </c>
    </row>
    <row r="18" spans="1:24" x14ac:dyDescent="0.25">
      <c r="A18" s="7">
        <v>0</v>
      </c>
      <c r="B18" s="57">
        <v>0</v>
      </c>
      <c r="C18" s="8">
        <v>0</v>
      </c>
      <c r="D18" s="11">
        <f t="shared" si="0"/>
        <v>0</v>
      </c>
      <c r="E18" s="9">
        <v>0</v>
      </c>
      <c r="F18" s="9">
        <v>0</v>
      </c>
      <c r="H18" s="12">
        <f t="shared" si="1"/>
        <v>0</v>
      </c>
      <c r="I18" s="1" t="s">
        <v>42</v>
      </c>
      <c r="J18" s="167">
        <v>6</v>
      </c>
      <c r="P18"/>
      <c r="Q18"/>
      <c r="R18"/>
      <c r="T18" s="1" t="s">
        <v>11</v>
      </c>
      <c r="U18" s="172">
        <f>IF($H$1="LARGO",$U$17-$D$19,$D$19-$U$17)</f>
        <v>503.70000000000073</v>
      </c>
      <c r="V18" t="str">
        <f>V16</f>
        <v>EUR</v>
      </c>
      <c r="W18" s="185">
        <f>IF($X$18="","",$U$18/VLOOKUP($V$18,$Q$4:$R$30,2,0))</f>
        <v>503.70000000000073</v>
      </c>
      <c r="X18" s="1" t="s">
        <v>37</v>
      </c>
    </row>
    <row r="19" spans="1:24" x14ac:dyDescent="0.25">
      <c r="A19" s="14">
        <f>SUM(A8:A18)</f>
        <v>73</v>
      </c>
      <c r="B19" s="16" cm="1">
        <f t="array" ref="B19">SUM(B8:B18/A20)</f>
        <v>112.7</v>
      </c>
      <c r="C19" s="16" cm="1">
        <f t="array" ref="C19">SUM(C8:C18/A20)</f>
        <v>112.7</v>
      </c>
      <c r="D19" s="16">
        <f>SUM(D8:D18)</f>
        <v>8227.1</v>
      </c>
      <c r="E19" s="16">
        <f>SUM(E8:E18)</f>
        <v>9.36</v>
      </c>
      <c r="F19" s="17">
        <f>SUM(F8:F18)</f>
        <v>0</v>
      </c>
      <c r="H19" s="13">
        <f>SUM(H8:H18)</f>
        <v>8236.4600000000009</v>
      </c>
      <c r="P19"/>
      <c r="Q19"/>
      <c r="R19"/>
      <c r="U19" s="172"/>
      <c r="V19"/>
      <c r="W19" s="185"/>
    </row>
    <row r="20" spans="1:24" x14ac:dyDescent="0.25">
      <c r="A20">
        <f>COUNTIF(A8:A18, "&gt;0")</f>
        <v>1</v>
      </c>
      <c r="B20"/>
      <c r="I20" s="1" t="s">
        <v>43</v>
      </c>
      <c r="J20" s="29" t="s">
        <v>189</v>
      </c>
      <c r="P20"/>
      <c r="Q20"/>
      <c r="R20"/>
    </row>
    <row r="21" spans="1:24" x14ac:dyDescent="0.25">
      <c r="P21"/>
      <c r="Q21"/>
      <c r="R21"/>
    </row>
    <row r="22" spans="1:24" x14ac:dyDescent="0.25">
      <c r="A22" s="3" t="s">
        <v>1</v>
      </c>
      <c r="B22" s="44" t="s">
        <v>21</v>
      </c>
      <c r="P22"/>
      <c r="Q22"/>
      <c r="R22"/>
    </row>
    <row r="23" spans="1:24" x14ac:dyDescent="0.25">
      <c r="A23" s="21" t="s">
        <v>0</v>
      </c>
      <c r="B23" s="4">
        <v>44664</v>
      </c>
      <c r="P23"/>
      <c r="Q23"/>
      <c r="R23"/>
    </row>
    <row r="24" spans="1:24" x14ac:dyDescent="0.25">
      <c r="A24" s="5" t="s">
        <v>219</v>
      </c>
      <c r="B24" s="5" t="s">
        <v>8</v>
      </c>
      <c r="C24" s="5" t="s">
        <v>52</v>
      </c>
      <c r="D24" s="6" t="s">
        <v>9</v>
      </c>
      <c r="E24" s="6" t="s">
        <v>10</v>
      </c>
      <c r="F24" s="6" t="s">
        <v>5</v>
      </c>
      <c r="P24"/>
      <c r="Q24"/>
      <c r="R24"/>
    </row>
    <row r="25" spans="1:24" x14ac:dyDescent="0.25">
      <c r="A25" s="7">
        <v>73</v>
      </c>
      <c r="B25" s="57">
        <v>109.95</v>
      </c>
      <c r="C25" s="8">
        <v>109.95</v>
      </c>
      <c r="D25" s="11">
        <f t="shared" ref="D25:D35" si="2">(A25*C25)</f>
        <v>8026.35</v>
      </c>
      <c r="E25" s="9">
        <v>8</v>
      </c>
      <c r="F25" s="9">
        <v>0</v>
      </c>
      <c r="H25" s="12">
        <f t="shared" ref="H25:H35" si="3">(A25*C25-E25-F25)</f>
        <v>8018.35</v>
      </c>
      <c r="P25"/>
      <c r="Q25"/>
      <c r="R25"/>
    </row>
    <row r="26" spans="1:24" x14ac:dyDescent="0.25">
      <c r="A26" s="7">
        <v>0</v>
      </c>
      <c r="B26" s="57">
        <v>0</v>
      </c>
      <c r="C26" s="8">
        <v>0</v>
      </c>
      <c r="D26" s="11">
        <f t="shared" si="2"/>
        <v>0</v>
      </c>
      <c r="E26" s="9">
        <v>0</v>
      </c>
      <c r="F26" s="9">
        <v>0</v>
      </c>
      <c r="H26" s="12">
        <f t="shared" si="3"/>
        <v>0</v>
      </c>
      <c r="P26"/>
      <c r="Q26"/>
      <c r="R26"/>
    </row>
    <row r="27" spans="1:24" x14ac:dyDescent="0.25">
      <c r="A27" s="7">
        <v>0</v>
      </c>
      <c r="B27" s="57">
        <v>0</v>
      </c>
      <c r="C27" s="8">
        <v>0</v>
      </c>
      <c r="D27" s="11">
        <f t="shared" si="2"/>
        <v>0</v>
      </c>
      <c r="E27" s="9">
        <v>0</v>
      </c>
      <c r="F27" s="9">
        <v>0</v>
      </c>
      <c r="H27" s="12">
        <f t="shared" si="3"/>
        <v>0</v>
      </c>
      <c r="P27"/>
      <c r="Q27"/>
      <c r="R27"/>
    </row>
    <row r="28" spans="1:24" x14ac:dyDescent="0.25">
      <c r="A28" s="7">
        <v>0</v>
      </c>
      <c r="B28" s="57">
        <v>0</v>
      </c>
      <c r="C28" s="8">
        <v>0</v>
      </c>
      <c r="D28" s="11">
        <f t="shared" si="2"/>
        <v>0</v>
      </c>
      <c r="E28" s="9">
        <v>0</v>
      </c>
      <c r="F28" s="9">
        <v>0</v>
      </c>
      <c r="H28" s="12">
        <f t="shared" si="3"/>
        <v>0</v>
      </c>
      <c r="P28"/>
      <c r="Q28"/>
      <c r="R28"/>
    </row>
    <row r="29" spans="1:24" x14ac:dyDescent="0.25">
      <c r="A29" s="7">
        <v>0</v>
      </c>
      <c r="B29" s="57">
        <v>0</v>
      </c>
      <c r="C29" s="8">
        <v>0</v>
      </c>
      <c r="D29" s="11">
        <f t="shared" si="2"/>
        <v>0</v>
      </c>
      <c r="E29" s="9">
        <v>0</v>
      </c>
      <c r="F29" s="9">
        <v>0</v>
      </c>
      <c r="H29" s="12">
        <f t="shared" si="3"/>
        <v>0</v>
      </c>
      <c r="P29"/>
      <c r="Q29"/>
      <c r="R29"/>
    </row>
    <row r="30" spans="1:24" x14ac:dyDescent="0.25">
      <c r="A30" s="7">
        <v>0</v>
      </c>
      <c r="B30" s="57">
        <v>0</v>
      </c>
      <c r="C30" s="8">
        <v>0</v>
      </c>
      <c r="D30" s="11">
        <f t="shared" si="2"/>
        <v>0</v>
      </c>
      <c r="E30" s="9">
        <v>0</v>
      </c>
      <c r="F30" s="9">
        <v>0</v>
      </c>
      <c r="H30" s="12">
        <f t="shared" si="3"/>
        <v>0</v>
      </c>
      <c r="P30"/>
      <c r="Q30"/>
      <c r="R30"/>
    </row>
    <row r="31" spans="1:24" x14ac:dyDescent="0.25">
      <c r="A31" s="7">
        <v>0</v>
      </c>
      <c r="B31" s="57">
        <v>0</v>
      </c>
      <c r="C31" s="8">
        <v>0</v>
      </c>
      <c r="D31" s="11">
        <f t="shared" si="2"/>
        <v>0</v>
      </c>
      <c r="E31" s="9">
        <v>0</v>
      </c>
      <c r="F31" s="9">
        <v>0</v>
      </c>
      <c r="H31" s="12">
        <f t="shared" si="3"/>
        <v>0</v>
      </c>
      <c r="P31"/>
      <c r="Q31"/>
      <c r="R31"/>
    </row>
    <row r="32" spans="1:24"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73</v>
      </c>
      <c r="B36" s="58" cm="1">
        <f t="array" ref="B36">SUM(B25:B35/A37)</f>
        <v>109.95</v>
      </c>
      <c r="C36" s="15" cm="1">
        <f t="array" ref="C36">SUM(C25:C35/A37)</f>
        <v>109.95</v>
      </c>
      <c r="D36" s="16">
        <f>SUM(D25:D35)</f>
        <v>8026.35</v>
      </c>
      <c r="E36" s="16">
        <f>SUM(E25:E35)</f>
        <v>8</v>
      </c>
      <c r="F36" s="17">
        <f>SUM(F25:F35)</f>
        <v>0</v>
      </c>
      <c r="H36" s="13">
        <f>SUM(H25:H35)</f>
        <v>8018.35</v>
      </c>
    </row>
    <row r="37" spans="1:8" x14ac:dyDescent="0.25">
      <c r="A37">
        <f>COUNTIF(A25:A35, "&gt;0")</f>
        <v>1</v>
      </c>
      <c r="B37"/>
    </row>
    <row r="38" spans="1:8" x14ac:dyDescent="0.25">
      <c r="H38" s="19">
        <f>(H36-H19)</f>
        <v>-218.11000000000058</v>
      </c>
    </row>
    <row r="39" spans="1:8" x14ac:dyDescent="0.25">
      <c r="D39" s="1" t="s">
        <v>20</v>
      </c>
    </row>
    <row r="40" spans="1:8" x14ac:dyDescent="0.25">
      <c r="A40" s="10" t="s">
        <v>11</v>
      </c>
      <c r="B40" s="10"/>
      <c r="D40" s="18">
        <f>IF(H1="LARGO",D36-D19,D19-D36)</f>
        <v>200.75</v>
      </c>
      <c r="E40" s="19">
        <f>(E19+E36)</f>
        <v>17.36</v>
      </c>
      <c r="F40" s="19">
        <f>(F19+F36)</f>
        <v>0</v>
      </c>
      <c r="H40" s="20">
        <f>(H38-F42)</f>
        <v>-401.50000000000057</v>
      </c>
    </row>
    <row r="41" spans="1:8" x14ac:dyDescent="0.25">
      <c r="A41" s="10"/>
      <c r="B41" s="10"/>
      <c r="D41" s="19"/>
      <c r="E41" s="19">
        <f>(E40+F40)</f>
        <v>17.36</v>
      </c>
      <c r="F41" s="19"/>
      <c r="G41" s="19"/>
      <c r="H41" s="20"/>
    </row>
    <row r="42" spans="1:8" x14ac:dyDescent="0.25">
      <c r="A42" s="10"/>
      <c r="B42" s="10"/>
      <c r="D42" s="19"/>
      <c r="E42" s="56" t="s">
        <v>55</v>
      </c>
      <c r="F42" s="18">
        <f>(D40-E40-F40)</f>
        <v>183.39</v>
      </c>
      <c r="G42" s="19"/>
      <c r="H42" s="20"/>
    </row>
  </sheetData>
  <mergeCells count="7">
    <mergeCell ref="B4:C4"/>
    <mergeCell ref="E5:F5"/>
    <mergeCell ref="I1:N1"/>
    <mergeCell ref="P1:R1"/>
    <mergeCell ref="T1:W1"/>
    <mergeCell ref="B3:C3"/>
    <mergeCell ref="P3:R3"/>
  </mergeCells>
  <dataValidations count="2">
    <dataValidation type="list" allowBlank="1" showInputMessage="1" showErrorMessage="1" sqref="H1" xr:uid="{247B2E14-7296-4929-9A02-7B797D2B197E}">
      <formula1>"LARGO, CORTO"</formula1>
    </dataValidation>
    <dataValidation type="list" allowBlank="1" showInputMessage="1" showErrorMessage="1" sqref="V6" xr:uid="{5FA79608-F8D4-44E3-8FE9-C2F7963AEFD1}">
      <formula1>$Q$4:$Q$7</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82E33D24-EC5C-4326-BAED-7F393B91A225}">
          <x14:formula1>
            <xm:f>GENERAL!$AH$2:$AJ$2</xm:f>
          </x14:formula1>
          <xm:sqref>F4</xm:sqref>
        </x14:dataValidation>
        <x14:dataValidation type="list" allowBlank="1" showInputMessage="1" showErrorMessage="1" xr:uid="{713B742D-38B4-49D0-9D71-8D7A591835F1}">
          <x14:formula1>
            <xm:f>GENERAL!$S$5:$S$20</xm:f>
          </x14:formula1>
          <xm:sqref>B4:C4</xm:sqref>
        </x14:dataValidation>
        <x14:dataValidation type="list" allowBlank="1" showInputMessage="1" showErrorMessage="1" xr:uid="{46865D6E-AFF8-43A1-9C3C-E690743FDA80}">
          <x14:formula1>
            <xm:f>GENERAL!$W$5:$W$53</xm:f>
          </x14:formula1>
          <xm:sqref>B3:C3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02A4-6F70-4EEF-B722-7EABFFBCACE1}">
  <dimension ref="A1:V42"/>
  <sheetViews>
    <sheetView zoomScale="85" zoomScaleNormal="85" zoomScalePageLayoutView="85" workbookViewId="0">
      <selection activeCell="D25" sqref="D25"/>
    </sheetView>
  </sheetViews>
  <sheetFormatPr baseColWidth="10" defaultColWidth="11.42578125" defaultRowHeight="15" x14ac:dyDescent="0.25"/>
  <cols>
    <col min="1" max="1" width="11.42578125" style="1"/>
    <col min="2" max="2" width="14.140625" style="1" customWidth="1"/>
    <col min="3" max="3" width="11.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8.5703125" style="1" customWidth="1"/>
    <col min="15" max="16384" width="11.42578125" style="1"/>
  </cols>
  <sheetData>
    <row r="1" spans="1:22" x14ac:dyDescent="0.25">
      <c r="A1" s="22" t="s">
        <v>6</v>
      </c>
      <c r="B1" s="55"/>
      <c r="C1" s="23"/>
      <c r="D1" s="174">
        <v>22004</v>
      </c>
      <c r="H1" s="65" t="s">
        <v>93</v>
      </c>
      <c r="I1" s="219" t="s">
        <v>27</v>
      </c>
      <c r="J1" s="219"/>
      <c r="K1" s="219"/>
      <c r="L1" s="219"/>
      <c r="M1" s="219"/>
      <c r="N1" s="219"/>
      <c r="O1" s="219"/>
      <c r="P1" s="224" t="s">
        <v>41</v>
      </c>
      <c r="Q1" s="224"/>
      <c r="R1" s="224"/>
      <c r="S1" s="224"/>
      <c r="T1" s="224"/>
      <c r="U1" s="224"/>
      <c r="V1" s="224"/>
    </row>
    <row r="2" spans="1:22" x14ac:dyDescent="0.25">
      <c r="A2" s="62" t="s">
        <v>2</v>
      </c>
      <c r="B2" s="64" t="s">
        <v>215</v>
      </c>
      <c r="C2" s="164"/>
      <c r="D2" s="63"/>
      <c r="E2" s="166" t="s">
        <v>106</v>
      </c>
      <c r="F2" s="165" t="s">
        <v>215</v>
      </c>
    </row>
    <row r="3" spans="1:22" x14ac:dyDescent="0.25">
      <c r="A3" s="62" t="s">
        <v>94</v>
      </c>
      <c r="B3" s="222" t="s">
        <v>97</v>
      </c>
      <c r="C3" s="221"/>
      <c r="I3" s="1" t="s">
        <v>2</v>
      </c>
      <c r="J3" s="1" t="e" vm="15">
        <v>#VALUE!</v>
      </c>
      <c r="P3" s="223" t="s">
        <v>36</v>
      </c>
      <c r="Q3" s="223"/>
      <c r="R3" s="223"/>
    </row>
    <row r="4" spans="1:22" x14ac:dyDescent="0.25">
      <c r="A4" s="62" t="s">
        <v>25</v>
      </c>
      <c r="B4" s="222" t="s">
        <v>83</v>
      </c>
      <c r="C4" s="221"/>
      <c r="D4" s="2"/>
      <c r="E4" s="166" t="s">
        <v>195</v>
      </c>
      <c r="F4" s="165" t="s">
        <v>3</v>
      </c>
      <c r="I4" s="1" t="s">
        <v>29</v>
      </c>
      <c r="J4" s="1" t="str" cm="1">
        <f t="array" ref="J4">_FV(J3,"Símbolo bursátil",TRUE)</f>
        <v>KGX</v>
      </c>
      <c r="P4" s="168" t="s">
        <v>37</v>
      </c>
      <c r="Q4" s="168" t="s">
        <v>37</v>
      </c>
      <c r="R4" s="30">
        <v>1</v>
      </c>
    </row>
    <row r="5" spans="1:22" x14ac:dyDescent="0.25">
      <c r="A5" s="3" t="s">
        <v>1</v>
      </c>
      <c r="B5" s="43" t="s">
        <v>21</v>
      </c>
      <c r="I5" s="1" t="s">
        <v>28</v>
      </c>
      <c r="J5" s="1" t="str" cm="1">
        <f t="array" ref="J5">_FV(J3,"Abreviatura de intercambio",TRUE)</f>
        <v>XETR</v>
      </c>
      <c r="P5" t="e" vm="2">
        <v>#VALUE!</v>
      </c>
      <c r="Q5" s="31" t="s">
        <v>38</v>
      </c>
      <c r="R5" s="32" cm="1">
        <f t="array" ref="R5">_FV(P5,"Precio")</f>
        <v>1.073</v>
      </c>
    </row>
    <row r="6" spans="1:22" x14ac:dyDescent="0.25">
      <c r="A6" s="21" t="s">
        <v>0</v>
      </c>
      <c r="B6" s="4">
        <v>44648</v>
      </c>
      <c r="I6" s="1" t="s">
        <v>30</v>
      </c>
      <c r="J6" s="1" t="str" cm="1">
        <f t="array" ref="J6">_FV(J3,"Moneda")</f>
        <v>EUR</v>
      </c>
      <c r="P6" t="e" vm="3">
        <v>#VALUE!</v>
      </c>
      <c r="Q6" s="31" t="s">
        <v>39</v>
      </c>
      <c r="R6" s="33" cm="1">
        <f t="array" ref="R6">_FV(P6,"Precio")</f>
        <v>0.88790000000000002</v>
      </c>
    </row>
    <row r="7" spans="1:22" x14ac:dyDescent="0.25">
      <c r="A7" s="5" t="s">
        <v>3</v>
      </c>
      <c r="B7" s="5" t="s">
        <v>8</v>
      </c>
      <c r="C7" s="5" t="s">
        <v>52</v>
      </c>
      <c r="D7" s="6" t="s">
        <v>9</v>
      </c>
      <c r="E7" s="6" t="s">
        <v>10</v>
      </c>
      <c r="F7" s="6" t="s">
        <v>5</v>
      </c>
      <c r="P7" t="e" vm="4">
        <v>#VALUE!</v>
      </c>
      <c r="Q7" s="31" t="s">
        <v>40</v>
      </c>
      <c r="R7" s="34" cm="1">
        <f t="array" ref="R7">_FV(P7,"Precio")</f>
        <v>7.2827000000000002</v>
      </c>
    </row>
    <row r="8" spans="1:22" x14ac:dyDescent="0.25">
      <c r="A8" s="7">
        <v>51</v>
      </c>
      <c r="B8" s="57">
        <v>59.8</v>
      </c>
      <c r="C8" s="8">
        <v>59.8</v>
      </c>
      <c r="D8" s="11">
        <f t="shared" ref="D8:D18" si="0">(A8*C8)</f>
        <v>3049.7999999999997</v>
      </c>
      <c r="E8" s="9">
        <v>15</v>
      </c>
      <c r="F8" s="9">
        <v>0</v>
      </c>
      <c r="H8" s="12">
        <f t="shared" ref="H8:H18" si="1">(A8*C8+E8+F8)</f>
        <v>3064.7999999999997</v>
      </c>
      <c r="I8" s="1" t="s">
        <v>14</v>
      </c>
      <c r="J8" s="26" cm="1">
        <f t="array" ref="J8">_FV(J3,"Precio")</f>
        <v>38.57</v>
      </c>
      <c r="K8" s="27" t="str">
        <f>J6</f>
        <v>EUR</v>
      </c>
      <c r="L8" s="28">
        <f>IF($M$8="","",$J$8/VLOOKUP($J$6,$Q$4:$R$30,2,0))</f>
        <v>38.57</v>
      </c>
      <c r="M8" s="1" t="s">
        <v>37</v>
      </c>
      <c r="P8"/>
      <c r="Q8"/>
      <c r="R8"/>
    </row>
    <row r="9" spans="1:22" x14ac:dyDescent="0.25">
      <c r="A9" s="7">
        <v>0</v>
      </c>
      <c r="B9" s="57">
        <v>0</v>
      </c>
      <c r="C9" s="8">
        <v>0</v>
      </c>
      <c r="D9" s="11">
        <f t="shared" si="0"/>
        <v>0</v>
      </c>
      <c r="E9" s="9">
        <v>0</v>
      </c>
      <c r="F9" s="9">
        <v>0</v>
      </c>
      <c r="H9" s="12">
        <f t="shared" si="1"/>
        <v>0</v>
      </c>
      <c r="I9" s="1" t="s">
        <v>31</v>
      </c>
      <c r="J9" s="25" cm="1">
        <f t="array" ref="J9">_FV(J3,"Cambio (%)",TRUE)</f>
        <v>-8.2279999999999992E-3</v>
      </c>
      <c r="P9"/>
      <c r="Q9"/>
      <c r="R9"/>
    </row>
    <row r="10" spans="1:22" x14ac:dyDescent="0.25">
      <c r="A10" s="7">
        <v>0</v>
      </c>
      <c r="B10" s="57">
        <v>0</v>
      </c>
      <c r="C10" s="8">
        <v>0</v>
      </c>
      <c r="D10" s="11">
        <f t="shared" si="0"/>
        <v>0</v>
      </c>
      <c r="E10" s="9">
        <v>0</v>
      </c>
      <c r="F10" s="9">
        <v>0</v>
      </c>
      <c r="H10" s="12">
        <f t="shared" si="1"/>
        <v>0</v>
      </c>
      <c r="P10"/>
      <c r="Q10"/>
      <c r="R10"/>
    </row>
    <row r="11" spans="1:22" x14ac:dyDescent="0.25">
      <c r="A11" s="7">
        <v>0</v>
      </c>
      <c r="B11" s="57">
        <v>0</v>
      </c>
      <c r="C11" s="8">
        <v>0</v>
      </c>
      <c r="D11" s="11">
        <f t="shared" si="0"/>
        <v>0</v>
      </c>
      <c r="E11" s="9">
        <v>0</v>
      </c>
      <c r="F11" s="9">
        <v>0</v>
      </c>
      <c r="H11" s="12">
        <f t="shared" si="1"/>
        <v>0</v>
      </c>
      <c r="I11" s="1" t="s">
        <v>32</v>
      </c>
      <c r="J11" s="24" cm="1">
        <f t="array" ref="J11">_FV(J3,"Apertura")</f>
        <v>39.26</v>
      </c>
      <c r="P11"/>
      <c r="Q11"/>
      <c r="R11"/>
    </row>
    <row r="12" spans="1:22" x14ac:dyDescent="0.25">
      <c r="A12" s="7">
        <v>0</v>
      </c>
      <c r="B12" s="57">
        <v>0</v>
      </c>
      <c r="C12" s="8">
        <v>0</v>
      </c>
      <c r="D12" s="11">
        <f t="shared" si="0"/>
        <v>0</v>
      </c>
      <c r="E12" s="9">
        <v>0</v>
      </c>
      <c r="F12" s="9">
        <v>0</v>
      </c>
      <c r="H12" s="12">
        <f t="shared" si="1"/>
        <v>0</v>
      </c>
      <c r="I12" s="1" t="s">
        <v>33</v>
      </c>
      <c r="J12" s="24" cm="1">
        <f t="array" ref="J12">_FV(J3,"Máximo")</f>
        <v>39.92</v>
      </c>
      <c r="P12"/>
      <c r="Q12"/>
      <c r="R12"/>
    </row>
    <row r="13" spans="1:22" x14ac:dyDescent="0.25">
      <c r="A13" s="7">
        <v>0</v>
      </c>
      <c r="B13" s="57">
        <v>0</v>
      </c>
      <c r="C13" s="8">
        <v>0</v>
      </c>
      <c r="D13" s="11">
        <f t="shared" si="0"/>
        <v>0</v>
      </c>
      <c r="E13" s="9">
        <v>0</v>
      </c>
      <c r="F13" s="9">
        <v>0</v>
      </c>
      <c r="H13" s="12">
        <f t="shared" si="1"/>
        <v>0</v>
      </c>
      <c r="I13" s="1" t="s">
        <v>34</v>
      </c>
      <c r="J13" s="24" cm="1">
        <f t="array" ref="J13">_FV(J3,"Mínimo")</f>
        <v>38.35</v>
      </c>
      <c r="P13"/>
      <c r="Q13"/>
      <c r="R13"/>
    </row>
    <row r="14" spans="1:22" x14ac:dyDescent="0.25">
      <c r="A14" s="7">
        <v>0</v>
      </c>
      <c r="B14" s="57">
        <v>0</v>
      </c>
      <c r="C14" s="8">
        <v>0</v>
      </c>
      <c r="D14" s="11">
        <f t="shared" si="0"/>
        <v>0</v>
      </c>
      <c r="E14" s="9">
        <v>0</v>
      </c>
      <c r="F14" s="9">
        <v>0</v>
      </c>
      <c r="H14" s="12">
        <f t="shared" si="1"/>
        <v>0</v>
      </c>
      <c r="I14" s="1" t="s">
        <v>35</v>
      </c>
      <c r="J14" s="24" cm="1">
        <f t="array" ref="J14">_FV(J3,"Cierre anterior",TRUE)</f>
        <v>38.89</v>
      </c>
      <c r="P14"/>
      <c r="Q14"/>
      <c r="R14"/>
    </row>
    <row r="15" spans="1:22" x14ac:dyDescent="0.25">
      <c r="A15" s="7">
        <v>0</v>
      </c>
      <c r="B15" s="57">
        <v>0</v>
      </c>
      <c r="C15" s="8">
        <v>0</v>
      </c>
      <c r="D15" s="11">
        <f t="shared" si="0"/>
        <v>0</v>
      </c>
      <c r="E15" s="9">
        <v>0</v>
      </c>
      <c r="F15" s="9">
        <v>0</v>
      </c>
      <c r="H15" s="12">
        <f t="shared" si="1"/>
        <v>0</v>
      </c>
      <c r="P15"/>
      <c r="Q15"/>
      <c r="R15"/>
    </row>
    <row r="16" spans="1:22" x14ac:dyDescent="0.25">
      <c r="A16" s="7">
        <v>0</v>
      </c>
      <c r="B16" s="57">
        <v>0</v>
      </c>
      <c r="C16" s="8">
        <v>0</v>
      </c>
      <c r="D16" s="11">
        <f t="shared" si="0"/>
        <v>0</v>
      </c>
      <c r="E16" s="9">
        <v>0</v>
      </c>
      <c r="F16" s="9">
        <v>0</v>
      </c>
      <c r="H16" s="12">
        <f t="shared" si="1"/>
        <v>0</v>
      </c>
      <c r="P16"/>
      <c r="Q16"/>
      <c r="R16"/>
    </row>
    <row r="17" spans="1:18" x14ac:dyDescent="0.25">
      <c r="A17" s="7">
        <v>0</v>
      </c>
      <c r="B17" s="57">
        <v>0</v>
      </c>
      <c r="C17" s="8">
        <v>0</v>
      </c>
      <c r="D17" s="11">
        <f t="shared" si="0"/>
        <v>0</v>
      </c>
      <c r="E17" s="9">
        <v>0</v>
      </c>
      <c r="F17" s="9">
        <v>0</v>
      </c>
      <c r="H17" s="12">
        <f t="shared" si="1"/>
        <v>0</v>
      </c>
      <c r="P17"/>
      <c r="Q17"/>
      <c r="R17"/>
    </row>
    <row r="18" spans="1:18" x14ac:dyDescent="0.25">
      <c r="A18" s="7">
        <v>0</v>
      </c>
      <c r="B18" s="57">
        <v>0</v>
      </c>
      <c r="C18" s="8">
        <v>0</v>
      </c>
      <c r="D18" s="11">
        <f t="shared" si="0"/>
        <v>0</v>
      </c>
      <c r="E18" s="9">
        <v>0</v>
      </c>
      <c r="F18" s="9">
        <v>0</v>
      </c>
      <c r="H18" s="12">
        <f t="shared" si="1"/>
        <v>0</v>
      </c>
      <c r="I18" s="1" t="s">
        <v>42</v>
      </c>
      <c r="J18" s="167">
        <v>52</v>
      </c>
      <c r="P18"/>
      <c r="Q18"/>
      <c r="R18"/>
    </row>
    <row r="19" spans="1:18" x14ac:dyDescent="0.25">
      <c r="A19" s="14">
        <f>SUM(A8:A18)</f>
        <v>51</v>
      </c>
      <c r="B19" s="15" cm="1">
        <f t="array" ref="B19">SUM(B8:B18/A20)</f>
        <v>59.8</v>
      </c>
      <c r="C19" s="15" cm="1">
        <f t="array" ref="C19">SUM(C8:C18/A20)</f>
        <v>59.8</v>
      </c>
      <c r="D19" s="16">
        <f>SUM(D8:D18)</f>
        <v>3049.7999999999997</v>
      </c>
      <c r="E19" s="16">
        <f>SUM(E8:E18)</f>
        <v>15</v>
      </c>
      <c r="F19" s="17">
        <f>SUM(F8:F18)</f>
        <v>0</v>
      </c>
      <c r="H19" s="13">
        <f>SUM(H8:H18)</f>
        <v>3064.7999999999997</v>
      </c>
      <c r="P19"/>
      <c r="Q19"/>
      <c r="R19"/>
    </row>
    <row r="20" spans="1:18" x14ac:dyDescent="0.25">
      <c r="A20">
        <f>COUNTIF(A8:A18, "&gt;0")</f>
        <v>1</v>
      </c>
      <c r="B20"/>
      <c r="I20" s="1" t="s">
        <v>43</v>
      </c>
      <c r="J20" s="29">
        <v>67.400000000000006</v>
      </c>
      <c r="P20"/>
      <c r="Q20"/>
      <c r="R20"/>
    </row>
    <row r="21" spans="1:18" x14ac:dyDescent="0.25">
      <c r="P21"/>
      <c r="Q21"/>
      <c r="R21"/>
    </row>
    <row r="22" spans="1:18" x14ac:dyDescent="0.25">
      <c r="A22" s="3" t="s">
        <v>1</v>
      </c>
      <c r="B22" s="44" t="s">
        <v>22</v>
      </c>
      <c r="P22"/>
      <c r="Q22"/>
      <c r="R22"/>
    </row>
    <row r="23" spans="1:18" x14ac:dyDescent="0.25">
      <c r="A23" s="21" t="s">
        <v>0</v>
      </c>
      <c r="B23" s="4">
        <v>44649</v>
      </c>
      <c r="P23"/>
      <c r="Q23"/>
      <c r="R23"/>
    </row>
    <row r="24" spans="1:18" x14ac:dyDescent="0.25">
      <c r="A24" s="5" t="s">
        <v>3</v>
      </c>
      <c r="B24" s="5" t="s">
        <v>8</v>
      </c>
      <c r="C24" s="5" t="s">
        <v>52</v>
      </c>
      <c r="D24" s="6" t="s">
        <v>9</v>
      </c>
      <c r="E24" s="6" t="s">
        <v>10</v>
      </c>
      <c r="F24" s="6" t="s">
        <v>5</v>
      </c>
      <c r="P24"/>
      <c r="Q24"/>
      <c r="R24"/>
    </row>
    <row r="25" spans="1:18" x14ac:dyDescent="0.25">
      <c r="A25" s="7">
        <v>51</v>
      </c>
      <c r="B25" s="57">
        <v>62.92</v>
      </c>
      <c r="C25" s="8">
        <v>62.92</v>
      </c>
      <c r="D25" s="11">
        <f t="shared" ref="D25:D35" si="2">(A25*C25)</f>
        <v>3208.92</v>
      </c>
      <c r="E25" s="9">
        <v>15</v>
      </c>
      <c r="F25" s="9">
        <v>0</v>
      </c>
      <c r="H25" s="12">
        <f t="shared" ref="H25:H35" si="3">(A25*C25-E25-F25)</f>
        <v>3193.92</v>
      </c>
      <c r="P25"/>
      <c r="Q25"/>
      <c r="R25"/>
    </row>
    <row r="26" spans="1:18" x14ac:dyDescent="0.25">
      <c r="A26" s="7">
        <v>0</v>
      </c>
      <c r="B26" s="57">
        <v>0</v>
      </c>
      <c r="C26" s="8">
        <v>0</v>
      </c>
      <c r="D26" s="11">
        <f t="shared" si="2"/>
        <v>0</v>
      </c>
      <c r="E26" s="9">
        <v>0</v>
      </c>
      <c r="F26" s="9">
        <v>0</v>
      </c>
      <c r="H26" s="12">
        <f t="shared" si="3"/>
        <v>0</v>
      </c>
      <c r="P26"/>
      <c r="Q26"/>
      <c r="R26"/>
    </row>
    <row r="27" spans="1:18" x14ac:dyDescent="0.25">
      <c r="A27" s="7">
        <v>0</v>
      </c>
      <c r="B27" s="57">
        <v>0</v>
      </c>
      <c r="C27" s="8">
        <v>0</v>
      </c>
      <c r="D27" s="11">
        <f t="shared" si="2"/>
        <v>0</v>
      </c>
      <c r="E27" s="9">
        <v>0</v>
      </c>
      <c r="F27" s="9">
        <v>0</v>
      </c>
      <c r="H27" s="12">
        <f t="shared" si="3"/>
        <v>0</v>
      </c>
      <c r="P27"/>
      <c r="Q27"/>
      <c r="R27"/>
    </row>
    <row r="28" spans="1:18" x14ac:dyDescent="0.25">
      <c r="A28" s="7">
        <v>0</v>
      </c>
      <c r="B28" s="57">
        <v>0</v>
      </c>
      <c r="C28" s="8">
        <v>0</v>
      </c>
      <c r="D28" s="11">
        <f t="shared" si="2"/>
        <v>0</v>
      </c>
      <c r="E28" s="9">
        <v>0</v>
      </c>
      <c r="F28" s="9">
        <v>0</v>
      </c>
      <c r="H28" s="12">
        <f t="shared" si="3"/>
        <v>0</v>
      </c>
      <c r="P28"/>
      <c r="Q28"/>
      <c r="R28"/>
    </row>
    <row r="29" spans="1:18" x14ac:dyDescent="0.25">
      <c r="A29" s="7">
        <v>0</v>
      </c>
      <c r="B29" s="57">
        <v>0</v>
      </c>
      <c r="C29" s="8">
        <v>0</v>
      </c>
      <c r="D29" s="11">
        <f t="shared" si="2"/>
        <v>0</v>
      </c>
      <c r="E29" s="9">
        <v>0</v>
      </c>
      <c r="F29" s="9">
        <v>0</v>
      </c>
      <c r="H29" s="12">
        <f t="shared" si="3"/>
        <v>0</v>
      </c>
      <c r="P29"/>
      <c r="Q29"/>
      <c r="R29"/>
    </row>
    <row r="30" spans="1:18" x14ac:dyDescent="0.25">
      <c r="A30" s="7">
        <v>0</v>
      </c>
      <c r="B30" s="57">
        <v>0</v>
      </c>
      <c r="C30" s="8">
        <v>0</v>
      </c>
      <c r="D30" s="11">
        <f t="shared" si="2"/>
        <v>0</v>
      </c>
      <c r="E30" s="9">
        <v>0</v>
      </c>
      <c r="F30" s="9">
        <v>0</v>
      </c>
      <c r="H30" s="12">
        <f t="shared" si="3"/>
        <v>0</v>
      </c>
      <c r="P30"/>
      <c r="Q30"/>
      <c r="R30"/>
    </row>
    <row r="31" spans="1:18" x14ac:dyDescent="0.25">
      <c r="A31" s="7">
        <v>0</v>
      </c>
      <c r="B31" s="57">
        <v>0</v>
      </c>
      <c r="C31" s="8">
        <v>0</v>
      </c>
      <c r="D31" s="11">
        <f t="shared" si="2"/>
        <v>0</v>
      </c>
      <c r="E31" s="9">
        <v>0</v>
      </c>
      <c r="F31" s="9">
        <v>0</v>
      </c>
      <c r="H31" s="12">
        <f t="shared" si="3"/>
        <v>0</v>
      </c>
      <c r="P31"/>
      <c r="Q31"/>
      <c r="R31"/>
    </row>
    <row r="32" spans="1:18"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51</v>
      </c>
      <c r="B36" s="58" cm="1">
        <f t="array" ref="B36">SUM(B25:B35/A37)</f>
        <v>62.92</v>
      </c>
      <c r="C36" s="15" cm="1">
        <f t="array" ref="C36">SUM(C25:C35/A37)</f>
        <v>62.92</v>
      </c>
      <c r="D36" s="16">
        <f>SUM(D25:D35)</f>
        <v>3208.92</v>
      </c>
      <c r="E36" s="16">
        <f>SUM(E25:E35)</f>
        <v>15</v>
      </c>
      <c r="F36" s="17">
        <f>SUM(F25:F35)</f>
        <v>0</v>
      </c>
      <c r="H36" s="13">
        <f>SUM(H25:H35)</f>
        <v>3193.92</v>
      </c>
    </row>
    <row r="37" spans="1:8" x14ac:dyDescent="0.25">
      <c r="A37">
        <f>COUNTIF(A25:A35, "&gt;0")</f>
        <v>1</v>
      </c>
      <c r="B37"/>
    </row>
    <row r="38" spans="1:8" x14ac:dyDescent="0.25">
      <c r="H38" s="19">
        <f>(H36-H19)</f>
        <v>129.12000000000035</v>
      </c>
    </row>
    <row r="39" spans="1:8" x14ac:dyDescent="0.25">
      <c r="D39" s="1" t="s">
        <v>20</v>
      </c>
    </row>
    <row r="40" spans="1:8" x14ac:dyDescent="0.25">
      <c r="A40" s="10" t="s">
        <v>11</v>
      </c>
      <c r="B40" s="10"/>
      <c r="D40" s="18">
        <f>(D36-D19)</f>
        <v>159.12000000000035</v>
      </c>
      <c r="E40" s="19">
        <f>(E19+E36)</f>
        <v>30</v>
      </c>
      <c r="F40" s="19">
        <f>(F19+F36)</f>
        <v>0</v>
      </c>
      <c r="H40" s="20">
        <f>(H38-F42)</f>
        <v>0</v>
      </c>
    </row>
    <row r="41" spans="1:8" x14ac:dyDescent="0.25">
      <c r="A41" s="10"/>
      <c r="B41" s="10"/>
      <c r="D41" s="19"/>
      <c r="E41" s="19">
        <f>(E40+F40)</f>
        <v>30</v>
      </c>
      <c r="F41" s="19"/>
      <c r="G41" s="19"/>
      <c r="H41" s="20"/>
    </row>
    <row r="42" spans="1:8" x14ac:dyDescent="0.25">
      <c r="A42" s="10"/>
      <c r="B42" s="10"/>
      <c r="D42" s="19"/>
      <c r="E42" s="56" t="s">
        <v>55</v>
      </c>
      <c r="F42" s="18">
        <f>(D40-E40-F40)</f>
        <v>129.12000000000035</v>
      </c>
      <c r="G42" s="19"/>
      <c r="H42" s="20"/>
    </row>
  </sheetData>
  <mergeCells count="5">
    <mergeCell ref="I1:O1"/>
    <mergeCell ref="P1:V1"/>
    <mergeCell ref="B3:C3"/>
    <mergeCell ref="P3:R3"/>
    <mergeCell ref="B4:C4"/>
  </mergeCells>
  <dataValidations count="1">
    <dataValidation type="list" allowBlank="1" showInputMessage="1" showErrorMessage="1" sqref="H1" xr:uid="{FE061EA2-D6F7-44D5-A902-7F261955CCB6}">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FFE07403-1411-45D2-BDFA-5E63EDAE2E71}">
          <x14:formula1>
            <xm:f>GENERAL!$S$5:$S$17</xm:f>
          </x14:formula1>
          <xm:sqref>B4:C4</xm:sqref>
        </x14:dataValidation>
        <x14:dataValidation type="list" allowBlank="1" showInputMessage="1" showErrorMessage="1" xr:uid="{61C46562-5620-44F7-96E8-7BAB1096D997}">
          <x14:formula1>
            <xm:f>GENERAL!$W$5:$W$52</xm:f>
          </x14:formula1>
          <xm:sqref>B3:C3</xm:sqref>
        </x14:dataValidation>
        <x14:dataValidation type="list" allowBlank="1" showInputMessage="1" showErrorMessage="1" xr:uid="{3A45DF77-888E-4FFC-A775-19997D958E0A}">
          <x14:formula1>
            <xm:f>GENERAL!$AH$2:$AJ$2</xm:f>
          </x14:formula1>
          <xm:sqref>F4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20156-E881-414E-9793-1D394BEE4D0D}">
  <dimension ref="A1:V42"/>
  <sheetViews>
    <sheetView zoomScale="85" zoomScaleNormal="85" zoomScalePageLayoutView="85" workbookViewId="0">
      <selection activeCell="D2" sqref="D2"/>
    </sheetView>
  </sheetViews>
  <sheetFormatPr baseColWidth="10" defaultColWidth="11.42578125" defaultRowHeight="15" x14ac:dyDescent="0.25"/>
  <cols>
    <col min="1" max="1" width="11.42578125" style="1"/>
    <col min="2" max="2" width="14.140625" style="1" customWidth="1"/>
    <col min="3" max="3" width="11.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8.5703125" style="1" customWidth="1"/>
    <col min="15" max="16384" width="11.42578125" style="1"/>
  </cols>
  <sheetData>
    <row r="1" spans="1:22" x14ac:dyDescent="0.25">
      <c r="A1" s="22" t="s">
        <v>6</v>
      </c>
      <c r="B1" s="55"/>
      <c r="C1" s="23"/>
      <c r="D1" s="174">
        <v>22003</v>
      </c>
      <c r="H1" s="65" t="s">
        <v>93</v>
      </c>
      <c r="I1" s="219" t="s">
        <v>27</v>
      </c>
      <c r="J1" s="219"/>
      <c r="K1" s="219"/>
      <c r="L1" s="219"/>
      <c r="M1" s="219"/>
      <c r="N1" s="219"/>
      <c r="O1" s="219"/>
      <c r="P1" s="224" t="s">
        <v>41</v>
      </c>
      <c r="Q1" s="224"/>
      <c r="R1" s="224"/>
      <c r="S1" s="224"/>
      <c r="T1" s="224"/>
      <c r="U1" s="224"/>
      <c r="V1" s="224"/>
    </row>
    <row r="2" spans="1:22" x14ac:dyDescent="0.25">
      <c r="A2" s="62" t="s">
        <v>2</v>
      </c>
      <c r="B2" s="64" t="s">
        <v>214</v>
      </c>
      <c r="C2" s="164"/>
      <c r="D2" s="63"/>
      <c r="E2" s="166" t="s">
        <v>106</v>
      </c>
      <c r="F2" s="165" t="s">
        <v>212</v>
      </c>
    </row>
    <row r="3" spans="1:22" x14ac:dyDescent="0.25">
      <c r="A3" s="62" t="s">
        <v>94</v>
      </c>
      <c r="B3" s="222" t="s">
        <v>97</v>
      </c>
      <c r="C3" s="221"/>
      <c r="I3" s="1" t="s">
        <v>2</v>
      </c>
      <c r="J3" s="1" t="e" vm="16">
        <v>#VALUE!</v>
      </c>
      <c r="P3" s="223" t="s">
        <v>36</v>
      </c>
      <c r="Q3" s="223"/>
      <c r="R3" s="223"/>
    </row>
    <row r="4" spans="1:22" x14ac:dyDescent="0.25">
      <c r="A4" s="62" t="s">
        <v>25</v>
      </c>
      <c r="B4" s="222" t="s">
        <v>79</v>
      </c>
      <c r="C4" s="221"/>
      <c r="D4" s="2"/>
      <c r="E4" s="166" t="s">
        <v>195</v>
      </c>
      <c r="F4" s="165" t="s">
        <v>3</v>
      </c>
      <c r="I4" s="1" t="s">
        <v>29</v>
      </c>
      <c r="J4" s="1" t="str" cm="1">
        <f t="array" ref="J4">_FV(J3,"Símbolo bursátil",TRUE)</f>
        <v>SY1</v>
      </c>
      <c r="P4" s="168" t="s">
        <v>37</v>
      </c>
      <c r="Q4" s="168" t="s">
        <v>37</v>
      </c>
      <c r="R4" s="30">
        <v>1</v>
      </c>
    </row>
    <row r="5" spans="1:22" x14ac:dyDescent="0.25">
      <c r="A5" s="3" t="s">
        <v>1</v>
      </c>
      <c r="B5" s="43" t="s">
        <v>21</v>
      </c>
      <c r="I5" s="1" t="s">
        <v>28</v>
      </c>
      <c r="J5" s="1" t="str" cm="1">
        <f t="array" ref="J5">_FV(J3,"Abreviatura de intercambio",TRUE)</f>
        <v>XETR</v>
      </c>
      <c r="P5" t="e" vm="2">
        <v>#VALUE!</v>
      </c>
      <c r="Q5" s="31" t="s">
        <v>38</v>
      </c>
      <c r="R5" s="32" cm="1">
        <f t="array" ref="R5">_FV(P5,"Precio")</f>
        <v>1.073</v>
      </c>
    </row>
    <row r="6" spans="1:22" x14ac:dyDescent="0.25">
      <c r="A6" s="21" t="s">
        <v>0</v>
      </c>
      <c r="B6" s="4">
        <v>44620</v>
      </c>
      <c r="I6" s="1" t="s">
        <v>30</v>
      </c>
      <c r="J6" s="1" t="str" cm="1">
        <f t="array" ref="J6">_FV(J3,"Moneda")</f>
        <v>EUR</v>
      </c>
      <c r="P6" t="e" vm="3">
        <v>#VALUE!</v>
      </c>
      <c r="Q6" s="31" t="s">
        <v>39</v>
      </c>
      <c r="R6" s="33" cm="1">
        <f t="array" ref="R6">_FV(P6,"Precio")</f>
        <v>0.88790000000000002</v>
      </c>
    </row>
    <row r="7" spans="1:22" x14ac:dyDescent="0.25">
      <c r="A7" s="5" t="s">
        <v>3</v>
      </c>
      <c r="B7" s="5" t="s">
        <v>8</v>
      </c>
      <c r="C7" s="5" t="s">
        <v>52</v>
      </c>
      <c r="D7" s="6" t="s">
        <v>9</v>
      </c>
      <c r="E7" s="6" t="s">
        <v>10</v>
      </c>
      <c r="F7" s="6" t="s">
        <v>5</v>
      </c>
      <c r="P7" t="e" vm="4">
        <v>#VALUE!</v>
      </c>
      <c r="Q7" s="31" t="s">
        <v>40</v>
      </c>
      <c r="R7" s="34" cm="1">
        <f t="array" ref="R7">_FV(P7,"Precio")</f>
        <v>7.2827000000000002</v>
      </c>
    </row>
    <row r="8" spans="1:22" x14ac:dyDescent="0.25">
      <c r="A8" s="7">
        <v>28</v>
      </c>
      <c r="B8" s="57">
        <v>104.6</v>
      </c>
      <c r="C8" s="8">
        <v>104.6</v>
      </c>
      <c r="D8" s="11">
        <f t="shared" ref="D8:D18" si="0">(A8*C8)</f>
        <v>2928.7999999999997</v>
      </c>
      <c r="E8" s="9">
        <v>15</v>
      </c>
      <c r="F8" s="9">
        <v>0</v>
      </c>
      <c r="H8" s="12">
        <f t="shared" ref="H8:H18" si="1">(A8*C8+E8+F8)</f>
        <v>2943.7999999999997</v>
      </c>
      <c r="I8" s="1" t="s">
        <v>14</v>
      </c>
      <c r="J8" s="26" cm="1">
        <f t="array" ref="J8">_FV(J3,"Precio")</f>
        <v>99.48</v>
      </c>
      <c r="K8" s="27" t="str">
        <f>J6</f>
        <v>EUR</v>
      </c>
      <c r="L8" s="28">
        <f>IF($M$8="","",$J$8/VLOOKUP($J$6,$Q$4:$R$30,2,0))</f>
        <v>99.48</v>
      </c>
      <c r="M8" s="1" t="s">
        <v>37</v>
      </c>
      <c r="P8"/>
      <c r="Q8"/>
      <c r="R8"/>
    </row>
    <row r="9" spans="1:22" x14ac:dyDescent="0.25">
      <c r="A9" s="7">
        <v>0</v>
      </c>
      <c r="B9" s="57">
        <v>0</v>
      </c>
      <c r="C9" s="8">
        <v>0</v>
      </c>
      <c r="D9" s="11">
        <f t="shared" si="0"/>
        <v>0</v>
      </c>
      <c r="E9" s="9">
        <v>0</v>
      </c>
      <c r="F9" s="9">
        <v>0</v>
      </c>
      <c r="H9" s="12">
        <f t="shared" si="1"/>
        <v>0</v>
      </c>
      <c r="I9" s="1" t="s">
        <v>31</v>
      </c>
      <c r="J9" s="25" cm="1">
        <f t="array" ref="J9">_FV(J3,"Cambio (%)",TRUE)</f>
        <v>4.4429999999999999E-3</v>
      </c>
      <c r="P9"/>
      <c r="Q9"/>
      <c r="R9"/>
    </row>
    <row r="10" spans="1:22" x14ac:dyDescent="0.25">
      <c r="A10" s="7">
        <v>0</v>
      </c>
      <c r="B10" s="57">
        <v>0</v>
      </c>
      <c r="C10" s="8">
        <v>0</v>
      </c>
      <c r="D10" s="11">
        <f t="shared" si="0"/>
        <v>0</v>
      </c>
      <c r="E10" s="9">
        <v>0</v>
      </c>
      <c r="F10" s="9">
        <v>0</v>
      </c>
      <c r="H10" s="12">
        <f t="shared" si="1"/>
        <v>0</v>
      </c>
      <c r="P10"/>
      <c r="Q10"/>
      <c r="R10"/>
    </row>
    <row r="11" spans="1:22" x14ac:dyDescent="0.25">
      <c r="A11" s="7">
        <v>0</v>
      </c>
      <c r="B11" s="57">
        <v>0</v>
      </c>
      <c r="C11" s="8">
        <v>0</v>
      </c>
      <c r="D11" s="11">
        <f t="shared" si="0"/>
        <v>0</v>
      </c>
      <c r="E11" s="9">
        <v>0</v>
      </c>
      <c r="F11" s="9">
        <v>0</v>
      </c>
      <c r="H11" s="12">
        <f t="shared" si="1"/>
        <v>0</v>
      </c>
      <c r="I11" s="1" t="s">
        <v>32</v>
      </c>
      <c r="J11" s="24" cm="1">
        <f t="array" ref="J11">_FV(J3,"Apertura")</f>
        <v>99.4</v>
      </c>
      <c r="P11"/>
      <c r="Q11"/>
      <c r="R11"/>
    </row>
    <row r="12" spans="1:22" x14ac:dyDescent="0.25">
      <c r="A12" s="7">
        <v>0</v>
      </c>
      <c r="B12" s="57">
        <v>0</v>
      </c>
      <c r="C12" s="8">
        <v>0</v>
      </c>
      <c r="D12" s="11">
        <f t="shared" si="0"/>
        <v>0</v>
      </c>
      <c r="E12" s="9">
        <v>0</v>
      </c>
      <c r="F12" s="9">
        <v>0</v>
      </c>
      <c r="H12" s="12">
        <f t="shared" si="1"/>
        <v>0</v>
      </c>
      <c r="I12" s="1" t="s">
        <v>33</v>
      </c>
      <c r="J12" s="24" cm="1">
        <f t="array" ref="J12">_FV(J3,"Máximo")</f>
        <v>100.6</v>
      </c>
      <c r="P12"/>
      <c r="Q12"/>
      <c r="R12"/>
    </row>
    <row r="13" spans="1:22" x14ac:dyDescent="0.25">
      <c r="A13" s="7">
        <v>0</v>
      </c>
      <c r="B13" s="57">
        <v>0</v>
      </c>
      <c r="C13" s="8">
        <v>0</v>
      </c>
      <c r="D13" s="11">
        <f t="shared" si="0"/>
        <v>0</v>
      </c>
      <c r="E13" s="9">
        <v>0</v>
      </c>
      <c r="F13" s="9">
        <v>0</v>
      </c>
      <c r="H13" s="12">
        <f t="shared" si="1"/>
        <v>0</v>
      </c>
      <c r="I13" s="1" t="s">
        <v>34</v>
      </c>
      <c r="J13" s="24" cm="1">
        <f t="array" ref="J13">_FV(J3,"Mínimo")</f>
        <v>99.04</v>
      </c>
      <c r="P13"/>
      <c r="Q13"/>
      <c r="R13"/>
    </row>
    <row r="14" spans="1:22" x14ac:dyDescent="0.25">
      <c r="A14" s="7">
        <v>0</v>
      </c>
      <c r="B14" s="57">
        <v>0</v>
      </c>
      <c r="C14" s="8">
        <v>0</v>
      </c>
      <c r="D14" s="11">
        <f t="shared" si="0"/>
        <v>0</v>
      </c>
      <c r="E14" s="9">
        <v>0</v>
      </c>
      <c r="F14" s="9">
        <v>0</v>
      </c>
      <c r="H14" s="12">
        <f t="shared" si="1"/>
        <v>0</v>
      </c>
      <c r="I14" s="1" t="s">
        <v>35</v>
      </c>
      <c r="J14" s="24" cm="1">
        <f t="array" ref="J14">_FV(J3,"Cierre anterior",TRUE)</f>
        <v>99.04</v>
      </c>
      <c r="P14"/>
      <c r="Q14"/>
      <c r="R14"/>
    </row>
    <row r="15" spans="1:22" x14ac:dyDescent="0.25">
      <c r="A15" s="7">
        <v>0</v>
      </c>
      <c r="B15" s="57">
        <v>0</v>
      </c>
      <c r="C15" s="8">
        <v>0</v>
      </c>
      <c r="D15" s="11">
        <f t="shared" si="0"/>
        <v>0</v>
      </c>
      <c r="E15" s="9">
        <v>0</v>
      </c>
      <c r="F15" s="9">
        <v>0</v>
      </c>
      <c r="H15" s="12">
        <f t="shared" si="1"/>
        <v>0</v>
      </c>
      <c r="P15"/>
      <c r="Q15"/>
      <c r="R15"/>
    </row>
    <row r="16" spans="1:22" x14ac:dyDescent="0.25">
      <c r="A16" s="7">
        <v>0</v>
      </c>
      <c r="B16" s="57">
        <v>0</v>
      </c>
      <c r="C16" s="8">
        <v>0</v>
      </c>
      <c r="D16" s="11">
        <f t="shared" si="0"/>
        <v>0</v>
      </c>
      <c r="E16" s="9">
        <v>0</v>
      </c>
      <c r="F16" s="9">
        <v>0</v>
      </c>
      <c r="H16" s="12">
        <f t="shared" si="1"/>
        <v>0</v>
      </c>
      <c r="P16"/>
      <c r="Q16"/>
      <c r="R16"/>
    </row>
    <row r="17" spans="1:18" x14ac:dyDescent="0.25">
      <c r="A17" s="7">
        <v>0</v>
      </c>
      <c r="B17" s="57">
        <v>0</v>
      </c>
      <c r="C17" s="8">
        <v>0</v>
      </c>
      <c r="D17" s="11">
        <f t="shared" si="0"/>
        <v>0</v>
      </c>
      <c r="E17" s="9">
        <v>0</v>
      </c>
      <c r="F17" s="9">
        <v>0</v>
      </c>
      <c r="H17" s="12">
        <f t="shared" si="1"/>
        <v>0</v>
      </c>
      <c r="P17"/>
      <c r="Q17"/>
      <c r="R17"/>
    </row>
    <row r="18" spans="1:18" x14ac:dyDescent="0.25">
      <c r="A18" s="7">
        <v>0</v>
      </c>
      <c r="B18" s="57">
        <v>0</v>
      </c>
      <c r="C18" s="8">
        <v>0</v>
      </c>
      <c r="D18" s="11">
        <f t="shared" si="0"/>
        <v>0</v>
      </c>
      <c r="E18" s="9">
        <v>0</v>
      </c>
      <c r="F18" s="9">
        <v>0</v>
      </c>
      <c r="H18" s="12">
        <f t="shared" si="1"/>
        <v>0</v>
      </c>
      <c r="I18" s="1" t="s">
        <v>42</v>
      </c>
      <c r="J18" s="167">
        <v>107.2</v>
      </c>
      <c r="P18"/>
      <c r="Q18"/>
      <c r="R18"/>
    </row>
    <row r="19" spans="1:18" x14ac:dyDescent="0.25">
      <c r="A19" s="14">
        <f>SUM(A8:A18)</f>
        <v>28</v>
      </c>
      <c r="B19" s="15" cm="1">
        <f t="array" ref="B19">SUM(B8:B18/A20)</f>
        <v>104.6</v>
      </c>
      <c r="C19" s="15" cm="1">
        <f t="array" ref="C19">SUM(C8:C18/A20)</f>
        <v>104.6</v>
      </c>
      <c r="D19" s="16">
        <f>SUM(D8:D18)</f>
        <v>2928.7999999999997</v>
      </c>
      <c r="E19" s="16">
        <f>SUM(E8:E18)</f>
        <v>15</v>
      </c>
      <c r="F19" s="17">
        <f>SUM(F8:F18)</f>
        <v>0</v>
      </c>
      <c r="H19" s="13">
        <f>SUM(H8:H18)</f>
        <v>2943.7999999999997</v>
      </c>
      <c r="P19"/>
      <c r="Q19"/>
      <c r="R19"/>
    </row>
    <row r="20" spans="1:18" x14ac:dyDescent="0.25">
      <c r="A20">
        <f>COUNTIF(A8:A18, "&gt;0")</f>
        <v>1</v>
      </c>
      <c r="B20"/>
      <c r="I20" s="1" t="s">
        <v>43</v>
      </c>
      <c r="J20" s="29" t="s">
        <v>189</v>
      </c>
      <c r="P20"/>
      <c r="Q20"/>
      <c r="R20"/>
    </row>
    <row r="21" spans="1:18" x14ac:dyDescent="0.25">
      <c r="P21"/>
      <c r="Q21"/>
      <c r="R21"/>
    </row>
    <row r="22" spans="1:18" x14ac:dyDescent="0.25">
      <c r="A22" s="3" t="s">
        <v>1</v>
      </c>
      <c r="B22" s="44" t="s">
        <v>22</v>
      </c>
      <c r="P22"/>
      <c r="Q22"/>
      <c r="R22"/>
    </row>
    <row r="23" spans="1:18" x14ac:dyDescent="0.25">
      <c r="A23" s="21" t="s">
        <v>0</v>
      </c>
      <c r="B23" s="4">
        <v>44641</v>
      </c>
      <c r="P23"/>
      <c r="Q23"/>
      <c r="R23"/>
    </row>
    <row r="24" spans="1:18" x14ac:dyDescent="0.25">
      <c r="A24" s="5" t="s">
        <v>3</v>
      </c>
      <c r="B24" s="5" t="s">
        <v>8</v>
      </c>
      <c r="C24" s="5" t="s">
        <v>52</v>
      </c>
      <c r="D24" s="6" t="s">
        <v>9</v>
      </c>
      <c r="E24" s="6" t="s">
        <v>10</v>
      </c>
      <c r="F24" s="6" t="s">
        <v>5</v>
      </c>
      <c r="P24"/>
      <c r="Q24"/>
      <c r="R24"/>
    </row>
    <row r="25" spans="1:18" x14ac:dyDescent="0.25">
      <c r="A25" s="7">
        <v>28</v>
      </c>
      <c r="B25" s="57">
        <v>107.1</v>
      </c>
      <c r="C25" s="8">
        <v>107.1</v>
      </c>
      <c r="D25" s="11">
        <f t="shared" ref="D25:D35" si="2">(A25*C25)</f>
        <v>2998.7999999999997</v>
      </c>
      <c r="E25" s="9">
        <v>15</v>
      </c>
      <c r="F25" s="9">
        <v>0</v>
      </c>
      <c r="H25" s="12">
        <f t="shared" ref="H25:H35" si="3">(A25*C25-E25-F25)</f>
        <v>2983.7999999999997</v>
      </c>
      <c r="P25"/>
      <c r="Q25"/>
      <c r="R25"/>
    </row>
    <row r="26" spans="1:18" x14ac:dyDescent="0.25">
      <c r="A26" s="7">
        <v>0</v>
      </c>
      <c r="B26" s="57">
        <v>0</v>
      </c>
      <c r="C26" s="8">
        <v>0</v>
      </c>
      <c r="D26" s="11">
        <f t="shared" si="2"/>
        <v>0</v>
      </c>
      <c r="E26" s="9">
        <v>0</v>
      </c>
      <c r="F26" s="9">
        <v>0</v>
      </c>
      <c r="H26" s="12">
        <f t="shared" si="3"/>
        <v>0</v>
      </c>
      <c r="P26"/>
      <c r="Q26"/>
      <c r="R26"/>
    </row>
    <row r="27" spans="1:18" x14ac:dyDescent="0.25">
      <c r="A27" s="7">
        <v>0</v>
      </c>
      <c r="B27" s="57">
        <v>0</v>
      </c>
      <c r="C27" s="8">
        <v>0</v>
      </c>
      <c r="D27" s="11">
        <f t="shared" si="2"/>
        <v>0</v>
      </c>
      <c r="E27" s="9">
        <v>0</v>
      </c>
      <c r="F27" s="9">
        <v>0</v>
      </c>
      <c r="H27" s="12">
        <f t="shared" si="3"/>
        <v>0</v>
      </c>
      <c r="P27"/>
      <c r="Q27"/>
      <c r="R27"/>
    </row>
    <row r="28" spans="1:18" x14ac:dyDescent="0.25">
      <c r="A28" s="7">
        <v>0</v>
      </c>
      <c r="B28" s="57">
        <v>0</v>
      </c>
      <c r="C28" s="8">
        <v>0</v>
      </c>
      <c r="D28" s="11">
        <f t="shared" si="2"/>
        <v>0</v>
      </c>
      <c r="E28" s="9">
        <v>0</v>
      </c>
      <c r="F28" s="9">
        <v>0</v>
      </c>
      <c r="H28" s="12">
        <f t="shared" si="3"/>
        <v>0</v>
      </c>
      <c r="P28"/>
      <c r="Q28"/>
      <c r="R28"/>
    </row>
    <row r="29" spans="1:18" x14ac:dyDescent="0.25">
      <c r="A29" s="7">
        <v>0</v>
      </c>
      <c r="B29" s="57">
        <v>0</v>
      </c>
      <c r="C29" s="8">
        <v>0</v>
      </c>
      <c r="D29" s="11">
        <f t="shared" si="2"/>
        <v>0</v>
      </c>
      <c r="E29" s="9">
        <v>0</v>
      </c>
      <c r="F29" s="9">
        <v>0</v>
      </c>
      <c r="H29" s="12">
        <f t="shared" si="3"/>
        <v>0</v>
      </c>
      <c r="P29"/>
      <c r="Q29"/>
      <c r="R29"/>
    </row>
    <row r="30" spans="1:18" x14ac:dyDescent="0.25">
      <c r="A30" s="7">
        <v>0</v>
      </c>
      <c r="B30" s="57">
        <v>0</v>
      </c>
      <c r="C30" s="8">
        <v>0</v>
      </c>
      <c r="D30" s="11">
        <f t="shared" si="2"/>
        <v>0</v>
      </c>
      <c r="E30" s="9">
        <v>0</v>
      </c>
      <c r="F30" s="9">
        <v>0</v>
      </c>
      <c r="H30" s="12">
        <f t="shared" si="3"/>
        <v>0</v>
      </c>
      <c r="P30"/>
      <c r="Q30"/>
      <c r="R30"/>
    </row>
    <row r="31" spans="1:18" x14ac:dyDescent="0.25">
      <c r="A31" s="7">
        <v>0</v>
      </c>
      <c r="B31" s="57">
        <v>0</v>
      </c>
      <c r="C31" s="8">
        <v>0</v>
      </c>
      <c r="D31" s="11">
        <f t="shared" si="2"/>
        <v>0</v>
      </c>
      <c r="E31" s="9">
        <v>0</v>
      </c>
      <c r="F31" s="9">
        <v>0</v>
      </c>
      <c r="H31" s="12">
        <f t="shared" si="3"/>
        <v>0</v>
      </c>
      <c r="P31"/>
      <c r="Q31"/>
      <c r="R31"/>
    </row>
    <row r="32" spans="1:18"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28</v>
      </c>
      <c r="B36" s="58" cm="1">
        <f t="array" ref="B36">SUM(B25:B35/A37)</f>
        <v>107.1</v>
      </c>
      <c r="C36" s="15" cm="1">
        <f t="array" ref="C36">SUM(C25:C35/A37)</f>
        <v>107.1</v>
      </c>
      <c r="D36" s="16">
        <f>SUM(D25:D35)</f>
        <v>2998.7999999999997</v>
      </c>
      <c r="E36" s="16">
        <f>SUM(E25:E35)</f>
        <v>15</v>
      </c>
      <c r="F36" s="17">
        <f>SUM(F25:F35)</f>
        <v>0</v>
      </c>
      <c r="H36" s="13">
        <f>SUM(H25:H35)</f>
        <v>2983.7999999999997</v>
      </c>
    </row>
    <row r="37" spans="1:8" x14ac:dyDescent="0.25">
      <c r="A37">
        <f>COUNTIF(A25:A35, "&gt;0")</f>
        <v>1</v>
      </c>
      <c r="B37"/>
    </row>
    <row r="38" spans="1:8" x14ac:dyDescent="0.25">
      <c r="H38" s="19">
        <f>(H36-H19)</f>
        <v>40</v>
      </c>
    </row>
    <row r="39" spans="1:8" x14ac:dyDescent="0.25">
      <c r="D39" s="1" t="s">
        <v>20</v>
      </c>
    </row>
    <row r="40" spans="1:8" x14ac:dyDescent="0.25">
      <c r="A40" s="10" t="s">
        <v>11</v>
      </c>
      <c r="B40" s="10"/>
      <c r="D40" s="18">
        <f>(D36-D19)</f>
        <v>70</v>
      </c>
      <c r="E40" s="19">
        <f>(E19+E36)</f>
        <v>30</v>
      </c>
      <c r="F40" s="19">
        <f>(F19+F36)</f>
        <v>0</v>
      </c>
      <c r="H40" s="20">
        <f>(H38-F42)</f>
        <v>0</v>
      </c>
    </row>
    <row r="41" spans="1:8" x14ac:dyDescent="0.25">
      <c r="A41" s="10"/>
      <c r="B41" s="10"/>
      <c r="D41" s="19"/>
      <c r="E41" s="19">
        <f>(E40+F40)</f>
        <v>30</v>
      </c>
      <c r="F41" s="19"/>
      <c r="G41" s="19"/>
      <c r="H41" s="20"/>
    </row>
    <row r="42" spans="1:8" x14ac:dyDescent="0.25">
      <c r="A42" s="10"/>
      <c r="B42" s="10"/>
      <c r="D42" s="19"/>
      <c r="E42" s="56" t="s">
        <v>55</v>
      </c>
      <c r="F42" s="18">
        <f>(D40-E40-F40)</f>
        <v>40</v>
      </c>
      <c r="G42" s="19"/>
      <c r="H42" s="20"/>
    </row>
  </sheetData>
  <mergeCells count="5">
    <mergeCell ref="I1:O1"/>
    <mergeCell ref="P1:V1"/>
    <mergeCell ref="B3:C3"/>
    <mergeCell ref="P3:R3"/>
    <mergeCell ref="B4:C4"/>
  </mergeCells>
  <dataValidations count="1">
    <dataValidation type="list" allowBlank="1" showInputMessage="1" showErrorMessage="1" sqref="H1" xr:uid="{2F034D05-7E2C-4303-B499-1678A529D40C}">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6502135-13E5-4452-8F56-830249C459BA}">
          <x14:formula1>
            <xm:f>GENERAL!$S$5:$S$17</xm:f>
          </x14:formula1>
          <xm:sqref>B4:C4</xm:sqref>
        </x14:dataValidation>
        <x14:dataValidation type="list" allowBlank="1" showInputMessage="1" showErrorMessage="1" xr:uid="{0F639E12-AAD3-4E99-B4B5-B23207E697DF}">
          <x14:formula1>
            <xm:f>GENERAL!$W$5:$W$52</xm:f>
          </x14:formula1>
          <xm:sqref>B3:C3</xm:sqref>
        </x14:dataValidation>
        <x14:dataValidation type="list" allowBlank="1" showInputMessage="1" showErrorMessage="1" xr:uid="{9F604CCC-E32F-4F37-AA84-1D5D4C658672}">
          <x14:formula1>
            <xm:f>GENERAL!$AH$2:$AJ$2</xm:f>
          </x14:formula1>
          <xm:sqref>F4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EED96-4C88-41C5-95E7-2D01722551F0}">
  <dimension ref="A1:V42"/>
  <sheetViews>
    <sheetView zoomScale="85" zoomScaleNormal="85" zoomScalePageLayoutView="85" workbookViewId="0">
      <selection activeCell="D25" sqref="D25"/>
    </sheetView>
  </sheetViews>
  <sheetFormatPr baseColWidth="10" defaultColWidth="11.42578125" defaultRowHeight="15" x14ac:dyDescent="0.25"/>
  <cols>
    <col min="1" max="1" width="11.42578125" style="1"/>
    <col min="2" max="2" width="14.140625" style="1" customWidth="1"/>
    <col min="3" max="3" width="11.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8.5703125" style="1" customWidth="1"/>
    <col min="15" max="16384" width="11.42578125" style="1"/>
  </cols>
  <sheetData>
    <row r="1" spans="1:22" x14ac:dyDescent="0.25">
      <c r="A1" s="22" t="s">
        <v>6</v>
      </c>
      <c r="B1" s="55"/>
      <c r="C1" s="23"/>
      <c r="D1" s="174">
        <v>22002</v>
      </c>
      <c r="H1" s="65" t="s">
        <v>93</v>
      </c>
      <c r="I1" s="219" t="s">
        <v>27</v>
      </c>
      <c r="J1" s="219"/>
      <c r="K1" s="219"/>
      <c r="L1" s="219"/>
      <c r="M1" s="219"/>
      <c r="N1" s="219"/>
      <c r="O1" s="219"/>
      <c r="P1" s="224" t="s">
        <v>41</v>
      </c>
      <c r="Q1" s="224"/>
      <c r="R1" s="224"/>
      <c r="S1" s="224"/>
      <c r="T1" s="224"/>
      <c r="U1" s="224"/>
      <c r="V1" s="224"/>
    </row>
    <row r="2" spans="1:22" x14ac:dyDescent="0.25">
      <c r="A2" s="62" t="s">
        <v>2</v>
      </c>
      <c r="B2" s="64" t="s">
        <v>210</v>
      </c>
      <c r="C2" s="164"/>
      <c r="D2" s="63"/>
      <c r="E2" s="166" t="s">
        <v>106</v>
      </c>
      <c r="F2" s="165" t="s">
        <v>209</v>
      </c>
    </row>
    <row r="3" spans="1:22" x14ac:dyDescent="0.25">
      <c r="A3" s="62" t="s">
        <v>94</v>
      </c>
      <c r="B3" s="222" t="s">
        <v>96</v>
      </c>
      <c r="C3" s="221"/>
      <c r="I3" s="1" t="s">
        <v>2</v>
      </c>
      <c r="J3" s="1" t="e" vm="17">
        <v>#VALUE!</v>
      </c>
      <c r="P3" s="223" t="s">
        <v>36</v>
      </c>
      <c r="Q3" s="223"/>
      <c r="R3" s="223"/>
    </row>
    <row r="4" spans="1:22" x14ac:dyDescent="0.25">
      <c r="A4" s="62" t="s">
        <v>25</v>
      </c>
      <c r="B4" s="222" t="s">
        <v>84</v>
      </c>
      <c r="C4" s="221"/>
      <c r="D4" s="2"/>
      <c r="E4" s="166" t="s">
        <v>195</v>
      </c>
      <c r="F4" s="165" t="s">
        <v>3</v>
      </c>
      <c r="I4" s="1" t="s">
        <v>29</v>
      </c>
      <c r="J4" s="1" t="str" cm="1">
        <f t="array" ref="J4">_FV(J3,"Símbolo bursátil",TRUE)</f>
        <v>DSY</v>
      </c>
      <c r="P4" s="168" t="s">
        <v>37</v>
      </c>
      <c r="Q4" s="168" t="s">
        <v>37</v>
      </c>
      <c r="R4" s="30">
        <v>1</v>
      </c>
    </row>
    <row r="5" spans="1:22" x14ac:dyDescent="0.25">
      <c r="A5" s="3" t="s">
        <v>1</v>
      </c>
      <c r="B5" s="43" t="s">
        <v>21</v>
      </c>
      <c r="I5" s="1" t="s">
        <v>28</v>
      </c>
      <c r="J5" s="1" t="str" cm="1">
        <f t="array" ref="J5">_FV(J3,"Abreviatura de intercambio",TRUE)</f>
        <v>XPAR</v>
      </c>
      <c r="P5" t="e" vm="2">
        <v>#VALUE!</v>
      </c>
      <c r="Q5" s="31" t="s">
        <v>38</v>
      </c>
      <c r="R5" s="32" cm="1">
        <f t="array" ref="R5">_FV(P5,"Precio")</f>
        <v>1.073</v>
      </c>
    </row>
    <row r="6" spans="1:22" x14ac:dyDescent="0.25">
      <c r="A6" s="21" t="s">
        <v>0</v>
      </c>
      <c r="B6" s="4">
        <v>44593</v>
      </c>
      <c r="I6" s="1" t="s">
        <v>30</v>
      </c>
      <c r="J6" s="1" t="str" cm="1">
        <f t="array" ref="J6">_FV(J3,"Moneda")</f>
        <v>EUR</v>
      </c>
      <c r="P6" t="e" vm="3">
        <v>#VALUE!</v>
      </c>
      <c r="Q6" s="31" t="s">
        <v>39</v>
      </c>
      <c r="R6" s="33" cm="1">
        <f t="array" ref="R6">_FV(P6,"Precio")</f>
        <v>0.88790000000000002</v>
      </c>
    </row>
    <row r="7" spans="1:22" x14ac:dyDescent="0.25">
      <c r="A7" s="5" t="s">
        <v>3</v>
      </c>
      <c r="B7" s="5" t="s">
        <v>8</v>
      </c>
      <c r="C7" s="5" t="s">
        <v>52</v>
      </c>
      <c r="D7" s="6" t="s">
        <v>9</v>
      </c>
      <c r="E7" s="6" t="s">
        <v>10</v>
      </c>
      <c r="F7" s="6" t="s">
        <v>5</v>
      </c>
      <c r="P7" t="e" vm="4">
        <v>#VALUE!</v>
      </c>
      <c r="Q7" s="31" t="s">
        <v>40</v>
      </c>
      <c r="R7" s="34" cm="1">
        <f t="array" ref="R7">_FV(P7,"Precio")</f>
        <v>7.2827000000000002</v>
      </c>
    </row>
    <row r="8" spans="1:22" x14ac:dyDescent="0.25">
      <c r="A8" s="7">
        <v>71</v>
      </c>
      <c r="B8" s="57">
        <v>42.58</v>
      </c>
      <c r="C8" s="8">
        <v>42.58</v>
      </c>
      <c r="D8" s="11">
        <f t="shared" ref="D8:D18" si="0">(A8*C8)</f>
        <v>3023.18</v>
      </c>
      <c r="E8" s="9">
        <v>15</v>
      </c>
      <c r="F8" s="9">
        <v>0</v>
      </c>
      <c r="H8" s="12">
        <f t="shared" ref="H8:H18" si="1">(A8*C8+E8+F8)</f>
        <v>3038.18</v>
      </c>
      <c r="I8" s="1" t="s">
        <v>14</v>
      </c>
      <c r="J8" s="26" cm="1">
        <f t="array" ref="J8">_FV(J3,"Precio")</f>
        <v>37.78</v>
      </c>
      <c r="K8" s="27" t="str">
        <f>J6</f>
        <v>EUR</v>
      </c>
      <c r="L8" s="28">
        <f>IF($M$8="","",$J$8/VLOOKUP($J$6,$Q$4:$R$30,2,0))</f>
        <v>37.78</v>
      </c>
      <c r="M8" s="1" t="s">
        <v>37</v>
      </c>
      <c r="P8"/>
      <c r="Q8"/>
      <c r="R8"/>
    </row>
    <row r="9" spans="1:22" x14ac:dyDescent="0.25">
      <c r="A9" s="7">
        <v>0</v>
      </c>
      <c r="B9" s="57">
        <v>0</v>
      </c>
      <c r="C9" s="8">
        <v>0</v>
      </c>
      <c r="D9" s="11">
        <f t="shared" si="0"/>
        <v>0</v>
      </c>
      <c r="E9" s="9">
        <v>0</v>
      </c>
      <c r="F9" s="9">
        <v>0</v>
      </c>
      <c r="H9" s="12">
        <f t="shared" si="1"/>
        <v>0</v>
      </c>
      <c r="I9" s="1" t="s">
        <v>31</v>
      </c>
      <c r="J9" s="25" cm="1">
        <f t="array" ref="J9">_FV(J3,"Cambio (%)",TRUE)</f>
        <v>-5.5279999999999999E-3</v>
      </c>
      <c r="P9"/>
      <c r="Q9"/>
      <c r="R9"/>
    </row>
    <row r="10" spans="1:22" x14ac:dyDescent="0.25">
      <c r="A10" s="7">
        <v>0</v>
      </c>
      <c r="B10" s="57">
        <v>0</v>
      </c>
      <c r="C10" s="8">
        <v>0</v>
      </c>
      <c r="D10" s="11">
        <f t="shared" si="0"/>
        <v>0</v>
      </c>
      <c r="E10" s="9">
        <v>0</v>
      </c>
      <c r="F10" s="9">
        <v>0</v>
      </c>
      <c r="H10" s="12">
        <f t="shared" si="1"/>
        <v>0</v>
      </c>
      <c r="P10"/>
      <c r="Q10"/>
      <c r="R10"/>
    </row>
    <row r="11" spans="1:22" x14ac:dyDescent="0.25">
      <c r="A11" s="7">
        <v>0</v>
      </c>
      <c r="B11" s="57">
        <v>0</v>
      </c>
      <c r="C11" s="8">
        <v>0</v>
      </c>
      <c r="D11" s="11">
        <f t="shared" si="0"/>
        <v>0</v>
      </c>
      <c r="E11" s="9">
        <v>0</v>
      </c>
      <c r="F11" s="9">
        <v>0</v>
      </c>
      <c r="H11" s="12">
        <f t="shared" si="1"/>
        <v>0</v>
      </c>
      <c r="I11" s="1" t="s">
        <v>32</v>
      </c>
      <c r="J11" s="24" cm="1">
        <f t="array" ref="J11">_FV(J3,"Apertura")</f>
        <v>38.414999999999999</v>
      </c>
      <c r="P11"/>
      <c r="Q11"/>
      <c r="R11"/>
    </row>
    <row r="12" spans="1:22" x14ac:dyDescent="0.25">
      <c r="A12" s="7">
        <v>0</v>
      </c>
      <c r="B12" s="57">
        <v>0</v>
      </c>
      <c r="C12" s="8">
        <v>0</v>
      </c>
      <c r="D12" s="11">
        <f t="shared" si="0"/>
        <v>0</v>
      </c>
      <c r="E12" s="9">
        <v>0</v>
      </c>
      <c r="F12" s="9">
        <v>0</v>
      </c>
      <c r="H12" s="12">
        <f t="shared" si="1"/>
        <v>0</v>
      </c>
      <c r="I12" s="1" t="s">
        <v>33</v>
      </c>
      <c r="J12" s="24" cm="1">
        <f t="array" ref="J12">_FV(J3,"Máximo")</f>
        <v>38.515000000000001</v>
      </c>
      <c r="P12"/>
      <c r="Q12"/>
      <c r="R12"/>
    </row>
    <row r="13" spans="1:22" x14ac:dyDescent="0.25">
      <c r="A13" s="7">
        <v>0</v>
      </c>
      <c r="B13" s="57">
        <v>0</v>
      </c>
      <c r="C13" s="8">
        <v>0</v>
      </c>
      <c r="D13" s="11">
        <f t="shared" si="0"/>
        <v>0</v>
      </c>
      <c r="E13" s="9">
        <v>0</v>
      </c>
      <c r="F13" s="9">
        <v>0</v>
      </c>
      <c r="H13" s="12">
        <f t="shared" si="1"/>
        <v>0</v>
      </c>
      <c r="I13" s="1" t="s">
        <v>34</v>
      </c>
      <c r="J13" s="24" cm="1">
        <f t="array" ref="J13">_FV(J3,"Mínimo")</f>
        <v>37.78</v>
      </c>
      <c r="P13"/>
      <c r="Q13"/>
      <c r="R13"/>
    </row>
    <row r="14" spans="1:22" x14ac:dyDescent="0.25">
      <c r="A14" s="7">
        <v>0</v>
      </c>
      <c r="B14" s="57">
        <v>0</v>
      </c>
      <c r="C14" s="8">
        <v>0</v>
      </c>
      <c r="D14" s="11">
        <f t="shared" si="0"/>
        <v>0</v>
      </c>
      <c r="E14" s="9">
        <v>0</v>
      </c>
      <c r="F14" s="9">
        <v>0</v>
      </c>
      <c r="H14" s="12">
        <f t="shared" si="1"/>
        <v>0</v>
      </c>
      <c r="I14" s="1" t="s">
        <v>35</v>
      </c>
      <c r="J14" s="24" cm="1">
        <f t="array" ref="J14">_FV(J3,"Cierre anterior",TRUE)</f>
        <v>37.99</v>
      </c>
      <c r="P14"/>
      <c r="Q14"/>
      <c r="R14"/>
    </row>
    <row r="15" spans="1:22" x14ac:dyDescent="0.25">
      <c r="A15" s="7">
        <v>0</v>
      </c>
      <c r="B15" s="57">
        <v>0</v>
      </c>
      <c r="C15" s="8">
        <v>0</v>
      </c>
      <c r="D15" s="11">
        <f t="shared" si="0"/>
        <v>0</v>
      </c>
      <c r="E15" s="9">
        <v>0</v>
      </c>
      <c r="F15" s="9">
        <v>0</v>
      </c>
      <c r="H15" s="12">
        <f t="shared" si="1"/>
        <v>0</v>
      </c>
      <c r="P15"/>
      <c r="Q15"/>
      <c r="R15"/>
    </row>
    <row r="16" spans="1:22" x14ac:dyDescent="0.25">
      <c r="A16" s="7">
        <v>0</v>
      </c>
      <c r="B16" s="57">
        <v>0</v>
      </c>
      <c r="C16" s="8">
        <v>0</v>
      </c>
      <c r="D16" s="11">
        <f t="shared" si="0"/>
        <v>0</v>
      </c>
      <c r="E16" s="9">
        <v>0</v>
      </c>
      <c r="F16" s="9">
        <v>0</v>
      </c>
      <c r="H16" s="12">
        <f t="shared" si="1"/>
        <v>0</v>
      </c>
      <c r="P16"/>
      <c r="Q16"/>
      <c r="R16"/>
    </row>
    <row r="17" spans="1:18" x14ac:dyDescent="0.25">
      <c r="A17" s="7">
        <v>0</v>
      </c>
      <c r="B17" s="57">
        <v>0</v>
      </c>
      <c r="C17" s="8">
        <v>0</v>
      </c>
      <c r="D17" s="11">
        <f t="shared" si="0"/>
        <v>0</v>
      </c>
      <c r="E17" s="9">
        <v>0</v>
      </c>
      <c r="F17" s="9">
        <v>0</v>
      </c>
      <c r="H17" s="12">
        <f t="shared" si="1"/>
        <v>0</v>
      </c>
      <c r="P17"/>
      <c r="Q17"/>
      <c r="R17"/>
    </row>
    <row r="18" spans="1:18" x14ac:dyDescent="0.25">
      <c r="A18" s="7">
        <v>0</v>
      </c>
      <c r="B18" s="57">
        <v>0</v>
      </c>
      <c r="C18" s="8">
        <v>0</v>
      </c>
      <c r="D18" s="11">
        <f t="shared" si="0"/>
        <v>0</v>
      </c>
      <c r="E18" s="9">
        <v>0</v>
      </c>
      <c r="F18" s="9">
        <v>0</v>
      </c>
      <c r="H18" s="12">
        <f t="shared" si="1"/>
        <v>0</v>
      </c>
      <c r="I18" s="1" t="s">
        <v>42</v>
      </c>
      <c r="J18" s="167">
        <v>35.700000000000003</v>
      </c>
      <c r="P18"/>
      <c r="Q18"/>
      <c r="R18"/>
    </row>
    <row r="19" spans="1:18" x14ac:dyDescent="0.25">
      <c r="A19" s="14">
        <f>SUM(A8:A18)</f>
        <v>71</v>
      </c>
      <c r="B19" s="15" cm="1">
        <f t="array" ref="B19">SUM(B8:B18/A20)</f>
        <v>42.58</v>
      </c>
      <c r="C19" s="15" cm="1">
        <f t="array" ref="C19">SUM(C8:C18/A20)</f>
        <v>42.58</v>
      </c>
      <c r="D19" s="16">
        <f>SUM(D8:D18)</f>
        <v>3023.18</v>
      </c>
      <c r="E19" s="16">
        <f>SUM(E8:E18)</f>
        <v>15</v>
      </c>
      <c r="F19" s="17">
        <f>SUM(F8:F18)</f>
        <v>0</v>
      </c>
      <c r="H19" s="13">
        <f>SUM(H8:H18)</f>
        <v>3038.18</v>
      </c>
      <c r="P19"/>
      <c r="Q19"/>
      <c r="R19"/>
    </row>
    <row r="20" spans="1:18" x14ac:dyDescent="0.25">
      <c r="A20">
        <f>COUNTIF(A8:A18, "&gt;0")</f>
        <v>1</v>
      </c>
      <c r="B20"/>
      <c r="I20" s="1" t="s">
        <v>43</v>
      </c>
      <c r="J20" s="29" t="s">
        <v>189</v>
      </c>
      <c r="P20"/>
      <c r="Q20"/>
      <c r="R20"/>
    </row>
    <row r="21" spans="1:18" x14ac:dyDescent="0.25">
      <c r="P21"/>
      <c r="Q21"/>
      <c r="R21"/>
    </row>
    <row r="22" spans="1:18" x14ac:dyDescent="0.25">
      <c r="A22" s="3" t="s">
        <v>1</v>
      </c>
      <c r="B22" s="44" t="s">
        <v>22</v>
      </c>
      <c r="P22"/>
      <c r="Q22"/>
      <c r="R22"/>
    </row>
    <row r="23" spans="1:18" x14ac:dyDescent="0.25">
      <c r="A23" s="21" t="s">
        <v>0</v>
      </c>
      <c r="B23" s="4">
        <v>44636</v>
      </c>
      <c r="P23"/>
      <c r="Q23"/>
      <c r="R23"/>
    </row>
    <row r="24" spans="1:18" x14ac:dyDescent="0.25">
      <c r="A24" s="5" t="s">
        <v>3</v>
      </c>
      <c r="B24" s="5" t="s">
        <v>8</v>
      </c>
      <c r="C24" s="5" t="s">
        <v>52</v>
      </c>
      <c r="D24" s="6" t="s">
        <v>9</v>
      </c>
      <c r="E24" s="6" t="s">
        <v>10</v>
      </c>
      <c r="F24" s="6" t="s">
        <v>5</v>
      </c>
      <c r="P24"/>
      <c r="Q24"/>
      <c r="R24"/>
    </row>
    <row r="25" spans="1:18" x14ac:dyDescent="0.25">
      <c r="A25" s="7">
        <v>71</v>
      </c>
      <c r="B25" s="57">
        <v>43.755000000000003</v>
      </c>
      <c r="C25" s="8">
        <v>43.755000000000003</v>
      </c>
      <c r="D25" s="11">
        <f t="shared" ref="D25:D35" si="2">(A25*C25)</f>
        <v>3106.605</v>
      </c>
      <c r="E25" s="9">
        <v>15</v>
      </c>
      <c r="F25" s="9">
        <v>0</v>
      </c>
      <c r="H25" s="12">
        <f t="shared" ref="H25:H35" si="3">(A25*C25-E25-F25)</f>
        <v>3091.605</v>
      </c>
      <c r="P25"/>
      <c r="Q25"/>
      <c r="R25"/>
    </row>
    <row r="26" spans="1:18" x14ac:dyDescent="0.25">
      <c r="A26" s="7">
        <v>0</v>
      </c>
      <c r="B26" s="57">
        <v>0</v>
      </c>
      <c r="C26" s="8">
        <v>0</v>
      </c>
      <c r="D26" s="11">
        <f t="shared" si="2"/>
        <v>0</v>
      </c>
      <c r="E26" s="9">
        <v>0</v>
      </c>
      <c r="F26" s="9">
        <v>0</v>
      </c>
      <c r="H26" s="12">
        <f t="shared" si="3"/>
        <v>0</v>
      </c>
      <c r="P26"/>
      <c r="Q26"/>
      <c r="R26"/>
    </row>
    <row r="27" spans="1:18" x14ac:dyDescent="0.25">
      <c r="A27" s="7">
        <v>0</v>
      </c>
      <c r="B27" s="57">
        <v>0</v>
      </c>
      <c r="C27" s="8">
        <v>0</v>
      </c>
      <c r="D27" s="11">
        <f t="shared" si="2"/>
        <v>0</v>
      </c>
      <c r="E27" s="9">
        <v>0</v>
      </c>
      <c r="F27" s="9">
        <v>0</v>
      </c>
      <c r="H27" s="12">
        <f t="shared" si="3"/>
        <v>0</v>
      </c>
      <c r="P27"/>
      <c r="Q27"/>
      <c r="R27"/>
    </row>
    <row r="28" spans="1:18" x14ac:dyDescent="0.25">
      <c r="A28" s="7">
        <v>0</v>
      </c>
      <c r="B28" s="57">
        <v>0</v>
      </c>
      <c r="C28" s="8">
        <v>0</v>
      </c>
      <c r="D28" s="11">
        <f t="shared" si="2"/>
        <v>0</v>
      </c>
      <c r="E28" s="9">
        <v>0</v>
      </c>
      <c r="F28" s="9">
        <v>0</v>
      </c>
      <c r="H28" s="12">
        <f t="shared" si="3"/>
        <v>0</v>
      </c>
      <c r="P28"/>
      <c r="Q28"/>
      <c r="R28"/>
    </row>
    <row r="29" spans="1:18" x14ac:dyDescent="0.25">
      <c r="A29" s="7">
        <v>0</v>
      </c>
      <c r="B29" s="57">
        <v>0</v>
      </c>
      <c r="C29" s="8">
        <v>0</v>
      </c>
      <c r="D29" s="11">
        <f t="shared" si="2"/>
        <v>0</v>
      </c>
      <c r="E29" s="9">
        <v>0</v>
      </c>
      <c r="F29" s="9">
        <v>0</v>
      </c>
      <c r="H29" s="12">
        <f t="shared" si="3"/>
        <v>0</v>
      </c>
      <c r="P29"/>
      <c r="Q29"/>
      <c r="R29"/>
    </row>
    <row r="30" spans="1:18" x14ac:dyDescent="0.25">
      <c r="A30" s="7">
        <v>0</v>
      </c>
      <c r="B30" s="57">
        <v>0</v>
      </c>
      <c r="C30" s="8">
        <v>0</v>
      </c>
      <c r="D30" s="11">
        <f t="shared" si="2"/>
        <v>0</v>
      </c>
      <c r="E30" s="9">
        <v>0</v>
      </c>
      <c r="F30" s="9">
        <v>0</v>
      </c>
      <c r="H30" s="12">
        <f t="shared" si="3"/>
        <v>0</v>
      </c>
      <c r="P30"/>
      <c r="Q30"/>
      <c r="R30"/>
    </row>
    <row r="31" spans="1:18" x14ac:dyDescent="0.25">
      <c r="A31" s="7">
        <v>0</v>
      </c>
      <c r="B31" s="57">
        <v>0</v>
      </c>
      <c r="C31" s="8">
        <v>0</v>
      </c>
      <c r="D31" s="11">
        <f t="shared" si="2"/>
        <v>0</v>
      </c>
      <c r="E31" s="9">
        <v>0</v>
      </c>
      <c r="F31" s="9">
        <v>0</v>
      </c>
      <c r="H31" s="12">
        <f t="shared" si="3"/>
        <v>0</v>
      </c>
      <c r="P31"/>
      <c r="Q31"/>
      <c r="R31"/>
    </row>
    <row r="32" spans="1:18"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71</v>
      </c>
      <c r="B36" s="58" cm="1">
        <f t="array" ref="B36">SUM(B25:B35/A37)</f>
        <v>43.755000000000003</v>
      </c>
      <c r="C36" s="15" cm="1">
        <f t="array" ref="C36">SUM(C25:C35/A37)</f>
        <v>43.755000000000003</v>
      </c>
      <c r="D36" s="16">
        <f>SUM(D25:D35)</f>
        <v>3106.605</v>
      </c>
      <c r="E36" s="16">
        <f>SUM(E25:E35)</f>
        <v>15</v>
      </c>
      <c r="F36" s="17">
        <f>SUM(F25:F35)</f>
        <v>0</v>
      </c>
      <c r="H36" s="13">
        <f>SUM(H25:H35)</f>
        <v>3091.605</v>
      </c>
    </row>
    <row r="37" spans="1:8" x14ac:dyDescent="0.25">
      <c r="A37">
        <f>COUNTIF(A25:A35, "&gt;0")</f>
        <v>1</v>
      </c>
      <c r="B37"/>
    </row>
    <row r="38" spans="1:8" x14ac:dyDescent="0.25">
      <c r="H38" s="19">
        <f>(H36-H19)</f>
        <v>53.425000000000182</v>
      </c>
    </row>
    <row r="39" spans="1:8" x14ac:dyDescent="0.25">
      <c r="D39" s="1" t="s">
        <v>20</v>
      </c>
    </row>
    <row r="40" spans="1:8" x14ac:dyDescent="0.25">
      <c r="A40" s="10" t="s">
        <v>11</v>
      </c>
      <c r="B40" s="10"/>
      <c r="D40" s="18">
        <f>(D36-D19)</f>
        <v>83.425000000000182</v>
      </c>
      <c r="E40" s="19">
        <f>(E19+E36)</f>
        <v>30</v>
      </c>
      <c r="F40" s="19">
        <f>(F19+F36)</f>
        <v>0</v>
      </c>
      <c r="H40" s="20">
        <f>(H38-F42)</f>
        <v>0</v>
      </c>
    </row>
    <row r="41" spans="1:8" x14ac:dyDescent="0.25">
      <c r="A41" s="10"/>
      <c r="B41" s="10"/>
      <c r="D41" s="19"/>
      <c r="E41" s="19">
        <f>(E40+F40)</f>
        <v>30</v>
      </c>
      <c r="F41" s="19"/>
      <c r="G41" s="19"/>
      <c r="H41" s="20"/>
    </row>
    <row r="42" spans="1:8" x14ac:dyDescent="0.25">
      <c r="A42" s="10"/>
      <c r="B42" s="10"/>
      <c r="D42" s="19"/>
      <c r="E42" s="56" t="s">
        <v>55</v>
      </c>
      <c r="F42" s="18">
        <f>(D40-E40-F40)</f>
        <v>53.425000000000182</v>
      </c>
      <c r="G42" s="19"/>
      <c r="H42" s="20"/>
    </row>
  </sheetData>
  <mergeCells count="5">
    <mergeCell ref="I1:O1"/>
    <mergeCell ref="P1:V1"/>
    <mergeCell ref="B3:C3"/>
    <mergeCell ref="P3:R3"/>
    <mergeCell ref="B4:C4"/>
  </mergeCells>
  <dataValidations count="1">
    <dataValidation type="list" allowBlank="1" showInputMessage="1" showErrorMessage="1" sqref="H1" xr:uid="{09C5B095-8EC2-47EF-A6C7-FAA4288F3254}">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84A78C89-A237-4521-8E8E-656394F1AFF3}">
          <x14:formula1>
            <xm:f>GENERAL!$S$5:$S$17</xm:f>
          </x14:formula1>
          <xm:sqref>B4:C4</xm:sqref>
        </x14:dataValidation>
        <x14:dataValidation type="list" allowBlank="1" showInputMessage="1" showErrorMessage="1" xr:uid="{E23E1E45-C330-4B99-864F-71A047BCBB0F}">
          <x14:formula1>
            <xm:f>GENERAL!$W$5:$W$52</xm:f>
          </x14:formula1>
          <xm:sqref>B3:C3</xm:sqref>
        </x14:dataValidation>
        <x14:dataValidation type="list" allowBlank="1" showInputMessage="1" showErrorMessage="1" xr:uid="{4BE53D41-6C03-4E9C-8F78-FFA803D24C6E}">
          <x14:formula1>
            <xm:f>GENERAL!$AH$2:$AJ$2</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09475-5DA5-43C4-A1EA-01534E2D501F}">
  <dimension ref="A1:V42"/>
  <sheetViews>
    <sheetView zoomScale="85" zoomScaleNormal="85" zoomScalePageLayoutView="85" workbookViewId="0">
      <selection activeCell="D25" sqref="D25"/>
    </sheetView>
  </sheetViews>
  <sheetFormatPr baseColWidth="10" defaultColWidth="11.42578125" defaultRowHeight="15" x14ac:dyDescent="0.25"/>
  <cols>
    <col min="1" max="1" width="11.42578125" style="1"/>
    <col min="2" max="2" width="14.140625" style="1" customWidth="1"/>
    <col min="3" max="3" width="11.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8.5703125" style="1" customWidth="1"/>
    <col min="15" max="16384" width="11.42578125" style="1"/>
  </cols>
  <sheetData>
    <row r="1" spans="1:22" x14ac:dyDescent="0.25">
      <c r="A1" s="22" t="s">
        <v>6</v>
      </c>
      <c r="B1" s="55"/>
      <c r="C1" s="23"/>
      <c r="D1" s="174">
        <v>22001</v>
      </c>
      <c r="H1" s="65" t="s">
        <v>93</v>
      </c>
      <c r="I1" s="219" t="s">
        <v>27</v>
      </c>
      <c r="J1" s="219"/>
      <c r="K1" s="219"/>
      <c r="L1" s="219"/>
      <c r="M1" s="219"/>
      <c r="N1" s="219"/>
      <c r="O1" s="219"/>
      <c r="P1" s="224" t="s">
        <v>41</v>
      </c>
      <c r="Q1" s="224"/>
      <c r="R1" s="224"/>
      <c r="S1" s="224"/>
      <c r="T1" s="224"/>
      <c r="U1" s="224"/>
      <c r="V1" s="224"/>
    </row>
    <row r="2" spans="1:22" x14ac:dyDescent="0.25">
      <c r="A2" s="62" t="s">
        <v>2</v>
      </c>
      <c r="B2" s="64" t="s">
        <v>206</v>
      </c>
      <c r="C2" s="164"/>
      <c r="D2" s="63"/>
      <c r="E2" s="166" t="s">
        <v>106</v>
      </c>
      <c r="F2" s="165" t="s">
        <v>207</v>
      </c>
    </row>
    <row r="3" spans="1:22" x14ac:dyDescent="0.25">
      <c r="A3" s="62" t="s">
        <v>94</v>
      </c>
      <c r="B3" s="222" t="s">
        <v>101</v>
      </c>
      <c r="C3" s="221"/>
      <c r="I3" s="1" t="s">
        <v>2</v>
      </c>
      <c r="J3" s="1" t="e" vm="18">
        <v>#VALUE!</v>
      </c>
      <c r="P3" s="223" t="s">
        <v>36</v>
      </c>
      <c r="Q3" s="223"/>
      <c r="R3" s="223"/>
    </row>
    <row r="4" spans="1:22" x14ac:dyDescent="0.25">
      <c r="A4" s="62" t="s">
        <v>25</v>
      </c>
      <c r="B4" s="222" t="s">
        <v>89</v>
      </c>
      <c r="C4" s="221"/>
      <c r="D4" s="2"/>
      <c r="E4" s="166" t="s">
        <v>195</v>
      </c>
      <c r="F4" s="165" t="s">
        <v>3</v>
      </c>
      <c r="I4" s="1" t="s">
        <v>29</v>
      </c>
      <c r="J4" s="1" t="str" cm="1">
        <f t="array" ref="J4">_FV(J3,"Símbolo bursátil",TRUE)</f>
        <v>WKL</v>
      </c>
      <c r="P4" s="168" t="s">
        <v>37</v>
      </c>
      <c r="Q4" s="168" t="s">
        <v>37</v>
      </c>
      <c r="R4" s="30">
        <v>1</v>
      </c>
    </row>
    <row r="5" spans="1:22" x14ac:dyDescent="0.25">
      <c r="A5" s="3" t="s">
        <v>1</v>
      </c>
      <c r="B5" s="43" t="s">
        <v>21</v>
      </c>
      <c r="I5" s="1" t="s">
        <v>28</v>
      </c>
      <c r="J5" s="1" t="str" cm="1">
        <f t="array" ref="J5">_FV(J3,"Abreviatura de intercambio",TRUE)</f>
        <v>XAMS</v>
      </c>
      <c r="P5" t="e" vm="2">
        <v>#VALUE!</v>
      </c>
      <c r="Q5" s="31" t="s">
        <v>38</v>
      </c>
      <c r="R5" s="32" cm="1">
        <f t="array" ref="R5">_FV(P5,"Precio")</f>
        <v>1.073</v>
      </c>
    </row>
    <row r="6" spans="1:22" x14ac:dyDescent="0.25">
      <c r="A6" s="21" t="s">
        <v>0</v>
      </c>
      <c r="B6" s="4">
        <v>44593</v>
      </c>
      <c r="I6" s="1" t="s">
        <v>30</v>
      </c>
      <c r="J6" s="1" t="str" cm="1">
        <f t="array" ref="J6">_FV(J3,"Moneda")</f>
        <v>EUR</v>
      </c>
      <c r="P6" t="e" vm="3">
        <v>#VALUE!</v>
      </c>
      <c r="Q6" s="31" t="s">
        <v>39</v>
      </c>
      <c r="R6" s="33" cm="1">
        <f t="array" ref="R6">_FV(P6,"Precio")</f>
        <v>0.88790000000000002</v>
      </c>
    </row>
    <row r="7" spans="1:22" x14ac:dyDescent="0.25">
      <c r="A7" s="5" t="s">
        <v>3</v>
      </c>
      <c r="B7" s="5" t="s">
        <v>8</v>
      </c>
      <c r="C7" s="5" t="s">
        <v>52</v>
      </c>
      <c r="D7" s="6" t="s">
        <v>9</v>
      </c>
      <c r="E7" s="6" t="s">
        <v>10</v>
      </c>
      <c r="F7" s="6" t="s">
        <v>5</v>
      </c>
      <c r="P7" t="e" vm="4">
        <v>#VALUE!</v>
      </c>
      <c r="Q7" s="31" t="s">
        <v>40</v>
      </c>
      <c r="R7" s="34" cm="1">
        <f t="array" ref="R7">_FV(P7,"Precio")</f>
        <v>7.2827000000000002</v>
      </c>
    </row>
    <row r="8" spans="1:22" x14ac:dyDescent="0.25">
      <c r="A8" s="7">
        <v>34</v>
      </c>
      <c r="B8" s="57">
        <v>90.6</v>
      </c>
      <c r="C8" s="8">
        <v>90.6</v>
      </c>
      <c r="D8" s="11">
        <f t="shared" ref="D8:D18" si="0">(A8*C8)</f>
        <v>3080.3999999999996</v>
      </c>
      <c r="E8" s="9">
        <v>15</v>
      </c>
      <c r="F8" s="9">
        <v>0</v>
      </c>
      <c r="H8" s="12">
        <f t="shared" ref="H8:H18" si="1">(A8*C8+E8+F8)</f>
        <v>3095.3999999999996</v>
      </c>
      <c r="I8" s="1" t="s">
        <v>14</v>
      </c>
      <c r="J8" s="26" cm="1">
        <f t="array" ref="J8">_FV(J3,"Precio")</f>
        <v>100.4</v>
      </c>
      <c r="K8" s="27" t="str">
        <f>J6</f>
        <v>EUR</v>
      </c>
      <c r="L8" s="28">
        <f>IF($M$8="","",$J$8/VLOOKUP($J$6,$Q$4:$R$30,2,0))</f>
        <v>100.4</v>
      </c>
      <c r="M8" s="1" t="s">
        <v>37</v>
      </c>
      <c r="P8"/>
      <c r="Q8"/>
      <c r="R8"/>
    </row>
    <row r="9" spans="1:22" x14ac:dyDescent="0.25">
      <c r="A9" s="7">
        <v>0</v>
      </c>
      <c r="B9" s="57">
        <v>0</v>
      </c>
      <c r="C9" s="8">
        <v>0</v>
      </c>
      <c r="D9" s="11">
        <f t="shared" si="0"/>
        <v>0</v>
      </c>
      <c r="E9" s="9">
        <v>0</v>
      </c>
      <c r="F9" s="9">
        <v>0</v>
      </c>
      <c r="H9" s="12">
        <f t="shared" si="1"/>
        <v>0</v>
      </c>
      <c r="I9" s="1" t="s">
        <v>31</v>
      </c>
      <c r="J9" s="25" cm="1">
        <f t="array" ref="J9">_FV(J3,"Cambio (%)",TRUE)</f>
        <v>-1.4920000000000001E-3</v>
      </c>
      <c r="P9"/>
      <c r="Q9"/>
      <c r="R9"/>
    </row>
    <row r="10" spans="1:22" x14ac:dyDescent="0.25">
      <c r="A10" s="7">
        <v>0</v>
      </c>
      <c r="B10" s="57">
        <v>0</v>
      </c>
      <c r="C10" s="8">
        <v>0</v>
      </c>
      <c r="D10" s="11">
        <f t="shared" si="0"/>
        <v>0</v>
      </c>
      <c r="E10" s="9">
        <v>0</v>
      </c>
      <c r="F10" s="9">
        <v>0</v>
      </c>
      <c r="H10" s="12">
        <f t="shared" si="1"/>
        <v>0</v>
      </c>
      <c r="P10"/>
      <c r="Q10"/>
      <c r="R10"/>
    </row>
    <row r="11" spans="1:22" x14ac:dyDescent="0.25">
      <c r="A11" s="7">
        <v>0</v>
      </c>
      <c r="B11" s="57">
        <v>0</v>
      </c>
      <c r="C11" s="8">
        <v>0</v>
      </c>
      <c r="D11" s="11">
        <f t="shared" si="0"/>
        <v>0</v>
      </c>
      <c r="E11" s="9">
        <v>0</v>
      </c>
      <c r="F11" s="9">
        <v>0</v>
      </c>
      <c r="H11" s="12">
        <f t="shared" si="1"/>
        <v>0</v>
      </c>
      <c r="I11" s="1" t="s">
        <v>32</v>
      </c>
      <c r="J11" s="24" cm="1">
        <f t="array" ref="J11">_FV(J3,"Apertura")</f>
        <v>100.95</v>
      </c>
      <c r="P11"/>
      <c r="Q11"/>
      <c r="R11"/>
    </row>
    <row r="12" spans="1:22" x14ac:dyDescent="0.25">
      <c r="A12" s="7">
        <v>0</v>
      </c>
      <c r="B12" s="57">
        <v>0</v>
      </c>
      <c r="C12" s="8">
        <v>0</v>
      </c>
      <c r="D12" s="11">
        <f t="shared" si="0"/>
        <v>0</v>
      </c>
      <c r="E12" s="9">
        <v>0</v>
      </c>
      <c r="F12" s="9">
        <v>0</v>
      </c>
      <c r="H12" s="12">
        <f t="shared" si="1"/>
        <v>0</v>
      </c>
      <c r="I12" s="1" t="s">
        <v>33</v>
      </c>
      <c r="J12" s="24" cm="1">
        <f t="array" ref="J12">_FV(J3,"Máximo")</f>
        <v>101.4</v>
      </c>
      <c r="P12"/>
      <c r="Q12"/>
      <c r="R12"/>
    </row>
    <row r="13" spans="1:22" x14ac:dyDescent="0.25">
      <c r="A13" s="7">
        <v>0</v>
      </c>
      <c r="B13" s="57">
        <v>0</v>
      </c>
      <c r="C13" s="8">
        <v>0</v>
      </c>
      <c r="D13" s="11">
        <f t="shared" si="0"/>
        <v>0</v>
      </c>
      <c r="E13" s="9">
        <v>0</v>
      </c>
      <c r="F13" s="9">
        <v>0</v>
      </c>
      <c r="H13" s="12">
        <f t="shared" si="1"/>
        <v>0</v>
      </c>
      <c r="I13" s="1" t="s">
        <v>34</v>
      </c>
      <c r="J13" s="24" cm="1">
        <f t="array" ref="J13">_FV(J3,"Mínimo")</f>
        <v>100.4</v>
      </c>
      <c r="P13"/>
      <c r="Q13"/>
      <c r="R13"/>
    </row>
    <row r="14" spans="1:22" x14ac:dyDescent="0.25">
      <c r="A14" s="7">
        <v>0</v>
      </c>
      <c r="B14" s="57">
        <v>0</v>
      </c>
      <c r="C14" s="8">
        <v>0</v>
      </c>
      <c r="D14" s="11">
        <f t="shared" si="0"/>
        <v>0</v>
      </c>
      <c r="E14" s="9">
        <v>0</v>
      </c>
      <c r="F14" s="9">
        <v>0</v>
      </c>
      <c r="H14" s="12">
        <f t="shared" si="1"/>
        <v>0</v>
      </c>
      <c r="I14" s="1" t="s">
        <v>35</v>
      </c>
      <c r="J14" s="24" cm="1">
        <f t="array" ref="J14">_FV(J3,"Cierre anterior",TRUE)</f>
        <v>100.55</v>
      </c>
      <c r="P14"/>
      <c r="Q14"/>
      <c r="R14"/>
    </row>
    <row r="15" spans="1:22" x14ac:dyDescent="0.25">
      <c r="A15" s="7">
        <v>0</v>
      </c>
      <c r="B15" s="57">
        <v>0</v>
      </c>
      <c r="C15" s="8">
        <v>0</v>
      </c>
      <c r="D15" s="11">
        <f t="shared" si="0"/>
        <v>0</v>
      </c>
      <c r="E15" s="9">
        <v>0</v>
      </c>
      <c r="F15" s="9">
        <v>0</v>
      </c>
      <c r="H15" s="12">
        <f t="shared" si="1"/>
        <v>0</v>
      </c>
      <c r="P15"/>
      <c r="Q15"/>
      <c r="R15"/>
    </row>
    <row r="16" spans="1:22" x14ac:dyDescent="0.25">
      <c r="A16" s="7">
        <v>0</v>
      </c>
      <c r="B16" s="57">
        <v>0</v>
      </c>
      <c r="C16" s="8">
        <v>0</v>
      </c>
      <c r="D16" s="11">
        <f t="shared" si="0"/>
        <v>0</v>
      </c>
      <c r="E16" s="9">
        <v>0</v>
      </c>
      <c r="F16" s="9">
        <v>0</v>
      </c>
      <c r="H16" s="12">
        <f t="shared" si="1"/>
        <v>0</v>
      </c>
      <c r="P16"/>
      <c r="Q16"/>
      <c r="R16"/>
    </row>
    <row r="17" spans="1:18" x14ac:dyDescent="0.25">
      <c r="A17" s="7">
        <v>0</v>
      </c>
      <c r="B17" s="57">
        <v>0</v>
      </c>
      <c r="C17" s="8">
        <v>0</v>
      </c>
      <c r="D17" s="11">
        <f t="shared" si="0"/>
        <v>0</v>
      </c>
      <c r="E17" s="9">
        <v>0</v>
      </c>
      <c r="F17" s="9">
        <v>0</v>
      </c>
      <c r="H17" s="12">
        <f t="shared" si="1"/>
        <v>0</v>
      </c>
      <c r="P17"/>
      <c r="Q17"/>
      <c r="R17"/>
    </row>
    <row r="18" spans="1:18" x14ac:dyDescent="0.25">
      <c r="A18" s="7">
        <v>0</v>
      </c>
      <c r="B18" s="57">
        <v>0</v>
      </c>
      <c r="C18" s="8">
        <v>0</v>
      </c>
      <c r="D18" s="11">
        <f t="shared" si="0"/>
        <v>0</v>
      </c>
      <c r="E18" s="9">
        <v>0</v>
      </c>
      <c r="F18" s="9">
        <v>0</v>
      </c>
      <c r="H18" s="12">
        <f t="shared" si="1"/>
        <v>0</v>
      </c>
      <c r="I18" s="1" t="s">
        <v>42</v>
      </c>
      <c r="J18" s="167">
        <v>74.2</v>
      </c>
      <c r="P18"/>
      <c r="Q18"/>
      <c r="R18"/>
    </row>
    <row r="19" spans="1:18" x14ac:dyDescent="0.25">
      <c r="A19" s="14">
        <f>SUM(A8:A18)</f>
        <v>34</v>
      </c>
      <c r="B19" s="15" cm="1">
        <f t="array" ref="B19">SUM(B8:B18/A20)</f>
        <v>90.6</v>
      </c>
      <c r="C19" s="15" cm="1">
        <f t="array" ref="C19">SUM(C8:C18/A20)</f>
        <v>90.6</v>
      </c>
      <c r="D19" s="16">
        <f>SUM(D8:D18)</f>
        <v>3080.3999999999996</v>
      </c>
      <c r="E19" s="16">
        <f>SUM(E8:E18)</f>
        <v>15</v>
      </c>
      <c r="F19" s="17">
        <f>SUM(F8:F18)</f>
        <v>0</v>
      </c>
      <c r="H19" s="13">
        <f>SUM(H8:H18)</f>
        <v>3095.3999999999996</v>
      </c>
      <c r="P19"/>
      <c r="Q19"/>
      <c r="R19"/>
    </row>
    <row r="20" spans="1:18" x14ac:dyDescent="0.25">
      <c r="A20">
        <f>COUNTIF(A8:A18, "&gt;0")</f>
        <v>1</v>
      </c>
      <c r="B20"/>
      <c r="I20" s="1" t="s">
        <v>43</v>
      </c>
      <c r="J20" s="29" t="s">
        <v>189</v>
      </c>
      <c r="P20"/>
      <c r="Q20"/>
      <c r="R20"/>
    </row>
    <row r="21" spans="1:18" x14ac:dyDescent="0.25">
      <c r="P21"/>
      <c r="Q21"/>
      <c r="R21"/>
    </row>
    <row r="22" spans="1:18" x14ac:dyDescent="0.25">
      <c r="A22" s="3" t="s">
        <v>1</v>
      </c>
      <c r="B22" s="44" t="s">
        <v>22</v>
      </c>
      <c r="P22"/>
      <c r="Q22"/>
      <c r="R22"/>
    </row>
    <row r="23" spans="1:18" x14ac:dyDescent="0.25">
      <c r="A23" s="21" t="s">
        <v>0</v>
      </c>
      <c r="B23" s="4">
        <v>44636</v>
      </c>
      <c r="P23"/>
      <c r="Q23"/>
      <c r="R23"/>
    </row>
    <row r="24" spans="1:18" x14ac:dyDescent="0.25">
      <c r="A24" s="5" t="s">
        <v>3</v>
      </c>
      <c r="B24" s="5" t="s">
        <v>8</v>
      </c>
      <c r="C24" s="5" t="s">
        <v>52</v>
      </c>
      <c r="D24" s="6" t="s">
        <v>9</v>
      </c>
      <c r="E24" s="6" t="s">
        <v>10</v>
      </c>
      <c r="F24" s="6" t="s">
        <v>5</v>
      </c>
      <c r="P24"/>
      <c r="Q24"/>
      <c r="R24"/>
    </row>
    <row r="25" spans="1:18" x14ac:dyDescent="0.25">
      <c r="A25" s="7">
        <v>34</v>
      </c>
      <c r="B25" s="57">
        <v>93.42</v>
      </c>
      <c r="C25" s="8">
        <v>93.42</v>
      </c>
      <c r="D25" s="11">
        <f t="shared" ref="D25:D35" si="2">(A25*C25)</f>
        <v>3176.28</v>
      </c>
      <c r="E25" s="9">
        <v>15</v>
      </c>
      <c r="F25" s="9">
        <v>0</v>
      </c>
      <c r="H25" s="12">
        <f t="shared" ref="H25:H35" si="3">(A25*C25-E25-F25)</f>
        <v>3161.28</v>
      </c>
      <c r="P25"/>
      <c r="Q25"/>
      <c r="R25"/>
    </row>
    <row r="26" spans="1:18" x14ac:dyDescent="0.25">
      <c r="A26" s="7">
        <v>0</v>
      </c>
      <c r="B26" s="57">
        <v>0</v>
      </c>
      <c r="C26" s="8">
        <v>0</v>
      </c>
      <c r="D26" s="11">
        <f t="shared" si="2"/>
        <v>0</v>
      </c>
      <c r="E26" s="9">
        <v>0</v>
      </c>
      <c r="F26" s="9">
        <v>0</v>
      </c>
      <c r="H26" s="12">
        <f t="shared" si="3"/>
        <v>0</v>
      </c>
      <c r="P26"/>
      <c r="Q26"/>
      <c r="R26"/>
    </row>
    <row r="27" spans="1:18" x14ac:dyDescent="0.25">
      <c r="A27" s="7">
        <v>0</v>
      </c>
      <c r="B27" s="57">
        <v>0</v>
      </c>
      <c r="C27" s="8">
        <v>0</v>
      </c>
      <c r="D27" s="11">
        <f t="shared" si="2"/>
        <v>0</v>
      </c>
      <c r="E27" s="9">
        <v>0</v>
      </c>
      <c r="F27" s="9">
        <v>0</v>
      </c>
      <c r="H27" s="12">
        <f t="shared" si="3"/>
        <v>0</v>
      </c>
      <c r="P27"/>
      <c r="Q27"/>
      <c r="R27"/>
    </row>
    <row r="28" spans="1:18" x14ac:dyDescent="0.25">
      <c r="A28" s="7">
        <v>0</v>
      </c>
      <c r="B28" s="57">
        <v>0</v>
      </c>
      <c r="C28" s="8">
        <v>0</v>
      </c>
      <c r="D28" s="11">
        <f t="shared" si="2"/>
        <v>0</v>
      </c>
      <c r="E28" s="9">
        <v>0</v>
      </c>
      <c r="F28" s="9">
        <v>0</v>
      </c>
      <c r="H28" s="12">
        <f t="shared" si="3"/>
        <v>0</v>
      </c>
      <c r="P28"/>
      <c r="Q28"/>
      <c r="R28"/>
    </row>
    <row r="29" spans="1:18" x14ac:dyDescent="0.25">
      <c r="A29" s="7">
        <v>0</v>
      </c>
      <c r="B29" s="57">
        <v>0</v>
      </c>
      <c r="C29" s="8">
        <v>0</v>
      </c>
      <c r="D29" s="11">
        <f t="shared" si="2"/>
        <v>0</v>
      </c>
      <c r="E29" s="9">
        <v>0</v>
      </c>
      <c r="F29" s="9">
        <v>0</v>
      </c>
      <c r="H29" s="12">
        <f t="shared" si="3"/>
        <v>0</v>
      </c>
      <c r="P29"/>
      <c r="Q29"/>
      <c r="R29"/>
    </row>
    <row r="30" spans="1:18" x14ac:dyDescent="0.25">
      <c r="A30" s="7">
        <v>0</v>
      </c>
      <c r="B30" s="57">
        <v>0</v>
      </c>
      <c r="C30" s="8">
        <v>0</v>
      </c>
      <c r="D30" s="11">
        <f t="shared" si="2"/>
        <v>0</v>
      </c>
      <c r="E30" s="9">
        <v>0</v>
      </c>
      <c r="F30" s="9">
        <v>0</v>
      </c>
      <c r="H30" s="12">
        <f t="shared" si="3"/>
        <v>0</v>
      </c>
      <c r="P30"/>
      <c r="Q30"/>
      <c r="R30"/>
    </row>
    <row r="31" spans="1:18" x14ac:dyDescent="0.25">
      <c r="A31" s="7">
        <v>0</v>
      </c>
      <c r="B31" s="57">
        <v>0</v>
      </c>
      <c r="C31" s="8">
        <v>0</v>
      </c>
      <c r="D31" s="11">
        <f t="shared" si="2"/>
        <v>0</v>
      </c>
      <c r="E31" s="9">
        <v>0</v>
      </c>
      <c r="F31" s="9">
        <v>0</v>
      </c>
      <c r="H31" s="12">
        <f t="shared" si="3"/>
        <v>0</v>
      </c>
      <c r="P31"/>
      <c r="Q31"/>
      <c r="R31"/>
    </row>
    <row r="32" spans="1:18"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34</v>
      </c>
      <c r="B36" s="58" cm="1">
        <f t="array" ref="B36">SUM(B25:B35/A37)</f>
        <v>93.42</v>
      </c>
      <c r="C36" s="15" cm="1">
        <f t="array" ref="C36">SUM(C25:C35/A37)</f>
        <v>93.42</v>
      </c>
      <c r="D36" s="16">
        <f>SUM(D25:D35)</f>
        <v>3176.28</v>
      </c>
      <c r="E36" s="16">
        <f>SUM(E25:E35)</f>
        <v>15</v>
      </c>
      <c r="F36" s="17">
        <f>SUM(F25:F35)</f>
        <v>0</v>
      </c>
      <c r="H36" s="13">
        <f>SUM(H25:H35)</f>
        <v>3161.28</v>
      </c>
    </row>
    <row r="37" spans="1:8" x14ac:dyDescent="0.25">
      <c r="A37">
        <f>COUNTIF(A25:A35, "&gt;0")</f>
        <v>1</v>
      </c>
      <c r="B37"/>
    </row>
    <row r="38" spans="1:8" x14ac:dyDescent="0.25">
      <c r="H38" s="19">
        <f>(H36-H19)</f>
        <v>65.880000000000564</v>
      </c>
    </row>
    <row r="39" spans="1:8" x14ac:dyDescent="0.25">
      <c r="D39" s="1" t="s">
        <v>20</v>
      </c>
    </row>
    <row r="40" spans="1:8" x14ac:dyDescent="0.25">
      <c r="A40" s="10" t="s">
        <v>11</v>
      </c>
      <c r="B40" s="10"/>
      <c r="D40" s="18">
        <f>(D36-D19)</f>
        <v>95.880000000000564</v>
      </c>
      <c r="E40" s="19">
        <f>(E19+E36)</f>
        <v>30</v>
      </c>
      <c r="F40" s="19">
        <f>(F19+F36)</f>
        <v>0</v>
      </c>
      <c r="H40" s="20">
        <f>(H38-F42)</f>
        <v>0</v>
      </c>
    </row>
    <row r="41" spans="1:8" x14ac:dyDescent="0.25">
      <c r="A41" s="10"/>
      <c r="B41" s="10"/>
      <c r="D41" s="19"/>
      <c r="E41" s="19">
        <f>(E40+F40)</f>
        <v>30</v>
      </c>
      <c r="F41" s="19"/>
      <c r="G41" s="19"/>
      <c r="H41" s="20"/>
    </row>
    <row r="42" spans="1:8" x14ac:dyDescent="0.25">
      <c r="A42" s="10"/>
      <c r="B42" s="10"/>
      <c r="D42" s="19"/>
      <c r="E42" s="56" t="s">
        <v>55</v>
      </c>
      <c r="F42" s="18">
        <f>(D40-E40-F40)</f>
        <v>65.880000000000564</v>
      </c>
      <c r="G42" s="19"/>
      <c r="H42" s="20"/>
    </row>
  </sheetData>
  <mergeCells count="5">
    <mergeCell ref="I1:O1"/>
    <mergeCell ref="P1:V1"/>
    <mergeCell ref="B3:C3"/>
    <mergeCell ref="P3:R3"/>
    <mergeCell ref="B4:C4"/>
  </mergeCells>
  <dataValidations count="1">
    <dataValidation type="list" allowBlank="1" showInputMessage="1" showErrorMessage="1" sqref="H1" xr:uid="{7E67A82A-04E4-4DF6-8530-EAAC1062C7D2}">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781D3217-1C69-4C6E-8D64-C1A70E083FE0}">
          <x14:formula1>
            <xm:f>GENERAL!$S$5:$S$17</xm:f>
          </x14:formula1>
          <xm:sqref>B4:C4</xm:sqref>
        </x14:dataValidation>
        <x14:dataValidation type="list" allowBlank="1" showInputMessage="1" showErrorMessage="1" xr:uid="{78D023E7-61ED-411B-90D3-BB2C52FB3486}">
          <x14:formula1>
            <xm:f>GENERAL!$W$5:$W$52</xm:f>
          </x14:formula1>
          <xm:sqref>B3:C3</xm:sqref>
        </x14:dataValidation>
        <x14:dataValidation type="list" allowBlank="1" showInputMessage="1" showErrorMessage="1" xr:uid="{F0320025-982F-49A5-A14D-8AFAFE66B179}">
          <x14:formula1>
            <xm:f>GENERAL!$AH$2:$AJ$2</xm:f>
          </x14:formula1>
          <xm:sqref>F4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B4F50-6D1A-4377-A768-F72E4C8030D2}">
  <dimension ref="A1:V42"/>
  <sheetViews>
    <sheetView zoomScale="85" zoomScaleNormal="85" zoomScalePageLayoutView="85" workbookViewId="0">
      <selection activeCell="D2" sqref="D2"/>
    </sheetView>
  </sheetViews>
  <sheetFormatPr baseColWidth="10" defaultColWidth="11.42578125" defaultRowHeight="15" x14ac:dyDescent="0.25"/>
  <cols>
    <col min="1" max="1" width="11.42578125" style="1"/>
    <col min="2" max="2" width="14.140625" style="1" customWidth="1"/>
    <col min="3" max="3" width="11.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8.5703125" style="1" customWidth="1"/>
    <col min="15" max="16384" width="11.42578125" style="1"/>
  </cols>
  <sheetData>
    <row r="1" spans="1:22" x14ac:dyDescent="0.25">
      <c r="A1" s="22" t="s">
        <v>6</v>
      </c>
      <c r="B1" s="55"/>
      <c r="C1" s="23"/>
      <c r="D1" s="174">
        <v>21006</v>
      </c>
      <c r="H1" s="65" t="s">
        <v>93</v>
      </c>
      <c r="I1" s="219" t="s">
        <v>27</v>
      </c>
      <c r="J1" s="219"/>
      <c r="K1" s="219"/>
      <c r="L1" s="219"/>
      <c r="M1" s="219"/>
      <c r="N1" s="219"/>
      <c r="O1" s="219"/>
      <c r="P1" s="224" t="s">
        <v>41</v>
      </c>
      <c r="Q1" s="224"/>
      <c r="R1" s="224"/>
      <c r="S1" s="224"/>
      <c r="T1" s="224"/>
      <c r="U1" s="224"/>
      <c r="V1" s="224"/>
    </row>
    <row r="2" spans="1:22" x14ac:dyDescent="0.25">
      <c r="A2" s="62" t="s">
        <v>2</v>
      </c>
      <c r="B2" s="64" t="s">
        <v>199</v>
      </c>
      <c r="C2" s="164"/>
      <c r="D2" s="63"/>
      <c r="E2" s="166" t="s">
        <v>106</v>
      </c>
      <c r="F2" s="165" t="s">
        <v>200</v>
      </c>
    </row>
    <row r="3" spans="1:22" x14ac:dyDescent="0.25">
      <c r="A3" s="62" t="s">
        <v>94</v>
      </c>
      <c r="B3" s="222" t="s">
        <v>100</v>
      </c>
      <c r="C3" s="221"/>
      <c r="I3" s="1" t="s">
        <v>2</v>
      </c>
      <c r="J3" s="1">
        <v>0</v>
      </c>
      <c r="P3" s="223" t="s">
        <v>36</v>
      </c>
      <c r="Q3" s="223"/>
      <c r="R3" s="223"/>
    </row>
    <row r="4" spans="1:22" x14ac:dyDescent="0.25">
      <c r="A4" s="62" t="s">
        <v>25</v>
      </c>
      <c r="B4" s="222" t="s">
        <v>82</v>
      </c>
      <c r="C4" s="221"/>
      <c r="D4" s="2"/>
      <c r="E4" s="166" t="s">
        <v>195</v>
      </c>
      <c r="F4" s="165" t="s">
        <v>3</v>
      </c>
      <c r="I4" s="1" t="s">
        <v>29</v>
      </c>
      <c r="J4" s="1" t="e" cm="1" vm="5">
        <f t="array" ref="J4">_FV(J3,"Símbolo bursátil",TRUE)</f>
        <v>#VALUE!</v>
      </c>
      <c r="P4" s="168" t="s">
        <v>37</v>
      </c>
      <c r="Q4" s="168" t="s">
        <v>37</v>
      </c>
      <c r="R4" s="30">
        <v>1</v>
      </c>
    </row>
    <row r="5" spans="1:22" x14ac:dyDescent="0.25">
      <c r="A5" s="3" t="s">
        <v>1</v>
      </c>
      <c r="B5" s="43" t="s">
        <v>21</v>
      </c>
      <c r="I5" s="1" t="s">
        <v>28</v>
      </c>
      <c r="J5" s="1" t="e" cm="1" vm="6">
        <f t="array" ref="J5">_FV(J3,"Abreviatura de intercambio",TRUE)</f>
        <v>#VALUE!</v>
      </c>
      <c r="P5" t="e" vm="2">
        <v>#VALUE!</v>
      </c>
      <c r="Q5" s="31" t="s">
        <v>38</v>
      </c>
      <c r="R5" s="32" cm="1">
        <f t="array" ref="R5">_FV(P5,"Precio")</f>
        <v>1.073</v>
      </c>
    </row>
    <row r="6" spans="1:22" x14ac:dyDescent="0.25">
      <c r="A6" s="21" t="s">
        <v>0</v>
      </c>
      <c r="B6" s="4">
        <v>44559</v>
      </c>
      <c r="I6" s="1" t="s">
        <v>30</v>
      </c>
      <c r="J6" s="1" t="e" cm="1" vm="7">
        <f t="array" ref="J6">_FV(J3,"Moneda")</f>
        <v>#VALUE!</v>
      </c>
      <c r="P6" t="e" vm="3">
        <v>#VALUE!</v>
      </c>
      <c r="Q6" s="31" t="s">
        <v>39</v>
      </c>
      <c r="R6" s="33" cm="1">
        <f t="array" ref="R6">_FV(P6,"Precio")</f>
        <v>0.88790000000000002</v>
      </c>
    </row>
    <row r="7" spans="1:22" x14ac:dyDescent="0.25">
      <c r="A7" s="5" t="s">
        <v>3</v>
      </c>
      <c r="B7" s="5" t="s">
        <v>8</v>
      </c>
      <c r="C7" s="5" t="s">
        <v>52</v>
      </c>
      <c r="D7" s="6" t="s">
        <v>9</v>
      </c>
      <c r="E7" s="6" t="s">
        <v>10</v>
      </c>
      <c r="F7" s="6" t="s">
        <v>5</v>
      </c>
      <c r="P7" t="e" vm="4">
        <v>#VALUE!</v>
      </c>
      <c r="Q7" s="31" t="s">
        <v>40</v>
      </c>
      <c r="R7" s="34" cm="1">
        <f t="array" ref="R7">_FV(P7,"Precio")</f>
        <v>7.2827000000000002</v>
      </c>
    </row>
    <row r="8" spans="1:22" x14ac:dyDescent="0.25">
      <c r="A8" s="7">
        <v>81</v>
      </c>
      <c r="B8" s="57">
        <v>24.51</v>
      </c>
      <c r="C8" s="8">
        <v>24.51</v>
      </c>
      <c r="D8" s="11">
        <f t="shared" ref="D8:D18" si="0">(A8*C8)</f>
        <v>1985.3100000000002</v>
      </c>
      <c r="E8" s="9">
        <v>15</v>
      </c>
      <c r="F8" s="9">
        <v>1.99</v>
      </c>
      <c r="H8" s="12">
        <f t="shared" ref="H8:H18" si="1">(A8*C8+E8+F8)</f>
        <v>2002.3000000000002</v>
      </c>
      <c r="I8" s="1" t="s">
        <v>14</v>
      </c>
      <c r="J8" s="26" t="e" cm="1" vm="8">
        <f t="array" ref="J8">_FV(J3,"Precio")</f>
        <v>#VALUE!</v>
      </c>
      <c r="K8" s="27" t="e" vm="9">
        <f>J6</f>
        <v>#VALUE!</v>
      </c>
      <c r="L8" s="28" t="e" vm="9">
        <f>IF($M$8="","",$J$8/VLOOKUP($J$6,$Q$4:$R$30,2,0))</f>
        <v>#VALUE!</v>
      </c>
      <c r="M8" s="1" t="s">
        <v>37</v>
      </c>
      <c r="P8"/>
      <c r="Q8"/>
      <c r="R8"/>
    </row>
    <row r="9" spans="1:22" x14ac:dyDescent="0.25">
      <c r="A9" s="7">
        <v>0</v>
      </c>
      <c r="B9" s="57">
        <v>0</v>
      </c>
      <c r="C9" s="8">
        <v>0</v>
      </c>
      <c r="D9" s="11">
        <f t="shared" si="0"/>
        <v>0</v>
      </c>
      <c r="E9" s="9">
        <v>0</v>
      </c>
      <c r="F9" s="9">
        <v>0</v>
      </c>
      <c r="H9" s="12">
        <f t="shared" si="1"/>
        <v>0</v>
      </c>
      <c r="I9" s="1" t="s">
        <v>31</v>
      </c>
      <c r="J9" s="25" t="e" cm="1" vm="10">
        <f t="array" ref="J9">_FV(J3,"Cambio (%)",TRUE)</f>
        <v>#VALUE!</v>
      </c>
      <c r="P9"/>
      <c r="Q9"/>
      <c r="R9"/>
    </row>
    <row r="10" spans="1:22" x14ac:dyDescent="0.25">
      <c r="A10" s="7">
        <v>0</v>
      </c>
      <c r="B10" s="57">
        <v>0</v>
      </c>
      <c r="C10" s="8">
        <v>0</v>
      </c>
      <c r="D10" s="11">
        <f t="shared" si="0"/>
        <v>0</v>
      </c>
      <c r="E10" s="9">
        <v>0</v>
      </c>
      <c r="F10" s="9">
        <v>0</v>
      </c>
      <c r="H10" s="12">
        <f t="shared" si="1"/>
        <v>0</v>
      </c>
      <c r="P10"/>
      <c r="Q10"/>
      <c r="R10"/>
    </row>
    <row r="11" spans="1:22" x14ac:dyDescent="0.25">
      <c r="A11" s="7">
        <v>0</v>
      </c>
      <c r="B11" s="57">
        <v>0</v>
      </c>
      <c r="C11" s="8">
        <v>0</v>
      </c>
      <c r="D11" s="11">
        <f t="shared" si="0"/>
        <v>0</v>
      </c>
      <c r="E11" s="9">
        <v>0</v>
      </c>
      <c r="F11" s="9">
        <v>0</v>
      </c>
      <c r="H11" s="12">
        <f t="shared" si="1"/>
        <v>0</v>
      </c>
      <c r="I11" s="1" t="s">
        <v>32</v>
      </c>
      <c r="J11" s="24" t="e" cm="1" vm="11">
        <f t="array" ref="J11">_FV(J3,"Apertura")</f>
        <v>#VALUE!</v>
      </c>
      <c r="P11"/>
      <c r="Q11"/>
      <c r="R11"/>
    </row>
    <row r="12" spans="1:22" x14ac:dyDescent="0.25">
      <c r="A12" s="7">
        <v>0</v>
      </c>
      <c r="B12" s="57">
        <v>0</v>
      </c>
      <c r="C12" s="8">
        <v>0</v>
      </c>
      <c r="D12" s="11">
        <f t="shared" si="0"/>
        <v>0</v>
      </c>
      <c r="E12" s="9">
        <v>0</v>
      </c>
      <c r="F12" s="9">
        <v>0</v>
      </c>
      <c r="H12" s="12">
        <f t="shared" si="1"/>
        <v>0</v>
      </c>
      <c r="I12" s="1" t="s">
        <v>33</v>
      </c>
      <c r="J12" s="24" t="e" cm="1" vm="12">
        <f t="array" ref="J12">_FV(J3,"Máximo")</f>
        <v>#VALUE!</v>
      </c>
      <c r="P12"/>
      <c r="Q12"/>
      <c r="R12"/>
    </row>
    <row r="13" spans="1:22" x14ac:dyDescent="0.25">
      <c r="A13" s="7">
        <v>0</v>
      </c>
      <c r="B13" s="57">
        <v>0</v>
      </c>
      <c r="C13" s="8">
        <v>0</v>
      </c>
      <c r="D13" s="11">
        <f t="shared" si="0"/>
        <v>0</v>
      </c>
      <c r="E13" s="9">
        <v>0</v>
      </c>
      <c r="F13" s="9">
        <v>0</v>
      </c>
      <c r="H13" s="12">
        <f t="shared" si="1"/>
        <v>0</v>
      </c>
      <c r="I13" s="1" t="s">
        <v>34</v>
      </c>
      <c r="J13" s="24" t="e" cm="1" vm="13">
        <f t="array" ref="J13">_FV(J3,"Mínimo")</f>
        <v>#VALUE!</v>
      </c>
      <c r="P13"/>
      <c r="Q13"/>
      <c r="R13"/>
    </row>
    <row r="14" spans="1:22" x14ac:dyDescent="0.25">
      <c r="A14" s="7">
        <v>0</v>
      </c>
      <c r="B14" s="57">
        <v>0</v>
      </c>
      <c r="C14" s="8">
        <v>0</v>
      </c>
      <c r="D14" s="11">
        <f t="shared" si="0"/>
        <v>0</v>
      </c>
      <c r="E14" s="9">
        <v>0</v>
      </c>
      <c r="F14" s="9">
        <v>0</v>
      </c>
      <c r="H14" s="12">
        <f t="shared" si="1"/>
        <v>0</v>
      </c>
      <c r="I14" s="1" t="s">
        <v>35</v>
      </c>
      <c r="J14" s="24" t="e" cm="1" vm="14">
        <f t="array" ref="J14">_FV(J3,"Cierre anterior",TRUE)</f>
        <v>#VALUE!</v>
      </c>
      <c r="P14"/>
      <c r="Q14"/>
      <c r="R14"/>
    </row>
    <row r="15" spans="1:22" x14ac:dyDescent="0.25">
      <c r="A15" s="7">
        <v>0</v>
      </c>
      <c r="B15" s="57">
        <v>0</v>
      </c>
      <c r="C15" s="8">
        <v>0</v>
      </c>
      <c r="D15" s="11">
        <f t="shared" si="0"/>
        <v>0</v>
      </c>
      <c r="E15" s="9">
        <v>0</v>
      </c>
      <c r="F15" s="9">
        <v>0</v>
      </c>
      <c r="H15" s="12">
        <f t="shared" si="1"/>
        <v>0</v>
      </c>
      <c r="P15"/>
      <c r="Q15"/>
      <c r="R15"/>
    </row>
    <row r="16" spans="1:22" x14ac:dyDescent="0.25">
      <c r="A16" s="7">
        <v>0</v>
      </c>
      <c r="B16" s="57">
        <v>0</v>
      </c>
      <c r="C16" s="8">
        <v>0</v>
      </c>
      <c r="D16" s="11">
        <f t="shared" si="0"/>
        <v>0</v>
      </c>
      <c r="E16" s="9">
        <v>0</v>
      </c>
      <c r="F16" s="9">
        <v>0</v>
      </c>
      <c r="H16" s="12">
        <f t="shared" si="1"/>
        <v>0</v>
      </c>
      <c r="P16"/>
      <c r="Q16"/>
      <c r="R16"/>
    </row>
    <row r="17" spans="1:18" x14ac:dyDescent="0.25">
      <c r="A17" s="7">
        <v>0</v>
      </c>
      <c r="B17" s="57">
        <v>0</v>
      </c>
      <c r="C17" s="8">
        <v>0</v>
      </c>
      <c r="D17" s="11">
        <f t="shared" si="0"/>
        <v>0</v>
      </c>
      <c r="E17" s="9">
        <v>0</v>
      </c>
      <c r="F17" s="9">
        <v>0</v>
      </c>
      <c r="H17" s="12">
        <f t="shared" si="1"/>
        <v>0</v>
      </c>
      <c r="P17"/>
      <c r="Q17"/>
      <c r="R17"/>
    </row>
    <row r="18" spans="1:18" x14ac:dyDescent="0.25">
      <c r="A18" s="7">
        <v>0</v>
      </c>
      <c r="B18" s="57">
        <v>0</v>
      </c>
      <c r="C18" s="8">
        <v>0</v>
      </c>
      <c r="D18" s="11">
        <f t="shared" si="0"/>
        <v>0</v>
      </c>
      <c r="E18" s="9">
        <v>0</v>
      </c>
      <c r="F18" s="9">
        <v>0</v>
      </c>
      <c r="H18" s="12">
        <f t="shared" si="1"/>
        <v>0</v>
      </c>
      <c r="I18" s="1" t="s">
        <v>42</v>
      </c>
      <c r="J18" s="167">
        <v>26.1</v>
      </c>
      <c r="P18"/>
      <c r="Q18"/>
      <c r="R18"/>
    </row>
    <row r="19" spans="1:18" x14ac:dyDescent="0.25">
      <c r="A19" s="14">
        <f>SUM(A8:A18)</f>
        <v>81</v>
      </c>
      <c r="B19" s="15" cm="1">
        <f t="array" ref="B19">SUM(B8:B18/A20)</f>
        <v>24.51</v>
      </c>
      <c r="C19" s="15" cm="1">
        <f t="array" ref="C19">SUM(C8:C18/A20)</f>
        <v>24.51</v>
      </c>
      <c r="D19" s="16">
        <f>SUM(D8:D18)</f>
        <v>1985.3100000000002</v>
      </c>
      <c r="E19" s="16">
        <f>SUM(E8:E18)</f>
        <v>15</v>
      </c>
      <c r="F19" s="17">
        <f>SUM(F8:F18)</f>
        <v>1.99</v>
      </c>
      <c r="H19" s="13">
        <f>SUM(H8:H18)</f>
        <v>2002.3000000000002</v>
      </c>
      <c r="P19"/>
      <c r="Q19"/>
      <c r="R19"/>
    </row>
    <row r="20" spans="1:18" x14ac:dyDescent="0.25">
      <c r="A20">
        <f>COUNTIF(A8:A18, "&gt;0")</f>
        <v>1</v>
      </c>
      <c r="B20"/>
      <c r="I20" s="1" t="s">
        <v>43</v>
      </c>
      <c r="J20" s="29" t="s">
        <v>189</v>
      </c>
      <c r="P20"/>
      <c r="Q20"/>
      <c r="R20"/>
    </row>
    <row r="21" spans="1:18" x14ac:dyDescent="0.25">
      <c r="P21"/>
      <c r="Q21"/>
      <c r="R21"/>
    </row>
    <row r="22" spans="1:18" x14ac:dyDescent="0.25">
      <c r="A22" s="3" t="s">
        <v>1</v>
      </c>
      <c r="B22" s="44" t="s">
        <v>22</v>
      </c>
      <c r="P22"/>
      <c r="Q22"/>
      <c r="R22"/>
    </row>
    <row r="23" spans="1:18" x14ac:dyDescent="0.25">
      <c r="A23" s="21" t="s">
        <v>0</v>
      </c>
      <c r="B23" s="4">
        <v>44575</v>
      </c>
      <c r="P23"/>
      <c r="Q23"/>
      <c r="R23"/>
    </row>
    <row r="24" spans="1:18" x14ac:dyDescent="0.25">
      <c r="A24" s="5" t="s">
        <v>3</v>
      </c>
      <c r="B24" s="5" t="s">
        <v>8</v>
      </c>
      <c r="C24" s="5" t="s">
        <v>52</v>
      </c>
      <c r="D24" s="6" t="s">
        <v>9</v>
      </c>
      <c r="E24" s="6" t="s">
        <v>10</v>
      </c>
      <c r="F24" s="6" t="s">
        <v>5</v>
      </c>
      <c r="P24"/>
      <c r="Q24"/>
      <c r="R24"/>
    </row>
    <row r="25" spans="1:18" x14ac:dyDescent="0.25">
      <c r="A25" s="7">
        <v>81</v>
      </c>
      <c r="B25" s="57">
        <v>26.08</v>
      </c>
      <c r="C25" s="8">
        <v>26.08</v>
      </c>
      <c r="D25" s="11">
        <f t="shared" ref="D25:D35" si="2">(A25*C25)</f>
        <v>2112.48</v>
      </c>
      <c r="E25" s="9">
        <v>15</v>
      </c>
      <c r="F25" s="9">
        <v>0</v>
      </c>
      <c r="H25" s="12">
        <f t="shared" ref="H25:H35" si="3">(A25*C25-E25-F25)</f>
        <v>2097.48</v>
      </c>
      <c r="P25"/>
      <c r="Q25"/>
      <c r="R25"/>
    </row>
    <row r="26" spans="1:18" x14ac:dyDescent="0.25">
      <c r="A26" s="7">
        <v>0</v>
      </c>
      <c r="B26" s="57">
        <v>0</v>
      </c>
      <c r="C26" s="8">
        <v>0</v>
      </c>
      <c r="D26" s="11">
        <f t="shared" si="2"/>
        <v>0</v>
      </c>
      <c r="E26" s="9">
        <v>0</v>
      </c>
      <c r="F26" s="9">
        <v>0</v>
      </c>
      <c r="H26" s="12">
        <f t="shared" si="3"/>
        <v>0</v>
      </c>
      <c r="P26"/>
      <c r="Q26"/>
      <c r="R26"/>
    </row>
    <row r="27" spans="1:18" x14ac:dyDescent="0.25">
      <c r="A27" s="7">
        <v>0</v>
      </c>
      <c r="B27" s="57">
        <v>0</v>
      </c>
      <c r="C27" s="8">
        <v>0</v>
      </c>
      <c r="D27" s="11">
        <f t="shared" si="2"/>
        <v>0</v>
      </c>
      <c r="E27" s="9">
        <v>0</v>
      </c>
      <c r="F27" s="9">
        <v>0</v>
      </c>
      <c r="H27" s="12">
        <f t="shared" si="3"/>
        <v>0</v>
      </c>
      <c r="P27"/>
      <c r="Q27"/>
      <c r="R27"/>
    </row>
    <row r="28" spans="1:18" x14ac:dyDescent="0.25">
      <c r="A28" s="7">
        <v>0</v>
      </c>
      <c r="B28" s="57">
        <v>0</v>
      </c>
      <c r="C28" s="8">
        <v>0</v>
      </c>
      <c r="D28" s="11">
        <f t="shared" si="2"/>
        <v>0</v>
      </c>
      <c r="E28" s="9">
        <v>0</v>
      </c>
      <c r="F28" s="9">
        <v>0</v>
      </c>
      <c r="H28" s="12">
        <f t="shared" si="3"/>
        <v>0</v>
      </c>
      <c r="P28"/>
      <c r="Q28"/>
      <c r="R28"/>
    </row>
    <row r="29" spans="1:18" x14ac:dyDescent="0.25">
      <c r="A29" s="7">
        <v>0</v>
      </c>
      <c r="B29" s="57">
        <v>0</v>
      </c>
      <c r="C29" s="8">
        <v>0</v>
      </c>
      <c r="D29" s="11">
        <f t="shared" si="2"/>
        <v>0</v>
      </c>
      <c r="E29" s="9">
        <v>0</v>
      </c>
      <c r="F29" s="9">
        <v>0</v>
      </c>
      <c r="H29" s="12">
        <f t="shared" si="3"/>
        <v>0</v>
      </c>
      <c r="P29"/>
      <c r="Q29"/>
      <c r="R29"/>
    </row>
    <row r="30" spans="1:18" x14ac:dyDescent="0.25">
      <c r="A30" s="7">
        <v>0</v>
      </c>
      <c r="B30" s="57">
        <v>0</v>
      </c>
      <c r="C30" s="8">
        <v>0</v>
      </c>
      <c r="D30" s="11">
        <f t="shared" si="2"/>
        <v>0</v>
      </c>
      <c r="E30" s="9">
        <v>0</v>
      </c>
      <c r="F30" s="9">
        <v>0</v>
      </c>
      <c r="H30" s="12">
        <f t="shared" si="3"/>
        <v>0</v>
      </c>
      <c r="P30"/>
      <c r="Q30"/>
      <c r="R30"/>
    </row>
    <row r="31" spans="1:18" x14ac:dyDescent="0.25">
      <c r="A31" s="7">
        <v>0</v>
      </c>
      <c r="B31" s="57">
        <v>0</v>
      </c>
      <c r="C31" s="8">
        <v>0</v>
      </c>
      <c r="D31" s="11">
        <f t="shared" si="2"/>
        <v>0</v>
      </c>
      <c r="E31" s="9">
        <v>0</v>
      </c>
      <c r="F31" s="9">
        <v>0</v>
      </c>
      <c r="H31" s="12">
        <f t="shared" si="3"/>
        <v>0</v>
      </c>
      <c r="P31"/>
      <c r="Q31"/>
      <c r="R31"/>
    </row>
    <row r="32" spans="1:18"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81</v>
      </c>
      <c r="B36" s="58" cm="1">
        <f t="array" ref="B36">SUM(B25:B35/A37)</f>
        <v>26.08</v>
      </c>
      <c r="C36" s="15" cm="1">
        <f t="array" ref="C36">SUM(C25:C35/A37)</f>
        <v>26.08</v>
      </c>
      <c r="D36" s="16">
        <f>SUM(D25:D35)</f>
        <v>2112.48</v>
      </c>
      <c r="E36" s="16">
        <f>SUM(E25:E35)</f>
        <v>15</v>
      </c>
      <c r="F36" s="17">
        <f>SUM(F25:F35)</f>
        <v>0</v>
      </c>
      <c r="H36" s="13">
        <f>SUM(H25:H35)</f>
        <v>2097.48</v>
      </c>
    </row>
    <row r="37" spans="1:8" x14ac:dyDescent="0.25">
      <c r="A37">
        <f>COUNTIF(A25:A35, "&gt;0")</f>
        <v>1</v>
      </c>
      <c r="B37"/>
    </row>
    <row r="38" spans="1:8" x14ac:dyDescent="0.25">
      <c r="H38" s="19">
        <f>(H36-H19)</f>
        <v>95.179999999999836</v>
      </c>
    </row>
    <row r="39" spans="1:8" x14ac:dyDescent="0.25">
      <c r="D39" s="1" t="s">
        <v>20</v>
      </c>
    </row>
    <row r="40" spans="1:8" x14ac:dyDescent="0.25">
      <c r="A40" s="10" t="s">
        <v>11</v>
      </c>
      <c r="B40" s="10"/>
      <c r="D40" s="18">
        <f>(D36-D19)</f>
        <v>127.16999999999985</v>
      </c>
      <c r="E40" s="19">
        <f>(E19+E36)</f>
        <v>30</v>
      </c>
      <c r="F40" s="19">
        <f>(F19+F36)</f>
        <v>1.99</v>
      </c>
      <c r="H40" s="20">
        <f>(H38-F42)</f>
        <v>-1.4210854715202004E-14</v>
      </c>
    </row>
    <row r="41" spans="1:8" x14ac:dyDescent="0.25">
      <c r="A41" s="10"/>
      <c r="B41" s="10"/>
      <c r="D41" s="19"/>
      <c r="E41" s="19">
        <f>(E40+F40)</f>
        <v>31.99</v>
      </c>
      <c r="F41" s="19"/>
      <c r="G41" s="19"/>
      <c r="H41" s="20"/>
    </row>
    <row r="42" spans="1:8" x14ac:dyDescent="0.25">
      <c r="A42" s="10"/>
      <c r="B42" s="10"/>
      <c r="D42" s="19"/>
      <c r="E42" s="56" t="s">
        <v>55</v>
      </c>
      <c r="F42" s="18">
        <f>(D40-E40-F40)</f>
        <v>95.179999999999851</v>
      </c>
      <c r="G42" s="19"/>
      <c r="H42" s="20"/>
    </row>
  </sheetData>
  <mergeCells count="5">
    <mergeCell ref="I1:O1"/>
    <mergeCell ref="P1:V1"/>
    <mergeCell ref="B3:C3"/>
    <mergeCell ref="P3:R3"/>
    <mergeCell ref="B4:C4"/>
  </mergeCells>
  <dataValidations count="1">
    <dataValidation type="list" allowBlank="1" showInputMessage="1" showErrorMessage="1" sqref="H1" xr:uid="{EC90AB05-0F2E-4A87-AD8F-C84BAF2F1679}">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BB1BF3F8-C852-4BE8-9998-C38C216F2C0F}">
          <x14:formula1>
            <xm:f>GENERAL!$S$5:$S$17</xm:f>
          </x14:formula1>
          <xm:sqref>B4:C4</xm:sqref>
        </x14:dataValidation>
        <x14:dataValidation type="list" allowBlank="1" showInputMessage="1" showErrorMessage="1" xr:uid="{EEBAE9ED-1C93-4251-8253-13BAE01DB87F}">
          <x14:formula1>
            <xm:f>GENERAL!$W$5:$W$52</xm:f>
          </x14:formula1>
          <xm:sqref>B3:C3</xm:sqref>
        </x14:dataValidation>
        <x14:dataValidation type="list" allowBlank="1" showInputMessage="1" showErrorMessage="1" xr:uid="{9521CD27-DF3C-4590-A32D-4E9C0E17DDA1}">
          <x14:formula1>
            <xm:f>GENERAL!$AH$2:$AJ$2</xm:f>
          </x14:formula1>
          <xm:sqref>F4</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5BE93-1B59-4318-8B81-589455E655ED}">
  <dimension ref="A1:V42"/>
  <sheetViews>
    <sheetView zoomScale="85" zoomScaleNormal="85" zoomScalePageLayoutView="85" workbookViewId="0">
      <selection activeCell="D2" sqref="D2"/>
    </sheetView>
  </sheetViews>
  <sheetFormatPr baseColWidth="10" defaultColWidth="11.42578125" defaultRowHeight="15" x14ac:dyDescent="0.25"/>
  <cols>
    <col min="1" max="1" width="11.42578125" style="1"/>
    <col min="2" max="2" width="14.140625" style="1" customWidth="1"/>
    <col min="3" max="3" width="11.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8.5703125" style="1" customWidth="1"/>
    <col min="15" max="16384" width="11.42578125" style="1"/>
  </cols>
  <sheetData>
    <row r="1" spans="1:22" x14ac:dyDescent="0.25">
      <c r="A1" s="22" t="s">
        <v>6</v>
      </c>
      <c r="B1" s="55"/>
      <c r="C1" s="23"/>
      <c r="D1" s="174">
        <v>21005</v>
      </c>
      <c r="H1" s="65" t="s">
        <v>93</v>
      </c>
      <c r="I1" s="219" t="s">
        <v>27</v>
      </c>
      <c r="J1" s="219"/>
      <c r="K1" s="219"/>
      <c r="L1" s="219"/>
      <c r="M1" s="219"/>
      <c r="N1" s="219"/>
      <c r="O1" s="219"/>
      <c r="P1" s="224" t="s">
        <v>41</v>
      </c>
      <c r="Q1" s="224"/>
      <c r="R1" s="224"/>
      <c r="S1" s="224"/>
      <c r="T1" s="224"/>
      <c r="U1" s="224"/>
      <c r="V1" s="224"/>
    </row>
    <row r="2" spans="1:22" x14ac:dyDescent="0.25">
      <c r="A2" s="62" t="s">
        <v>2</v>
      </c>
      <c r="B2" s="64" t="s">
        <v>198</v>
      </c>
      <c r="C2" s="164"/>
      <c r="D2" s="63"/>
      <c r="E2" s="166" t="s">
        <v>106</v>
      </c>
      <c r="F2" s="165" t="s">
        <v>198</v>
      </c>
    </row>
    <row r="3" spans="1:22" x14ac:dyDescent="0.25">
      <c r="A3" s="62" t="s">
        <v>94</v>
      </c>
      <c r="B3" s="222" t="s">
        <v>101</v>
      </c>
      <c r="C3" s="221"/>
      <c r="I3" s="1" t="s">
        <v>2</v>
      </c>
      <c r="J3" s="1">
        <v>0</v>
      </c>
      <c r="P3" s="223" t="s">
        <v>36</v>
      </c>
      <c r="Q3" s="223"/>
      <c r="R3" s="223"/>
    </row>
    <row r="4" spans="1:22" x14ac:dyDescent="0.25">
      <c r="A4" s="62" t="s">
        <v>25</v>
      </c>
      <c r="B4" s="222" t="s">
        <v>84</v>
      </c>
      <c r="C4" s="221"/>
      <c r="D4" s="2"/>
      <c r="E4" s="166" t="s">
        <v>195</v>
      </c>
      <c r="F4" s="165" t="s">
        <v>3</v>
      </c>
      <c r="I4" s="1" t="s">
        <v>29</v>
      </c>
      <c r="J4" s="1" t="e" cm="1" vm="5">
        <f t="array" ref="J4">_FV(J3,"Símbolo bursátil",TRUE)</f>
        <v>#VALUE!</v>
      </c>
      <c r="P4" s="168" t="s">
        <v>37</v>
      </c>
      <c r="Q4" s="168" t="s">
        <v>37</v>
      </c>
      <c r="R4" s="30">
        <v>1</v>
      </c>
    </row>
    <row r="5" spans="1:22" x14ac:dyDescent="0.25">
      <c r="A5" s="3" t="s">
        <v>1</v>
      </c>
      <c r="B5" s="43" t="s">
        <v>21</v>
      </c>
      <c r="I5" s="1" t="s">
        <v>28</v>
      </c>
      <c r="J5" s="1" t="e" cm="1" vm="6">
        <f t="array" ref="J5">_FV(J3,"Abreviatura de intercambio",TRUE)</f>
        <v>#VALUE!</v>
      </c>
      <c r="P5" t="e" vm="2">
        <v>#VALUE!</v>
      </c>
      <c r="Q5" s="31" t="s">
        <v>38</v>
      </c>
      <c r="R5" s="32" cm="1">
        <f t="array" ref="R5">_FV(P5,"Precio")</f>
        <v>1.073</v>
      </c>
    </row>
    <row r="6" spans="1:22" x14ac:dyDescent="0.25">
      <c r="A6" s="21" t="s">
        <v>0</v>
      </c>
      <c r="B6" s="4">
        <v>44559</v>
      </c>
      <c r="I6" s="1" t="s">
        <v>30</v>
      </c>
      <c r="J6" s="1" t="e" cm="1" vm="7">
        <f t="array" ref="J6">_FV(J3,"Moneda")</f>
        <v>#VALUE!</v>
      </c>
      <c r="P6" t="e" vm="3">
        <v>#VALUE!</v>
      </c>
      <c r="Q6" s="31" t="s">
        <v>39</v>
      </c>
      <c r="R6" s="33" cm="1">
        <f t="array" ref="R6">_FV(P6,"Precio")</f>
        <v>0.88790000000000002</v>
      </c>
    </row>
    <row r="7" spans="1:22" x14ac:dyDescent="0.25">
      <c r="A7" s="5" t="s">
        <v>3</v>
      </c>
      <c r="B7" s="5" t="s">
        <v>8</v>
      </c>
      <c r="C7" s="5" t="s">
        <v>52</v>
      </c>
      <c r="D7" s="6" t="s">
        <v>9</v>
      </c>
      <c r="E7" s="6" t="s">
        <v>10</v>
      </c>
      <c r="F7" s="6" t="s">
        <v>5</v>
      </c>
      <c r="P7" t="e" vm="4">
        <v>#VALUE!</v>
      </c>
      <c r="Q7" s="31" t="s">
        <v>40</v>
      </c>
      <c r="R7" s="34" cm="1">
        <f t="array" ref="R7">_FV(P7,"Precio")</f>
        <v>7.2827000000000002</v>
      </c>
    </row>
    <row r="8" spans="1:22" x14ac:dyDescent="0.25">
      <c r="A8" s="7">
        <v>5</v>
      </c>
      <c r="B8" s="57">
        <v>396.2</v>
      </c>
      <c r="C8" s="8">
        <v>396.2</v>
      </c>
      <c r="D8" s="11">
        <f t="shared" ref="D8:D18" si="0">(A8*C8)</f>
        <v>1981</v>
      </c>
      <c r="E8" s="9">
        <v>15</v>
      </c>
      <c r="F8" s="9">
        <v>0</v>
      </c>
      <c r="H8" s="12">
        <f t="shared" ref="H8:H18" si="1">(A8*C8+E8+F8)</f>
        <v>1996</v>
      </c>
      <c r="I8" s="1" t="s">
        <v>14</v>
      </c>
      <c r="J8" s="26" t="e" cm="1" vm="8">
        <f t="array" ref="J8">_FV(J3,"Precio")</f>
        <v>#VALUE!</v>
      </c>
      <c r="K8" s="27" t="e" vm="9">
        <f>J6</f>
        <v>#VALUE!</v>
      </c>
      <c r="L8" s="28" t="e" vm="9">
        <f>IF($M$8="","",$J$8/VLOOKUP($J$6,$Q$4:$R$30,2,0))</f>
        <v>#VALUE!</v>
      </c>
      <c r="M8" s="1" t="s">
        <v>37</v>
      </c>
      <c r="P8"/>
      <c r="Q8"/>
      <c r="R8"/>
    </row>
    <row r="9" spans="1:22" x14ac:dyDescent="0.25">
      <c r="A9" s="7">
        <v>0</v>
      </c>
      <c r="B9" s="57">
        <v>0</v>
      </c>
      <c r="C9" s="8">
        <v>0</v>
      </c>
      <c r="D9" s="11">
        <f t="shared" si="0"/>
        <v>0</v>
      </c>
      <c r="E9" s="9">
        <v>0</v>
      </c>
      <c r="F9" s="9">
        <v>0</v>
      </c>
      <c r="H9" s="12">
        <f t="shared" si="1"/>
        <v>0</v>
      </c>
      <c r="I9" s="1" t="s">
        <v>31</v>
      </c>
      <c r="J9" s="25" t="e" cm="1" vm="10">
        <f t="array" ref="J9">_FV(J3,"Cambio (%)",TRUE)</f>
        <v>#VALUE!</v>
      </c>
      <c r="P9"/>
      <c r="Q9"/>
      <c r="R9"/>
    </row>
    <row r="10" spans="1:22" x14ac:dyDescent="0.25">
      <c r="A10" s="7">
        <v>0</v>
      </c>
      <c r="B10" s="57">
        <v>0</v>
      </c>
      <c r="C10" s="8">
        <v>0</v>
      </c>
      <c r="D10" s="11">
        <f t="shared" si="0"/>
        <v>0</v>
      </c>
      <c r="E10" s="9">
        <v>0</v>
      </c>
      <c r="F10" s="9">
        <v>0</v>
      </c>
      <c r="H10" s="12">
        <f t="shared" si="1"/>
        <v>0</v>
      </c>
      <c r="P10"/>
      <c r="Q10"/>
      <c r="R10"/>
    </row>
    <row r="11" spans="1:22" x14ac:dyDescent="0.25">
      <c r="A11" s="7">
        <v>0</v>
      </c>
      <c r="B11" s="57">
        <v>0</v>
      </c>
      <c r="C11" s="8">
        <v>0</v>
      </c>
      <c r="D11" s="11">
        <f t="shared" si="0"/>
        <v>0</v>
      </c>
      <c r="E11" s="9">
        <v>0</v>
      </c>
      <c r="F11" s="9">
        <v>0</v>
      </c>
      <c r="H11" s="12">
        <f t="shared" si="1"/>
        <v>0</v>
      </c>
      <c r="I11" s="1" t="s">
        <v>32</v>
      </c>
      <c r="J11" s="24" t="e" cm="1" vm="11">
        <f t="array" ref="J11">_FV(J3,"Apertura")</f>
        <v>#VALUE!</v>
      </c>
      <c r="P11"/>
      <c r="Q11"/>
      <c r="R11"/>
    </row>
    <row r="12" spans="1:22" x14ac:dyDescent="0.25">
      <c r="A12" s="7">
        <v>0</v>
      </c>
      <c r="B12" s="57">
        <v>0</v>
      </c>
      <c r="C12" s="8">
        <v>0</v>
      </c>
      <c r="D12" s="11">
        <f t="shared" si="0"/>
        <v>0</v>
      </c>
      <c r="E12" s="9">
        <v>0</v>
      </c>
      <c r="F12" s="9">
        <v>0</v>
      </c>
      <c r="H12" s="12">
        <f t="shared" si="1"/>
        <v>0</v>
      </c>
      <c r="I12" s="1" t="s">
        <v>33</v>
      </c>
      <c r="J12" s="24" t="e" cm="1" vm="12">
        <f t="array" ref="J12">_FV(J3,"Máximo")</f>
        <v>#VALUE!</v>
      </c>
      <c r="P12"/>
      <c r="Q12"/>
      <c r="R12"/>
    </row>
    <row r="13" spans="1:22" x14ac:dyDescent="0.25">
      <c r="A13" s="7">
        <v>0</v>
      </c>
      <c r="B13" s="57">
        <v>0</v>
      </c>
      <c r="C13" s="8">
        <v>0</v>
      </c>
      <c r="D13" s="11">
        <f t="shared" si="0"/>
        <v>0</v>
      </c>
      <c r="E13" s="9">
        <v>0</v>
      </c>
      <c r="F13" s="9">
        <v>0</v>
      </c>
      <c r="H13" s="12">
        <f t="shared" si="1"/>
        <v>0</v>
      </c>
      <c r="I13" s="1" t="s">
        <v>34</v>
      </c>
      <c r="J13" s="24" t="e" cm="1" vm="13">
        <f t="array" ref="J13">_FV(J3,"Mínimo")</f>
        <v>#VALUE!</v>
      </c>
      <c r="P13"/>
      <c r="Q13"/>
      <c r="R13"/>
    </row>
    <row r="14" spans="1:22" x14ac:dyDescent="0.25">
      <c r="A14" s="7">
        <v>0</v>
      </c>
      <c r="B14" s="57">
        <v>0</v>
      </c>
      <c r="C14" s="8">
        <v>0</v>
      </c>
      <c r="D14" s="11">
        <f t="shared" si="0"/>
        <v>0</v>
      </c>
      <c r="E14" s="9">
        <v>0</v>
      </c>
      <c r="F14" s="9">
        <v>0</v>
      </c>
      <c r="H14" s="12">
        <f t="shared" si="1"/>
        <v>0</v>
      </c>
      <c r="I14" s="1" t="s">
        <v>35</v>
      </c>
      <c r="J14" s="24" t="e" cm="1" vm="14">
        <f t="array" ref="J14">_FV(J3,"Cierre anterior",TRUE)</f>
        <v>#VALUE!</v>
      </c>
      <c r="P14"/>
      <c r="Q14"/>
      <c r="R14"/>
    </row>
    <row r="15" spans="1:22" x14ac:dyDescent="0.25">
      <c r="A15" s="7">
        <v>0</v>
      </c>
      <c r="B15" s="57">
        <v>0</v>
      </c>
      <c r="C15" s="8">
        <v>0</v>
      </c>
      <c r="D15" s="11">
        <f t="shared" si="0"/>
        <v>0</v>
      </c>
      <c r="E15" s="9">
        <v>0</v>
      </c>
      <c r="F15" s="9">
        <v>0</v>
      </c>
      <c r="H15" s="12">
        <f t="shared" si="1"/>
        <v>0</v>
      </c>
      <c r="P15"/>
      <c r="Q15"/>
      <c r="R15"/>
    </row>
    <row r="16" spans="1:22" x14ac:dyDescent="0.25">
      <c r="A16" s="7">
        <v>0</v>
      </c>
      <c r="B16" s="57">
        <v>0</v>
      </c>
      <c r="C16" s="8">
        <v>0</v>
      </c>
      <c r="D16" s="11">
        <f t="shared" si="0"/>
        <v>0</v>
      </c>
      <c r="E16" s="9">
        <v>0</v>
      </c>
      <c r="F16" s="9">
        <v>0</v>
      </c>
      <c r="H16" s="12">
        <f t="shared" si="1"/>
        <v>0</v>
      </c>
      <c r="P16"/>
      <c r="Q16"/>
      <c r="R16"/>
    </row>
    <row r="17" spans="1:18" x14ac:dyDescent="0.25">
      <c r="A17" s="7">
        <v>0</v>
      </c>
      <c r="B17" s="57">
        <v>0</v>
      </c>
      <c r="C17" s="8">
        <v>0</v>
      </c>
      <c r="D17" s="11">
        <f t="shared" si="0"/>
        <v>0</v>
      </c>
      <c r="E17" s="9">
        <v>0</v>
      </c>
      <c r="F17" s="9">
        <v>0</v>
      </c>
      <c r="H17" s="12">
        <f t="shared" si="1"/>
        <v>0</v>
      </c>
      <c r="P17"/>
      <c r="Q17"/>
      <c r="R17"/>
    </row>
    <row r="18" spans="1:18" x14ac:dyDescent="0.25">
      <c r="A18" s="7">
        <v>0</v>
      </c>
      <c r="B18" s="57">
        <v>0</v>
      </c>
      <c r="C18" s="8">
        <v>0</v>
      </c>
      <c r="D18" s="11">
        <f t="shared" si="0"/>
        <v>0</v>
      </c>
      <c r="E18" s="9">
        <v>0</v>
      </c>
      <c r="F18" s="9">
        <v>0</v>
      </c>
      <c r="H18" s="12">
        <f t="shared" si="1"/>
        <v>0</v>
      </c>
      <c r="I18" s="1" t="s">
        <v>42</v>
      </c>
      <c r="J18" s="167">
        <v>299.5</v>
      </c>
      <c r="P18"/>
      <c r="Q18"/>
      <c r="R18"/>
    </row>
    <row r="19" spans="1:18" x14ac:dyDescent="0.25">
      <c r="A19" s="14">
        <f>SUM(A8:A18)</f>
        <v>5</v>
      </c>
      <c r="B19" s="15" cm="1">
        <f t="array" ref="B19">SUM(B8:B18/A20)</f>
        <v>396.2</v>
      </c>
      <c r="C19" s="15" cm="1">
        <f t="array" ref="C19">SUM(C8:C18/A20)</f>
        <v>396.2</v>
      </c>
      <c r="D19" s="16">
        <f>SUM(D8:D18)</f>
        <v>1981</v>
      </c>
      <c r="E19" s="16">
        <f>SUM(E8:E18)</f>
        <v>15</v>
      </c>
      <c r="F19" s="17">
        <f>SUM(F8:F18)</f>
        <v>0</v>
      </c>
      <c r="H19" s="13">
        <f>SUM(H8:H18)</f>
        <v>1996</v>
      </c>
      <c r="P19"/>
      <c r="Q19"/>
      <c r="R19"/>
    </row>
    <row r="20" spans="1:18" x14ac:dyDescent="0.25">
      <c r="A20">
        <f>COUNTIF(A8:A18, "&gt;0")</f>
        <v>1</v>
      </c>
      <c r="B20"/>
      <c r="I20" s="1" t="s">
        <v>43</v>
      </c>
      <c r="J20" s="29" t="s">
        <v>189</v>
      </c>
      <c r="P20"/>
      <c r="Q20"/>
      <c r="R20"/>
    </row>
    <row r="21" spans="1:18" x14ac:dyDescent="0.25">
      <c r="P21"/>
      <c r="Q21"/>
      <c r="R21"/>
    </row>
    <row r="22" spans="1:18" x14ac:dyDescent="0.25">
      <c r="A22" s="3" t="s">
        <v>1</v>
      </c>
      <c r="B22" s="44" t="s">
        <v>22</v>
      </c>
      <c r="P22"/>
      <c r="Q22"/>
      <c r="R22"/>
    </row>
    <row r="23" spans="1:18" x14ac:dyDescent="0.25">
      <c r="A23" s="21" t="s">
        <v>0</v>
      </c>
      <c r="B23" s="4">
        <v>44585</v>
      </c>
      <c r="P23"/>
      <c r="Q23"/>
      <c r="R23"/>
    </row>
    <row r="24" spans="1:18" x14ac:dyDescent="0.25">
      <c r="A24" s="5" t="s">
        <v>3</v>
      </c>
      <c r="B24" s="5" t="s">
        <v>8</v>
      </c>
      <c r="C24" s="5" t="s">
        <v>52</v>
      </c>
      <c r="D24" s="6" t="s">
        <v>9</v>
      </c>
      <c r="E24" s="6" t="s">
        <v>10</v>
      </c>
      <c r="F24" s="6" t="s">
        <v>5</v>
      </c>
      <c r="P24"/>
      <c r="Q24"/>
      <c r="R24"/>
    </row>
    <row r="25" spans="1:18" x14ac:dyDescent="0.25">
      <c r="A25" s="7">
        <v>5</v>
      </c>
      <c r="B25" s="57">
        <v>299.39999999999998</v>
      </c>
      <c r="C25" s="8">
        <v>299.39999999999998</v>
      </c>
      <c r="D25" s="11">
        <f t="shared" ref="D25:D35" si="2">(A25*C25)</f>
        <v>1497</v>
      </c>
      <c r="E25" s="9">
        <v>15</v>
      </c>
      <c r="F25" s="9">
        <v>0</v>
      </c>
      <c r="H25" s="12">
        <f t="shared" ref="H25:H35" si="3">(A25*C25-E25-F25)</f>
        <v>1482</v>
      </c>
      <c r="P25"/>
      <c r="Q25"/>
      <c r="R25"/>
    </row>
    <row r="26" spans="1:18" x14ac:dyDescent="0.25">
      <c r="A26" s="7">
        <v>0</v>
      </c>
      <c r="B26" s="57">
        <v>0</v>
      </c>
      <c r="C26" s="8">
        <v>0</v>
      </c>
      <c r="D26" s="11">
        <f t="shared" si="2"/>
        <v>0</v>
      </c>
      <c r="E26" s="9">
        <v>0</v>
      </c>
      <c r="F26" s="9">
        <v>0</v>
      </c>
      <c r="H26" s="12">
        <f t="shared" si="3"/>
        <v>0</v>
      </c>
      <c r="P26"/>
      <c r="Q26"/>
      <c r="R26"/>
    </row>
    <row r="27" spans="1:18" x14ac:dyDescent="0.25">
      <c r="A27" s="7">
        <v>0</v>
      </c>
      <c r="B27" s="57">
        <v>0</v>
      </c>
      <c r="C27" s="8">
        <v>0</v>
      </c>
      <c r="D27" s="11">
        <f t="shared" si="2"/>
        <v>0</v>
      </c>
      <c r="E27" s="9">
        <v>0</v>
      </c>
      <c r="F27" s="9">
        <v>0</v>
      </c>
      <c r="H27" s="12">
        <f t="shared" si="3"/>
        <v>0</v>
      </c>
      <c r="P27"/>
      <c r="Q27"/>
      <c r="R27"/>
    </row>
    <row r="28" spans="1:18" x14ac:dyDescent="0.25">
      <c r="A28" s="7">
        <v>0</v>
      </c>
      <c r="B28" s="57">
        <v>0</v>
      </c>
      <c r="C28" s="8">
        <v>0</v>
      </c>
      <c r="D28" s="11">
        <f t="shared" si="2"/>
        <v>0</v>
      </c>
      <c r="E28" s="9">
        <v>0</v>
      </c>
      <c r="F28" s="9">
        <v>0</v>
      </c>
      <c r="H28" s="12">
        <f t="shared" si="3"/>
        <v>0</v>
      </c>
      <c r="P28"/>
      <c r="Q28"/>
      <c r="R28"/>
    </row>
    <row r="29" spans="1:18" x14ac:dyDescent="0.25">
      <c r="A29" s="7">
        <v>0</v>
      </c>
      <c r="B29" s="57">
        <v>0</v>
      </c>
      <c r="C29" s="8">
        <v>0</v>
      </c>
      <c r="D29" s="11">
        <f t="shared" si="2"/>
        <v>0</v>
      </c>
      <c r="E29" s="9">
        <v>0</v>
      </c>
      <c r="F29" s="9">
        <v>0</v>
      </c>
      <c r="H29" s="12">
        <f t="shared" si="3"/>
        <v>0</v>
      </c>
      <c r="P29"/>
      <c r="Q29"/>
      <c r="R29"/>
    </row>
    <row r="30" spans="1:18" x14ac:dyDescent="0.25">
      <c r="A30" s="7">
        <v>0</v>
      </c>
      <c r="B30" s="57">
        <v>0</v>
      </c>
      <c r="C30" s="8">
        <v>0</v>
      </c>
      <c r="D30" s="11">
        <f t="shared" si="2"/>
        <v>0</v>
      </c>
      <c r="E30" s="9">
        <v>0</v>
      </c>
      <c r="F30" s="9">
        <v>0</v>
      </c>
      <c r="H30" s="12">
        <f t="shared" si="3"/>
        <v>0</v>
      </c>
      <c r="P30"/>
      <c r="Q30"/>
      <c r="R30"/>
    </row>
    <row r="31" spans="1:18" x14ac:dyDescent="0.25">
      <c r="A31" s="7">
        <v>0</v>
      </c>
      <c r="B31" s="57">
        <v>0</v>
      </c>
      <c r="C31" s="8">
        <v>0</v>
      </c>
      <c r="D31" s="11">
        <f t="shared" si="2"/>
        <v>0</v>
      </c>
      <c r="E31" s="9">
        <v>0</v>
      </c>
      <c r="F31" s="9">
        <v>0</v>
      </c>
      <c r="H31" s="12">
        <f t="shared" si="3"/>
        <v>0</v>
      </c>
      <c r="P31"/>
      <c r="Q31"/>
      <c r="R31"/>
    </row>
    <row r="32" spans="1:18"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5</v>
      </c>
      <c r="B36" s="58" cm="1">
        <f t="array" ref="B36">SUM(B25:B35/A37)</f>
        <v>299.39999999999998</v>
      </c>
      <c r="C36" s="15" cm="1">
        <f t="array" ref="C36">SUM(C25:C35/A37)</f>
        <v>299.39999999999998</v>
      </c>
      <c r="D36" s="16">
        <f>SUM(D25:D35)</f>
        <v>1497</v>
      </c>
      <c r="E36" s="16">
        <f>SUM(E25:E35)</f>
        <v>15</v>
      </c>
      <c r="F36" s="17">
        <f>SUM(F25:F35)</f>
        <v>0</v>
      </c>
      <c r="H36" s="13">
        <f>SUM(H25:H35)</f>
        <v>1482</v>
      </c>
    </row>
    <row r="37" spans="1:8" x14ac:dyDescent="0.25">
      <c r="A37">
        <f>COUNTIF(A25:A35, "&gt;0")</f>
        <v>1</v>
      </c>
      <c r="B37"/>
    </row>
    <row r="38" spans="1:8" x14ac:dyDescent="0.25">
      <c r="H38" s="19">
        <f>(H36-H19)</f>
        <v>-514</v>
      </c>
    </row>
    <row r="39" spans="1:8" x14ac:dyDescent="0.25">
      <c r="D39" s="1" t="s">
        <v>20</v>
      </c>
    </row>
    <row r="40" spans="1:8" x14ac:dyDescent="0.25">
      <c r="A40" s="10" t="s">
        <v>11</v>
      </c>
      <c r="B40" s="10"/>
      <c r="D40" s="18">
        <f>(D36-D19)</f>
        <v>-484</v>
      </c>
      <c r="E40" s="19">
        <f>(E19+E36)</f>
        <v>30</v>
      </c>
      <c r="F40" s="19">
        <f>(F19+F36)</f>
        <v>0</v>
      </c>
      <c r="H40" s="20">
        <f>(H38-F42)</f>
        <v>0</v>
      </c>
    </row>
    <row r="41" spans="1:8" x14ac:dyDescent="0.25">
      <c r="A41" s="10"/>
      <c r="B41" s="10"/>
      <c r="D41" s="19"/>
      <c r="E41" s="19">
        <f>(E40+F40)</f>
        <v>30</v>
      </c>
      <c r="F41" s="19"/>
      <c r="G41" s="19"/>
      <c r="H41" s="20"/>
    </row>
    <row r="42" spans="1:8" x14ac:dyDescent="0.25">
      <c r="A42" s="10"/>
      <c r="B42" s="10"/>
      <c r="D42" s="19"/>
      <c r="E42" s="56" t="s">
        <v>55</v>
      </c>
      <c r="F42" s="18">
        <f>(D40-E40-F40)</f>
        <v>-514</v>
      </c>
      <c r="G42" s="19"/>
      <c r="H42" s="20"/>
    </row>
  </sheetData>
  <mergeCells count="5">
    <mergeCell ref="I1:O1"/>
    <mergeCell ref="P1:V1"/>
    <mergeCell ref="B3:C3"/>
    <mergeCell ref="P3:R3"/>
    <mergeCell ref="B4:C4"/>
  </mergeCells>
  <dataValidations count="1">
    <dataValidation type="list" allowBlank="1" showInputMessage="1" showErrorMessage="1" sqref="H1" xr:uid="{4FE51EAD-9235-4AA1-804D-89BA5B62542C}">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F02F4D6-98D8-4CFB-A2C9-1F71F3E998DC}">
          <x14:formula1>
            <xm:f>GENERAL!$S$5:$S$17</xm:f>
          </x14:formula1>
          <xm:sqref>B4:C4</xm:sqref>
        </x14:dataValidation>
        <x14:dataValidation type="list" allowBlank="1" showInputMessage="1" showErrorMessage="1" xr:uid="{21F6B02A-F065-4E10-922F-27C8BD843C59}">
          <x14:formula1>
            <xm:f>GENERAL!$W$5:$W$52</xm:f>
          </x14:formula1>
          <xm:sqref>B3:C3</xm:sqref>
        </x14:dataValidation>
        <x14:dataValidation type="list" allowBlank="1" showInputMessage="1" showErrorMessage="1" xr:uid="{E82291CC-DAFD-4CB0-B1FC-41DC7C077458}">
          <x14:formula1>
            <xm:f>GENERAL!$AH$2:$AJ$2</xm:f>
          </x14:formula1>
          <xm:sqref>F4</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DB5B-B948-4AC6-9920-19040C9562DF}">
  <dimension ref="A1:V42"/>
  <sheetViews>
    <sheetView zoomScale="85" zoomScaleNormal="85" zoomScalePageLayoutView="85" workbookViewId="0">
      <selection activeCell="D2" sqref="D2"/>
    </sheetView>
  </sheetViews>
  <sheetFormatPr baseColWidth="10" defaultColWidth="11.42578125" defaultRowHeight="15" x14ac:dyDescent="0.25"/>
  <cols>
    <col min="1" max="1" width="11.42578125" style="1"/>
    <col min="2" max="2" width="14.140625" style="1" customWidth="1"/>
    <col min="3" max="3" width="11.7109375" style="1" customWidth="1"/>
    <col min="4" max="4" width="14.140625" style="1" customWidth="1"/>
    <col min="5" max="5" width="10.85546875" style="1" customWidth="1"/>
    <col min="6" max="6" width="10.5703125" style="1" customWidth="1"/>
    <col min="7" max="7" width="1.28515625" style="1" customWidth="1"/>
    <col min="8" max="8" width="14.7109375" style="1" customWidth="1"/>
    <col min="9" max="9" width="11.42578125" style="1"/>
    <col min="10" max="10" width="12.85546875" style="1" customWidth="1"/>
    <col min="11" max="11" width="5" style="1" customWidth="1"/>
    <col min="12" max="12" width="15.5703125" style="1" customWidth="1"/>
    <col min="13" max="13" width="5.5703125" style="1" customWidth="1"/>
    <col min="14" max="14" width="18.5703125" style="1" customWidth="1"/>
    <col min="15" max="16384" width="11.42578125" style="1"/>
  </cols>
  <sheetData>
    <row r="1" spans="1:22" x14ac:dyDescent="0.25">
      <c r="A1" s="22" t="s">
        <v>6</v>
      </c>
      <c r="B1" s="55"/>
      <c r="C1" s="23"/>
      <c r="D1" s="174">
        <v>21004</v>
      </c>
      <c r="H1" s="65" t="s">
        <v>93</v>
      </c>
      <c r="I1" s="219" t="s">
        <v>27</v>
      </c>
      <c r="J1" s="219"/>
      <c r="K1" s="219"/>
      <c r="L1" s="219"/>
      <c r="M1" s="219"/>
      <c r="N1" s="219"/>
      <c r="O1" s="219"/>
      <c r="P1" s="224" t="s">
        <v>41</v>
      </c>
      <c r="Q1" s="224"/>
      <c r="R1" s="224"/>
      <c r="S1" s="224"/>
      <c r="T1" s="224"/>
      <c r="U1" s="224"/>
      <c r="V1" s="224"/>
    </row>
    <row r="2" spans="1:22" x14ac:dyDescent="0.25">
      <c r="A2" s="62" t="s">
        <v>2</v>
      </c>
      <c r="B2" s="64" t="s">
        <v>197</v>
      </c>
      <c r="C2" s="164"/>
      <c r="D2" s="63"/>
      <c r="E2" s="166" t="s">
        <v>106</v>
      </c>
      <c r="F2" s="165" t="s">
        <v>197</v>
      </c>
    </row>
    <row r="3" spans="1:22" x14ac:dyDescent="0.25">
      <c r="A3" s="62" t="s">
        <v>94</v>
      </c>
      <c r="B3" s="222" t="s">
        <v>102</v>
      </c>
      <c r="C3" s="221"/>
      <c r="I3" s="1" t="s">
        <v>2</v>
      </c>
      <c r="J3" s="1">
        <v>0</v>
      </c>
      <c r="P3" s="223" t="s">
        <v>36</v>
      </c>
      <c r="Q3" s="223"/>
      <c r="R3" s="223"/>
    </row>
    <row r="4" spans="1:22" x14ac:dyDescent="0.25">
      <c r="A4" s="62" t="s">
        <v>25</v>
      </c>
      <c r="B4" s="222" t="s">
        <v>82</v>
      </c>
      <c r="C4" s="221"/>
      <c r="D4" s="2"/>
      <c r="E4" s="166" t="s">
        <v>195</v>
      </c>
      <c r="F4" s="165" t="s">
        <v>3</v>
      </c>
      <c r="I4" s="1" t="s">
        <v>29</v>
      </c>
      <c r="J4" s="1" t="e" cm="1" vm="5">
        <f t="array" ref="J4">_FV(J3,"Símbolo bursátil",TRUE)</f>
        <v>#VALUE!</v>
      </c>
      <c r="P4" s="168" t="s">
        <v>37</v>
      </c>
      <c r="Q4" s="168" t="s">
        <v>37</v>
      </c>
      <c r="R4" s="30">
        <v>1</v>
      </c>
    </row>
    <row r="5" spans="1:22" x14ac:dyDescent="0.25">
      <c r="A5" s="3" t="s">
        <v>1</v>
      </c>
      <c r="B5" s="43" t="s">
        <v>21</v>
      </c>
      <c r="I5" s="1" t="s">
        <v>28</v>
      </c>
      <c r="J5" s="1" t="e" cm="1" vm="6">
        <f t="array" ref="J5">_FV(J3,"Abreviatura de intercambio",TRUE)</f>
        <v>#VALUE!</v>
      </c>
      <c r="P5" t="e" vm="2">
        <v>#VALUE!</v>
      </c>
      <c r="Q5" s="31" t="s">
        <v>38</v>
      </c>
      <c r="R5" s="32" cm="1">
        <f t="array" ref="R5">_FV(P5,"Precio")</f>
        <v>1.073</v>
      </c>
    </row>
    <row r="6" spans="1:22" x14ac:dyDescent="0.25">
      <c r="A6" s="21" t="s">
        <v>0</v>
      </c>
      <c r="B6" s="4">
        <v>44549</v>
      </c>
      <c r="I6" s="1" t="s">
        <v>30</v>
      </c>
      <c r="J6" s="1" t="e" cm="1" vm="7">
        <f t="array" ref="J6">_FV(J3,"Moneda")</f>
        <v>#VALUE!</v>
      </c>
      <c r="P6" t="e" vm="3">
        <v>#VALUE!</v>
      </c>
      <c r="Q6" s="31" t="s">
        <v>39</v>
      </c>
      <c r="R6" s="33" cm="1">
        <f t="array" ref="R6">_FV(P6,"Precio")</f>
        <v>0.88790000000000002</v>
      </c>
    </row>
    <row r="7" spans="1:22" x14ac:dyDescent="0.25">
      <c r="A7" s="5" t="s">
        <v>3</v>
      </c>
      <c r="B7" s="5" t="s">
        <v>8</v>
      </c>
      <c r="C7" s="5" t="s">
        <v>52</v>
      </c>
      <c r="D7" s="6" t="s">
        <v>9</v>
      </c>
      <c r="E7" s="6" t="s">
        <v>10</v>
      </c>
      <c r="F7" s="6" t="s">
        <v>5</v>
      </c>
      <c r="P7" t="e" vm="4">
        <v>#VALUE!</v>
      </c>
      <c r="Q7" s="31" t="s">
        <v>40</v>
      </c>
      <c r="R7" s="34" cm="1">
        <f t="array" ref="R7">_FV(P7,"Precio")</f>
        <v>7.2827000000000002</v>
      </c>
    </row>
    <row r="8" spans="1:22" x14ac:dyDescent="0.25">
      <c r="A8" s="7">
        <v>14</v>
      </c>
      <c r="B8" s="57">
        <v>72</v>
      </c>
      <c r="C8" s="8">
        <v>72</v>
      </c>
      <c r="D8" s="11">
        <f t="shared" ref="D8:D18" si="0">(A8*C8)</f>
        <v>1008</v>
      </c>
      <c r="E8" s="9">
        <v>15</v>
      </c>
      <c r="F8" s="9">
        <v>0</v>
      </c>
      <c r="H8" s="12">
        <f t="shared" ref="H8:H18" si="1">(A8*C8+E8+F8)</f>
        <v>1023</v>
      </c>
      <c r="I8" s="1" t="s">
        <v>14</v>
      </c>
      <c r="J8" s="26" t="e" cm="1" vm="8">
        <f t="array" ref="J8">_FV(J3,"Precio")</f>
        <v>#VALUE!</v>
      </c>
      <c r="K8" s="27" t="e" vm="9">
        <f>J6</f>
        <v>#VALUE!</v>
      </c>
      <c r="L8" s="28" t="e" vm="9">
        <f>IF($M$8="","",$J$8/VLOOKUP($J$6,$Q$4:$R$30,2,0))</f>
        <v>#VALUE!</v>
      </c>
      <c r="M8" s="1" t="s">
        <v>37</v>
      </c>
      <c r="P8"/>
      <c r="Q8"/>
      <c r="R8"/>
    </row>
    <row r="9" spans="1:22" x14ac:dyDescent="0.25">
      <c r="A9" s="7">
        <v>0</v>
      </c>
      <c r="B9" s="57">
        <v>0</v>
      </c>
      <c r="C9" s="8">
        <v>0</v>
      </c>
      <c r="D9" s="11">
        <f t="shared" si="0"/>
        <v>0</v>
      </c>
      <c r="E9" s="9">
        <v>0</v>
      </c>
      <c r="F9" s="9">
        <v>0</v>
      </c>
      <c r="H9" s="12">
        <f t="shared" si="1"/>
        <v>0</v>
      </c>
      <c r="I9" s="1" t="s">
        <v>31</v>
      </c>
      <c r="J9" s="25" t="e" cm="1" vm="10">
        <f t="array" ref="J9">_FV(J3,"Cambio (%)",TRUE)</f>
        <v>#VALUE!</v>
      </c>
      <c r="P9"/>
      <c r="Q9"/>
      <c r="R9"/>
    </row>
    <row r="10" spans="1:22" x14ac:dyDescent="0.25">
      <c r="A10" s="7">
        <v>0</v>
      </c>
      <c r="B10" s="57">
        <v>0</v>
      </c>
      <c r="C10" s="8">
        <v>0</v>
      </c>
      <c r="D10" s="11">
        <f t="shared" si="0"/>
        <v>0</v>
      </c>
      <c r="E10" s="9">
        <v>0</v>
      </c>
      <c r="F10" s="9">
        <v>0</v>
      </c>
      <c r="H10" s="12">
        <f t="shared" si="1"/>
        <v>0</v>
      </c>
      <c r="P10"/>
      <c r="Q10"/>
      <c r="R10"/>
    </row>
    <row r="11" spans="1:22" x14ac:dyDescent="0.25">
      <c r="A11" s="7">
        <v>0</v>
      </c>
      <c r="B11" s="57">
        <v>0</v>
      </c>
      <c r="C11" s="8">
        <v>0</v>
      </c>
      <c r="D11" s="11">
        <f t="shared" si="0"/>
        <v>0</v>
      </c>
      <c r="E11" s="9">
        <v>0</v>
      </c>
      <c r="F11" s="9">
        <v>0</v>
      </c>
      <c r="H11" s="12">
        <f t="shared" si="1"/>
        <v>0</v>
      </c>
      <c r="I11" s="1" t="s">
        <v>32</v>
      </c>
      <c r="J11" s="24" t="e" cm="1" vm="11">
        <f t="array" ref="J11">_FV(J3,"Apertura")</f>
        <v>#VALUE!</v>
      </c>
      <c r="P11"/>
      <c r="Q11"/>
      <c r="R11"/>
    </row>
    <row r="12" spans="1:22" x14ac:dyDescent="0.25">
      <c r="A12" s="7">
        <v>0</v>
      </c>
      <c r="B12" s="57">
        <v>0</v>
      </c>
      <c r="C12" s="8">
        <v>0</v>
      </c>
      <c r="D12" s="11">
        <f t="shared" si="0"/>
        <v>0</v>
      </c>
      <c r="E12" s="9">
        <v>0</v>
      </c>
      <c r="F12" s="9">
        <v>0</v>
      </c>
      <c r="H12" s="12">
        <f t="shared" si="1"/>
        <v>0</v>
      </c>
      <c r="I12" s="1" t="s">
        <v>33</v>
      </c>
      <c r="J12" s="24" t="e" cm="1" vm="12">
        <f t="array" ref="J12">_FV(J3,"Máximo")</f>
        <v>#VALUE!</v>
      </c>
      <c r="P12"/>
      <c r="Q12"/>
      <c r="R12"/>
    </row>
    <row r="13" spans="1:22" x14ac:dyDescent="0.25">
      <c r="A13" s="7">
        <v>0</v>
      </c>
      <c r="B13" s="57">
        <v>0</v>
      </c>
      <c r="C13" s="8">
        <v>0</v>
      </c>
      <c r="D13" s="11">
        <f t="shared" si="0"/>
        <v>0</v>
      </c>
      <c r="E13" s="9">
        <v>0</v>
      </c>
      <c r="F13" s="9">
        <v>0</v>
      </c>
      <c r="H13" s="12">
        <f t="shared" si="1"/>
        <v>0</v>
      </c>
      <c r="I13" s="1" t="s">
        <v>34</v>
      </c>
      <c r="J13" s="24" t="e" cm="1" vm="13">
        <f t="array" ref="J13">_FV(J3,"Mínimo")</f>
        <v>#VALUE!</v>
      </c>
      <c r="P13"/>
      <c r="Q13"/>
      <c r="R13"/>
    </row>
    <row r="14" spans="1:22" x14ac:dyDescent="0.25">
      <c r="A14" s="7">
        <v>0</v>
      </c>
      <c r="B14" s="57">
        <v>0</v>
      </c>
      <c r="C14" s="8">
        <v>0</v>
      </c>
      <c r="D14" s="11">
        <f t="shared" si="0"/>
        <v>0</v>
      </c>
      <c r="E14" s="9">
        <v>0</v>
      </c>
      <c r="F14" s="9">
        <v>0</v>
      </c>
      <c r="H14" s="12">
        <f t="shared" si="1"/>
        <v>0</v>
      </c>
      <c r="I14" s="1" t="s">
        <v>35</v>
      </c>
      <c r="J14" s="24" t="e" cm="1" vm="14">
        <f t="array" ref="J14">_FV(J3,"Cierre anterior",TRUE)</f>
        <v>#VALUE!</v>
      </c>
      <c r="P14"/>
      <c r="Q14"/>
      <c r="R14"/>
    </row>
    <row r="15" spans="1:22" x14ac:dyDescent="0.25">
      <c r="A15" s="7">
        <v>0</v>
      </c>
      <c r="B15" s="57">
        <v>0</v>
      </c>
      <c r="C15" s="8">
        <v>0</v>
      </c>
      <c r="D15" s="11">
        <f t="shared" si="0"/>
        <v>0</v>
      </c>
      <c r="E15" s="9">
        <v>0</v>
      </c>
      <c r="F15" s="9">
        <v>0</v>
      </c>
      <c r="H15" s="12">
        <f t="shared" si="1"/>
        <v>0</v>
      </c>
      <c r="P15"/>
      <c r="Q15"/>
      <c r="R15"/>
    </row>
    <row r="16" spans="1:22" x14ac:dyDescent="0.25">
      <c r="A16" s="7">
        <v>0</v>
      </c>
      <c r="B16" s="57">
        <v>0</v>
      </c>
      <c r="C16" s="8">
        <v>0</v>
      </c>
      <c r="D16" s="11">
        <f t="shared" si="0"/>
        <v>0</v>
      </c>
      <c r="E16" s="9">
        <v>0</v>
      </c>
      <c r="F16" s="9">
        <v>0</v>
      </c>
      <c r="H16" s="12">
        <f t="shared" si="1"/>
        <v>0</v>
      </c>
      <c r="P16"/>
      <c r="Q16"/>
      <c r="R16"/>
    </row>
    <row r="17" spans="1:18" x14ac:dyDescent="0.25">
      <c r="A17" s="7">
        <v>0</v>
      </c>
      <c r="B17" s="57">
        <v>0</v>
      </c>
      <c r="C17" s="8">
        <v>0</v>
      </c>
      <c r="D17" s="11">
        <f t="shared" si="0"/>
        <v>0</v>
      </c>
      <c r="E17" s="9">
        <v>0</v>
      </c>
      <c r="F17" s="9">
        <v>0</v>
      </c>
      <c r="H17" s="12">
        <f t="shared" si="1"/>
        <v>0</v>
      </c>
      <c r="P17"/>
      <c r="Q17"/>
      <c r="R17"/>
    </row>
    <row r="18" spans="1:18" x14ac:dyDescent="0.25">
      <c r="A18" s="7">
        <v>0</v>
      </c>
      <c r="B18" s="57">
        <v>0</v>
      </c>
      <c r="C18" s="8">
        <v>0</v>
      </c>
      <c r="D18" s="11">
        <f t="shared" si="0"/>
        <v>0</v>
      </c>
      <c r="E18" s="9">
        <v>0</v>
      </c>
      <c r="F18" s="9">
        <v>0</v>
      </c>
      <c r="H18" s="12">
        <f t="shared" si="1"/>
        <v>0</v>
      </c>
      <c r="I18" s="1" t="s">
        <v>42</v>
      </c>
      <c r="J18" s="167">
        <v>83.28</v>
      </c>
      <c r="P18"/>
      <c r="Q18"/>
      <c r="R18"/>
    </row>
    <row r="19" spans="1:18" x14ac:dyDescent="0.25">
      <c r="A19" s="14">
        <f>SUM(A8:A18)</f>
        <v>14</v>
      </c>
      <c r="B19" s="15" cm="1">
        <f t="array" ref="B19">SUM(B8:B18/A20)</f>
        <v>72</v>
      </c>
      <c r="C19" s="15" cm="1">
        <f t="array" ref="C19">SUM(C8:C18/A20)</f>
        <v>72</v>
      </c>
      <c r="D19" s="16">
        <f>SUM(D8:D18)</f>
        <v>1008</v>
      </c>
      <c r="E19" s="16">
        <f>SUM(E8:E18)</f>
        <v>15</v>
      </c>
      <c r="F19" s="17">
        <f>SUM(F8:F18)</f>
        <v>0</v>
      </c>
      <c r="H19" s="13">
        <f>SUM(H8:H18)</f>
        <v>1023</v>
      </c>
      <c r="P19"/>
      <c r="Q19"/>
      <c r="R19"/>
    </row>
    <row r="20" spans="1:18" x14ac:dyDescent="0.25">
      <c r="A20">
        <f>COUNTIF(A8:A18, "&gt;0")</f>
        <v>1</v>
      </c>
      <c r="B20"/>
      <c r="I20" s="1" t="s">
        <v>43</v>
      </c>
      <c r="J20" s="29" t="s">
        <v>189</v>
      </c>
      <c r="P20"/>
      <c r="Q20"/>
      <c r="R20"/>
    </row>
    <row r="21" spans="1:18" x14ac:dyDescent="0.25">
      <c r="P21"/>
      <c r="Q21"/>
      <c r="R21"/>
    </row>
    <row r="22" spans="1:18" x14ac:dyDescent="0.25">
      <c r="A22" s="3" t="s">
        <v>1</v>
      </c>
      <c r="B22" s="44" t="s">
        <v>22</v>
      </c>
      <c r="P22"/>
      <c r="Q22"/>
      <c r="R22"/>
    </row>
    <row r="23" spans="1:18" x14ac:dyDescent="0.25">
      <c r="A23" s="21" t="s">
        <v>0</v>
      </c>
      <c r="B23" s="4">
        <v>44580</v>
      </c>
      <c r="P23"/>
      <c r="Q23"/>
      <c r="R23"/>
    </row>
    <row r="24" spans="1:18" x14ac:dyDescent="0.25">
      <c r="A24" s="5" t="s">
        <v>3</v>
      </c>
      <c r="B24" s="5" t="s">
        <v>8</v>
      </c>
      <c r="C24" s="5" t="s">
        <v>52</v>
      </c>
      <c r="D24" s="6" t="s">
        <v>9</v>
      </c>
      <c r="E24" s="6" t="s">
        <v>10</v>
      </c>
      <c r="F24" s="6" t="s">
        <v>5</v>
      </c>
      <c r="P24"/>
      <c r="Q24"/>
      <c r="R24"/>
    </row>
    <row r="25" spans="1:18" x14ac:dyDescent="0.25">
      <c r="A25" s="7">
        <v>14</v>
      </c>
      <c r="B25" s="57">
        <v>83.28</v>
      </c>
      <c r="C25" s="8">
        <v>83.28</v>
      </c>
      <c r="D25" s="11">
        <f t="shared" ref="D25:D35" si="2">(A25*C25)</f>
        <v>1165.92</v>
      </c>
      <c r="E25" s="9">
        <v>15</v>
      </c>
      <c r="F25" s="9">
        <v>0</v>
      </c>
      <c r="H25" s="12">
        <f t="shared" ref="H25:H35" si="3">(A25*C25-E25-F25)</f>
        <v>1150.92</v>
      </c>
      <c r="P25"/>
      <c r="Q25"/>
      <c r="R25"/>
    </row>
    <row r="26" spans="1:18" x14ac:dyDescent="0.25">
      <c r="A26" s="7">
        <v>0</v>
      </c>
      <c r="B26" s="57">
        <v>0</v>
      </c>
      <c r="C26" s="8">
        <v>0</v>
      </c>
      <c r="D26" s="11">
        <f t="shared" si="2"/>
        <v>0</v>
      </c>
      <c r="E26" s="9">
        <v>0</v>
      </c>
      <c r="F26" s="9">
        <v>0</v>
      </c>
      <c r="H26" s="12">
        <f t="shared" si="3"/>
        <v>0</v>
      </c>
      <c r="P26"/>
      <c r="Q26"/>
      <c r="R26"/>
    </row>
    <row r="27" spans="1:18" x14ac:dyDescent="0.25">
      <c r="A27" s="7">
        <v>0</v>
      </c>
      <c r="B27" s="57">
        <v>0</v>
      </c>
      <c r="C27" s="8">
        <v>0</v>
      </c>
      <c r="D27" s="11">
        <f t="shared" si="2"/>
        <v>0</v>
      </c>
      <c r="E27" s="9">
        <v>0</v>
      </c>
      <c r="F27" s="9">
        <v>0</v>
      </c>
      <c r="H27" s="12">
        <f t="shared" si="3"/>
        <v>0</v>
      </c>
      <c r="P27"/>
      <c r="Q27"/>
      <c r="R27"/>
    </row>
    <row r="28" spans="1:18" x14ac:dyDescent="0.25">
      <c r="A28" s="7">
        <v>0</v>
      </c>
      <c r="B28" s="57">
        <v>0</v>
      </c>
      <c r="C28" s="8">
        <v>0</v>
      </c>
      <c r="D28" s="11">
        <f t="shared" si="2"/>
        <v>0</v>
      </c>
      <c r="E28" s="9">
        <v>0</v>
      </c>
      <c r="F28" s="9">
        <v>0</v>
      </c>
      <c r="H28" s="12">
        <f t="shared" si="3"/>
        <v>0</v>
      </c>
      <c r="P28"/>
      <c r="Q28"/>
      <c r="R28"/>
    </row>
    <row r="29" spans="1:18" x14ac:dyDescent="0.25">
      <c r="A29" s="7">
        <v>0</v>
      </c>
      <c r="B29" s="57">
        <v>0</v>
      </c>
      <c r="C29" s="8">
        <v>0</v>
      </c>
      <c r="D29" s="11">
        <f t="shared" si="2"/>
        <v>0</v>
      </c>
      <c r="E29" s="9">
        <v>0</v>
      </c>
      <c r="F29" s="9">
        <v>0</v>
      </c>
      <c r="H29" s="12">
        <f t="shared" si="3"/>
        <v>0</v>
      </c>
      <c r="P29"/>
      <c r="Q29"/>
      <c r="R29"/>
    </row>
    <row r="30" spans="1:18" x14ac:dyDescent="0.25">
      <c r="A30" s="7">
        <v>0</v>
      </c>
      <c r="B30" s="57">
        <v>0</v>
      </c>
      <c r="C30" s="8">
        <v>0</v>
      </c>
      <c r="D30" s="11">
        <f t="shared" si="2"/>
        <v>0</v>
      </c>
      <c r="E30" s="9">
        <v>0</v>
      </c>
      <c r="F30" s="9">
        <v>0</v>
      </c>
      <c r="H30" s="12">
        <f t="shared" si="3"/>
        <v>0</v>
      </c>
      <c r="P30"/>
      <c r="Q30"/>
      <c r="R30"/>
    </row>
    <row r="31" spans="1:18" x14ac:dyDescent="0.25">
      <c r="A31" s="7">
        <v>0</v>
      </c>
      <c r="B31" s="57">
        <v>0</v>
      </c>
      <c r="C31" s="8">
        <v>0</v>
      </c>
      <c r="D31" s="11">
        <f t="shared" si="2"/>
        <v>0</v>
      </c>
      <c r="E31" s="9">
        <v>0</v>
      </c>
      <c r="F31" s="9">
        <v>0</v>
      </c>
      <c r="H31" s="12">
        <f t="shared" si="3"/>
        <v>0</v>
      </c>
      <c r="P31"/>
      <c r="Q31"/>
      <c r="R31"/>
    </row>
    <row r="32" spans="1:18" x14ac:dyDescent="0.25">
      <c r="A32" s="7">
        <v>0</v>
      </c>
      <c r="B32" s="57">
        <v>0</v>
      </c>
      <c r="C32" s="8">
        <v>0</v>
      </c>
      <c r="D32" s="11">
        <f t="shared" si="2"/>
        <v>0</v>
      </c>
      <c r="E32" s="9">
        <v>0</v>
      </c>
      <c r="F32" s="9">
        <v>0</v>
      </c>
      <c r="H32" s="12">
        <f t="shared" si="3"/>
        <v>0</v>
      </c>
      <c r="P32"/>
      <c r="Q32"/>
      <c r="R32"/>
    </row>
    <row r="33" spans="1:8" x14ac:dyDescent="0.25">
      <c r="A33" s="7">
        <v>0</v>
      </c>
      <c r="B33" s="57">
        <v>0</v>
      </c>
      <c r="C33" s="8">
        <v>0</v>
      </c>
      <c r="D33" s="11">
        <f t="shared" si="2"/>
        <v>0</v>
      </c>
      <c r="E33" s="9">
        <v>0</v>
      </c>
      <c r="F33" s="9">
        <v>0</v>
      </c>
      <c r="H33" s="12">
        <f t="shared" si="3"/>
        <v>0</v>
      </c>
    </row>
    <row r="34" spans="1:8" x14ac:dyDescent="0.25">
      <c r="A34" s="7">
        <v>0</v>
      </c>
      <c r="B34" s="57">
        <v>0</v>
      </c>
      <c r="C34" s="8">
        <v>0</v>
      </c>
      <c r="D34" s="11">
        <f t="shared" si="2"/>
        <v>0</v>
      </c>
      <c r="E34" s="9">
        <v>0</v>
      </c>
      <c r="F34" s="9">
        <v>0</v>
      </c>
      <c r="H34" s="12">
        <f t="shared" si="3"/>
        <v>0</v>
      </c>
    </row>
    <row r="35" spans="1:8" x14ac:dyDescent="0.25">
      <c r="A35" s="7">
        <v>0</v>
      </c>
      <c r="B35" s="57">
        <v>0</v>
      </c>
      <c r="C35" s="8">
        <v>0</v>
      </c>
      <c r="D35" s="11">
        <f t="shared" si="2"/>
        <v>0</v>
      </c>
      <c r="E35" s="9">
        <v>0</v>
      </c>
      <c r="F35" s="9">
        <v>0</v>
      </c>
      <c r="H35" s="12">
        <f t="shared" si="3"/>
        <v>0</v>
      </c>
    </row>
    <row r="36" spans="1:8" x14ac:dyDescent="0.25">
      <c r="A36" s="14">
        <f>SUM(A25:A35)</f>
        <v>14</v>
      </c>
      <c r="B36" s="58" cm="1">
        <f t="array" ref="B36">SUM(B25:B35/A37)</f>
        <v>83.28</v>
      </c>
      <c r="C36" s="15" cm="1">
        <f t="array" ref="C36">SUM(C25:C35/A37)</f>
        <v>83.28</v>
      </c>
      <c r="D36" s="16">
        <f>SUM(D25:D35)</f>
        <v>1165.92</v>
      </c>
      <c r="E36" s="16">
        <f>SUM(E25:E35)</f>
        <v>15</v>
      </c>
      <c r="F36" s="17">
        <f>SUM(F25:F35)</f>
        <v>0</v>
      </c>
      <c r="H36" s="13">
        <f>SUM(H25:H35)</f>
        <v>1150.92</v>
      </c>
    </row>
    <row r="37" spans="1:8" x14ac:dyDescent="0.25">
      <c r="A37">
        <f>COUNTIF(A25:A35, "&gt;0")</f>
        <v>1</v>
      </c>
      <c r="B37"/>
    </row>
    <row r="38" spans="1:8" x14ac:dyDescent="0.25">
      <c r="H38" s="19">
        <f>(H36-H19)</f>
        <v>127.92000000000007</v>
      </c>
    </row>
    <row r="39" spans="1:8" x14ac:dyDescent="0.25">
      <c r="D39" s="1" t="s">
        <v>20</v>
      </c>
    </row>
    <row r="40" spans="1:8" x14ac:dyDescent="0.25">
      <c r="A40" s="10" t="s">
        <v>11</v>
      </c>
      <c r="B40" s="10"/>
      <c r="D40" s="18">
        <f>(D36-D19)</f>
        <v>157.92000000000007</v>
      </c>
      <c r="E40" s="19">
        <f>(E19+E36)</f>
        <v>30</v>
      </c>
      <c r="F40" s="19">
        <f>(F19+F36)</f>
        <v>0</v>
      </c>
      <c r="H40" s="20">
        <f>(H38-F42)</f>
        <v>0</v>
      </c>
    </row>
    <row r="41" spans="1:8" x14ac:dyDescent="0.25">
      <c r="A41" s="10"/>
      <c r="B41" s="10"/>
      <c r="D41" s="19"/>
      <c r="E41" s="19">
        <f>(E40+F40)</f>
        <v>30</v>
      </c>
      <c r="F41" s="19"/>
      <c r="G41" s="19"/>
      <c r="H41" s="20"/>
    </row>
    <row r="42" spans="1:8" x14ac:dyDescent="0.25">
      <c r="A42" s="10"/>
      <c r="B42" s="10"/>
      <c r="D42" s="19"/>
      <c r="E42" s="56" t="s">
        <v>55</v>
      </c>
      <c r="F42" s="18">
        <f>(D40-E40-F40)</f>
        <v>127.92000000000007</v>
      </c>
      <c r="G42" s="19"/>
      <c r="H42" s="20"/>
    </row>
  </sheetData>
  <mergeCells count="5">
    <mergeCell ref="I1:O1"/>
    <mergeCell ref="P1:V1"/>
    <mergeCell ref="B3:C3"/>
    <mergeCell ref="P3:R3"/>
    <mergeCell ref="B4:C4"/>
  </mergeCells>
  <dataValidations count="1">
    <dataValidation type="list" allowBlank="1" showInputMessage="1" showErrorMessage="1" sqref="H1" xr:uid="{ACB412F6-9049-4781-93C6-DF208C34CDE2}">
      <formula1>"LARGO, CORTO"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F0C6B1B8-011F-416A-8A16-36D24753BD7A}">
          <x14:formula1>
            <xm:f>GENERAL!$S$5:$S$17</xm:f>
          </x14:formula1>
          <xm:sqref>B4:C4</xm:sqref>
        </x14:dataValidation>
        <x14:dataValidation type="list" allowBlank="1" showInputMessage="1" showErrorMessage="1" xr:uid="{CD6AE0D0-D159-48D7-A6F3-E75548016431}">
          <x14:formula1>
            <xm:f>GENERAL!$W$5:$W$52</xm:f>
          </x14:formula1>
          <xm:sqref>B3:C3</xm:sqref>
        </x14:dataValidation>
        <x14:dataValidation type="list" allowBlank="1" showInputMessage="1" showErrorMessage="1" xr:uid="{5768652B-7CD2-427F-B687-4C1F417BC51C}">
          <x14:formula1>
            <xm:f>GENERAL!$AH$2:$AJ$2</xm:f>
          </x14:formula1>
          <xm:sqref>F4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19</vt:i4>
      </vt:variant>
    </vt:vector>
  </HeadingPairs>
  <TitlesOfParts>
    <vt:vector size="39" baseType="lpstr">
      <vt:lpstr>GENERAL</vt:lpstr>
      <vt:lpstr>Resumen OPERACIONES</vt:lpstr>
      <vt:lpstr>OP. ABIERTAS (ACCIONES)</vt:lpstr>
      <vt:lpstr>OP. ABIERTAS (CFD)</vt:lpstr>
      <vt:lpstr>OP(Modelo)</vt:lpstr>
      <vt:lpstr>OP22.012</vt:lpstr>
      <vt:lpstr>OP22.011</vt:lpstr>
      <vt:lpstr>OP22.010</vt:lpstr>
      <vt:lpstr>OP22.009</vt:lpstr>
      <vt:lpstr>OP22.008</vt:lpstr>
      <vt:lpstr>OP22.007</vt:lpstr>
      <vt:lpstr>OP22.006</vt:lpstr>
      <vt:lpstr>OP22.005</vt:lpstr>
      <vt:lpstr>OP22.004</vt:lpstr>
      <vt:lpstr>OP22.003</vt:lpstr>
      <vt:lpstr>OP22.002</vt:lpstr>
      <vt:lpstr>OP22.001</vt:lpstr>
      <vt:lpstr>OP21.006</vt:lpstr>
      <vt:lpstr>OP21.005</vt:lpstr>
      <vt:lpstr>OP21.004</vt:lpstr>
      <vt:lpstr>'OP(Modelo)'!Área_de_impresión</vt:lpstr>
      <vt:lpstr>'OP. ABIERTAS (ACCIONES)'!Área_de_impresión</vt:lpstr>
      <vt:lpstr>'OP. ABIERTAS (CFD)'!Área_de_impresión</vt:lpstr>
      <vt:lpstr>OP21.004!Área_de_impresión</vt:lpstr>
      <vt:lpstr>OP21.005!Área_de_impresión</vt:lpstr>
      <vt:lpstr>OP21.006!Área_de_impresión</vt:lpstr>
      <vt:lpstr>OP22.001!Área_de_impresión</vt:lpstr>
      <vt:lpstr>OP22.002!Área_de_impresión</vt:lpstr>
      <vt:lpstr>OP22.003!Área_de_impresión</vt:lpstr>
      <vt:lpstr>OP22.004!Área_de_impresión</vt:lpstr>
      <vt:lpstr>OP22.005!Área_de_impresión</vt:lpstr>
      <vt:lpstr>OP22.006!Área_de_impresión</vt:lpstr>
      <vt:lpstr>OP22.007!Área_de_impresión</vt:lpstr>
      <vt:lpstr>OP22.008!Área_de_impresión</vt:lpstr>
      <vt:lpstr>OP22.009!Área_de_impresión</vt:lpstr>
      <vt:lpstr>OP22.010!Área_de_impresión</vt:lpstr>
      <vt:lpstr>OP22.011!Área_de_impresión</vt:lpstr>
      <vt:lpstr>OP22.012!Área_de_impresión</vt:lpstr>
      <vt:lpstr>'Resumen OPERACIONES'!Área_de_impresión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MGL</dc:creator>
  <cp:lastModifiedBy>Jose MGL</cp:lastModifiedBy>
  <cp:lastPrinted>2020-11-11T18:58:51Z</cp:lastPrinted>
  <dcterms:created xsi:type="dcterms:W3CDTF">2020-10-03T13:21:41Z</dcterms:created>
  <dcterms:modified xsi:type="dcterms:W3CDTF">2023-02-08T19:00:04Z</dcterms:modified>
</cp:coreProperties>
</file>