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77D96A9C-0336-4A08-88AE-63951ADA5FE5}" xr6:coauthVersionLast="45" xr6:coauthVersionMax="45" xr10:uidLastSave="{00000000-0000-0000-0000-000000000000}"/>
  <bookViews>
    <workbookView xWindow="-120" yWindow="-120" windowWidth="38640" windowHeight="21240" activeTab="3" xr2:uid="{00000000-000D-0000-FFFF-FFFF00000000}"/>
  </bookViews>
  <sheets>
    <sheet name="kri" sheetId="1" r:id="rId1"/>
    <sheet name="kri-nn-postpr" sheetId="5" r:id="rId2"/>
    <sheet name="time" sheetId="6" r:id="rId3"/>
    <sheet name="nn-mri-only" sheetId="8" r:id="rId4"/>
    <sheet name="lowdose-study" sheetId="9" r:id="rId5"/>
    <sheet name="etc" sheetId="2" r:id="rId6"/>
    <sheet name="mr vs lowdose" sheetId="10" r:id="rId7"/>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6" i="8" l="1"/>
  <c r="F64" i="8" l="1"/>
  <c r="F63" i="8"/>
  <c r="F62" i="8"/>
  <c r="F61" i="8"/>
  <c r="F60" i="8"/>
  <c r="E8" i="10" l="1"/>
  <c r="F8" i="10" s="1"/>
  <c r="E9" i="10"/>
  <c r="F9" i="10" s="1"/>
  <c r="E10" i="10"/>
  <c r="F10" i="10" s="1"/>
  <c r="E11" i="10"/>
  <c r="F11"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23" i="10"/>
  <c r="F23" i="10" s="1"/>
  <c r="E24" i="10"/>
  <c r="F24" i="10" s="1"/>
  <c r="E25" i="10"/>
  <c r="F25" i="10" s="1"/>
  <c r="E26" i="10"/>
  <c r="F26" i="10" s="1"/>
  <c r="E27" i="10"/>
  <c r="F27" i="10" s="1"/>
  <c r="E28" i="10"/>
  <c r="F28" i="10" s="1"/>
  <c r="E29" i="10"/>
  <c r="F29" i="10" s="1"/>
  <c r="E30" i="10"/>
  <c r="F30" i="10" s="1"/>
  <c r="E31" i="10"/>
  <c r="F31" i="10" s="1"/>
  <c r="E32" i="10"/>
  <c r="F32" i="10" s="1"/>
  <c r="E33" i="10"/>
  <c r="F33" i="10" s="1"/>
  <c r="E34" i="10"/>
  <c r="F34" i="10" s="1"/>
  <c r="E35" i="10"/>
  <c r="F35" i="10" s="1"/>
  <c r="E36" i="10"/>
  <c r="F36" i="10" s="1"/>
  <c r="E37" i="10"/>
  <c r="F37" i="10" s="1"/>
  <c r="E38" i="10"/>
  <c r="F38" i="10" s="1"/>
  <c r="E39" i="10"/>
  <c r="F39" i="10" s="1"/>
  <c r="E40" i="10"/>
  <c r="F40" i="10" s="1"/>
  <c r="E41" i="10"/>
  <c r="F41" i="10" s="1"/>
  <c r="E42" i="10"/>
  <c r="F42" i="10" s="1"/>
  <c r="E43" i="10"/>
  <c r="F43" i="10" s="1"/>
  <c r="E44" i="10"/>
  <c r="F44" i="10" s="1"/>
  <c r="E45" i="10"/>
  <c r="F45" i="10" s="1"/>
  <c r="E46" i="10"/>
  <c r="F46" i="10" s="1"/>
  <c r="E47" i="10"/>
  <c r="F47" i="10" s="1"/>
  <c r="E48" i="10"/>
  <c r="F48" i="10" s="1"/>
  <c r="E49" i="10"/>
  <c r="F49" i="10" s="1"/>
  <c r="E50" i="10"/>
  <c r="F50" i="10" s="1"/>
  <c r="E51" i="10"/>
  <c r="F51" i="10" s="1"/>
  <c r="E52" i="10"/>
  <c r="F52" i="10" s="1"/>
  <c r="E53" i="10"/>
  <c r="F53" i="10" s="1"/>
  <c r="E3" i="10"/>
  <c r="F3" i="10" s="1"/>
  <c r="E4" i="10"/>
  <c r="F4" i="10" s="1"/>
  <c r="E5" i="10"/>
  <c r="F5" i="10" s="1"/>
  <c r="E6" i="10"/>
  <c r="F6" i="10" s="1"/>
  <c r="E7" i="10"/>
  <c r="F7" i="10" s="1"/>
  <c r="D17" i="9" l="1"/>
  <c r="E17" i="9"/>
  <c r="F17" i="9"/>
  <c r="C17" i="9"/>
  <c r="W22" i="5" l="1"/>
  <c r="W2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2" i="5"/>
  <c r="F2" i="5"/>
  <c r="F104" i="5"/>
  <c r="F103" i="5"/>
  <c r="F102" i="5"/>
  <c r="F101" i="5"/>
  <c r="F100" i="5"/>
  <c r="F99" i="5"/>
  <c r="F98" i="5"/>
  <c r="F97" i="5"/>
  <c r="F96" i="5"/>
  <c r="F95" i="5"/>
  <c r="F94" i="5"/>
  <c r="F93" i="5"/>
  <c r="F92" i="5"/>
  <c r="F91" i="5"/>
  <c r="F90" i="5"/>
  <c r="F89" i="5"/>
  <c r="F88" i="5"/>
  <c r="F87"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W15" i="5"/>
  <c r="W8" i="5"/>
  <c r="W20" i="5" l="1"/>
  <c r="B22" i="6"/>
  <c r="B21" i="6"/>
  <c r="U3" i="1" l="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2" i="1"/>
  <c r="V2" i="1" s="1"/>
  <c r="V109" i="1" l="1"/>
  <c r="V108" i="1"/>
  <c r="C104" i="5"/>
  <c r="B104" i="5"/>
  <c r="A104" i="5"/>
  <c r="C103" i="5"/>
  <c r="B103" i="5"/>
  <c r="R103" i="5" s="1"/>
  <c r="A103" i="5"/>
  <c r="C102" i="5"/>
  <c r="B102" i="5"/>
  <c r="J102" i="5" s="1"/>
  <c r="A102" i="5"/>
  <c r="C101" i="5"/>
  <c r="B101" i="5"/>
  <c r="A101" i="5"/>
  <c r="C100" i="5"/>
  <c r="B100" i="5"/>
  <c r="R100" i="5" s="1"/>
  <c r="A100" i="5"/>
  <c r="C99" i="5"/>
  <c r="B99" i="5"/>
  <c r="R99" i="5" s="1"/>
  <c r="A99" i="5"/>
  <c r="C98" i="5"/>
  <c r="B98" i="5"/>
  <c r="A98" i="5"/>
  <c r="C97" i="5"/>
  <c r="B97" i="5"/>
  <c r="A97" i="5"/>
  <c r="C96" i="5"/>
  <c r="B96" i="5"/>
  <c r="R96" i="5" s="1"/>
  <c r="A96" i="5"/>
  <c r="C95" i="5"/>
  <c r="B95" i="5"/>
  <c r="A95" i="5"/>
  <c r="C94" i="5"/>
  <c r="B94" i="5"/>
  <c r="A94" i="5"/>
  <c r="C93" i="5"/>
  <c r="B93" i="5"/>
  <c r="A93" i="5"/>
  <c r="C92" i="5"/>
  <c r="B92" i="5"/>
  <c r="R92" i="5" s="1"/>
  <c r="A92" i="5"/>
  <c r="C91" i="5"/>
  <c r="B91" i="5"/>
  <c r="A91" i="5"/>
  <c r="C90" i="5"/>
  <c r="J90" i="5"/>
  <c r="A90" i="5"/>
  <c r="C89" i="5"/>
  <c r="B89" i="5"/>
  <c r="A89" i="5"/>
  <c r="C88" i="5"/>
  <c r="B88" i="5"/>
  <c r="J88" i="5" s="1"/>
  <c r="A88" i="5"/>
  <c r="C87" i="5"/>
  <c r="B87" i="5"/>
  <c r="A87" i="5"/>
  <c r="B86" i="5"/>
  <c r="A86" i="5"/>
  <c r="C85" i="5"/>
  <c r="B85" i="5"/>
  <c r="A85" i="5"/>
  <c r="C84" i="5"/>
  <c r="B84" i="5"/>
  <c r="A84" i="5"/>
  <c r="C83" i="5"/>
  <c r="B83" i="5"/>
  <c r="R83" i="5" s="1"/>
  <c r="A83" i="5"/>
  <c r="C82" i="5"/>
  <c r="B82" i="5"/>
  <c r="A82" i="5"/>
  <c r="C81" i="5"/>
  <c r="B81" i="5"/>
  <c r="A81" i="5"/>
  <c r="C80" i="5"/>
  <c r="B80" i="5"/>
  <c r="A80" i="5"/>
  <c r="C79" i="5"/>
  <c r="B79" i="5"/>
  <c r="R79" i="5" s="1"/>
  <c r="A79" i="5"/>
  <c r="C78" i="5"/>
  <c r="B78" i="5"/>
  <c r="J78" i="5" s="1"/>
  <c r="A78" i="5"/>
  <c r="C77" i="5"/>
  <c r="B77" i="5"/>
  <c r="J77" i="5" s="1"/>
  <c r="A77" i="5"/>
  <c r="C76" i="5"/>
  <c r="B76" i="5"/>
  <c r="R76" i="5" s="1"/>
  <c r="A76" i="5"/>
  <c r="C75" i="5"/>
  <c r="B75" i="5"/>
  <c r="A75" i="5"/>
  <c r="C74" i="5"/>
  <c r="B74" i="5"/>
  <c r="J74" i="5" s="1"/>
  <c r="A74" i="5"/>
  <c r="C73" i="5"/>
  <c r="B73" i="5"/>
  <c r="J73" i="5" s="1"/>
  <c r="A73" i="5"/>
  <c r="C72" i="5"/>
  <c r="B72" i="5"/>
  <c r="A72" i="5"/>
  <c r="C71" i="5"/>
  <c r="B71" i="5"/>
  <c r="A71" i="5"/>
  <c r="C70" i="5"/>
  <c r="B70" i="5"/>
  <c r="A70" i="5"/>
  <c r="C69" i="5"/>
  <c r="B69" i="5"/>
  <c r="J69" i="5" s="1"/>
  <c r="A69" i="5"/>
  <c r="C68" i="5"/>
  <c r="B68" i="5"/>
  <c r="A68" i="5"/>
  <c r="C67" i="5"/>
  <c r="B67" i="5"/>
  <c r="N67" i="5" s="1"/>
  <c r="A67" i="5"/>
  <c r="C66" i="5"/>
  <c r="B66" i="5"/>
  <c r="J66" i="5" s="1"/>
  <c r="A66" i="5"/>
  <c r="C65" i="5"/>
  <c r="B65" i="5"/>
  <c r="J65" i="5" s="1"/>
  <c r="A65" i="5"/>
  <c r="C64" i="5"/>
  <c r="B64" i="5"/>
  <c r="J64" i="5" s="1"/>
  <c r="A64" i="5"/>
  <c r="C63" i="5"/>
  <c r="B63" i="5"/>
  <c r="A63" i="5"/>
  <c r="C62" i="5"/>
  <c r="B62" i="5"/>
  <c r="J62" i="5" s="1"/>
  <c r="A62" i="5"/>
  <c r="C61" i="5"/>
  <c r="B61" i="5"/>
  <c r="A61" i="5"/>
  <c r="C60" i="5"/>
  <c r="B60" i="5"/>
  <c r="A60" i="5"/>
  <c r="C59" i="5"/>
  <c r="B59" i="5"/>
  <c r="J59" i="5" s="1"/>
  <c r="A59" i="5"/>
  <c r="C58" i="5"/>
  <c r="B58" i="5"/>
  <c r="J58" i="5" s="1"/>
  <c r="A58" i="5"/>
  <c r="C57" i="5"/>
  <c r="B57" i="5"/>
  <c r="R57" i="5" s="1"/>
  <c r="A57" i="5"/>
  <c r="C56" i="5"/>
  <c r="B56" i="5"/>
  <c r="A56" i="5"/>
  <c r="C55" i="5"/>
  <c r="B55" i="5"/>
  <c r="J55" i="5" s="1"/>
  <c r="A55" i="5"/>
  <c r="C54" i="5"/>
  <c r="B54" i="5"/>
  <c r="J54" i="5" s="1"/>
  <c r="A54" i="5"/>
  <c r="C53" i="5"/>
  <c r="J53" i="5"/>
  <c r="A53" i="5"/>
  <c r="C52" i="5"/>
  <c r="B52" i="5"/>
  <c r="J52" i="5" s="1"/>
  <c r="A52" i="5"/>
  <c r="C51" i="5"/>
  <c r="B51" i="5"/>
  <c r="R51" i="5" s="1"/>
  <c r="A51" i="5"/>
  <c r="C50" i="5"/>
  <c r="B50" i="5"/>
  <c r="A50" i="5"/>
  <c r="C49" i="5"/>
  <c r="B49" i="5"/>
  <c r="J49" i="5" s="1"/>
  <c r="A49" i="5"/>
  <c r="C48" i="5"/>
  <c r="B48" i="5"/>
  <c r="J48" i="5" s="1"/>
  <c r="A48" i="5"/>
  <c r="C47" i="5"/>
  <c r="B47" i="5"/>
  <c r="A47" i="5"/>
  <c r="C46" i="5"/>
  <c r="B46" i="5"/>
  <c r="J46" i="5" s="1"/>
  <c r="A46" i="5"/>
  <c r="C45" i="5"/>
  <c r="B45" i="5"/>
  <c r="A45" i="5"/>
  <c r="C44" i="5"/>
  <c r="B44" i="5"/>
  <c r="A44" i="5"/>
  <c r="C43" i="5"/>
  <c r="B43" i="5"/>
  <c r="R43" i="5" s="1"/>
  <c r="A43" i="5"/>
  <c r="C42" i="5"/>
  <c r="B42" i="5"/>
  <c r="A42" i="5"/>
  <c r="C41" i="5"/>
  <c r="B41" i="5"/>
  <c r="A41" i="5"/>
  <c r="C40" i="5"/>
  <c r="B40" i="5"/>
  <c r="A40" i="5"/>
  <c r="C39" i="5"/>
  <c r="B39" i="5"/>
  <c r="J39" i="5" s="1"/>
  <c r="A39" i="5"/>
  <c r="C38" i="5"/>
  <c r="B38" i="5"/>
  <c r="A38" i="5"/>
  <c r="C37" i="5"/>
  <c r="B37" i="5"/>
  <c r="A37" i="5"/>
  <c r="C36" i="5"/>
  <c r="B36" i="5"/>
  <c r="J36" i="5" s="1"/>
  <c r="A36" i="5"/>
  <c r="C35" i="5"/>
  <c r="B35" i="5"/>
  <c r="A35" i="5"/>
  <c r="C34" i="5"/>
  <c r="B34" i="5"/>
  <c r="J34" i="5" s="1"/>
  <c r="A34" i="5"/>
  <c r="C33" i="5"/>
  <c r="B33" i="5"/>
  <c r="J33" i="5" s="1"/>
  <c r="A33" i="5"/>
  <c r="C32" i="5"/>
  <c r="B32" i="5"/>
  <c r="J32" i="5" s="1"/>
  <c r="A32" i="5"/>
  <c r="C31" i="5"/>
  <c r="B31" i="5"/>
  <c r="A31" i="5"/>
  <c r="C30" i="5"/>
  <c r="B30" i="5"/>
  <c r="J30" i="5" s="1"/>
  <c r="A30" i="5"/>
  <c r="C29" i="5"/>
  <c r="B29" i="5"/>
  <c r="A29" i="5"/>
  <c r="C28" i="5"/>
  <c r="B28" i="5"/>
  <c r="A28" i="5"/>
  <c r="C27" i="5"/>
  <c r="B27" i="5"/>
  <c r="R27" i="5" s="1"/>
  <c r="A27" i="5"/>
  <c r="C26" i="5"/>
  <c r="B26" i="5"/>
  <c r="R26" i="5" s="1"/>
  <c r="A26" i="5"/>
  <c r="C25" i="5"/>
  <c r="B25" i="5"/>
  <c r="A25" i="5"/>
  <c r="C24" i="5"/>
  <c r="B24" i="5"/>
  <c r="A24" i="5"/>
  <c r="C23" i="5"/>
  <c r="B23" i="5"/>
  <c r="A23" i="5"/>
  <c r="C22" i="5"/>
  <c r="B22" i="5"/>
  <c r="A22" i="5"/>
  <c r="C21" i="5"/>
  <c r="B21" i="5"/>
  <c r="A21" i="5"/>
  <c r="C20" i="5"/>
  <c r="B20" i="5"/>
  <c r="J20" i="5" s="1"/>
  <c r="A20" i="5"/>
  <c r="C19" i="5"/>
  <c r="B19" i="5"/>
  <c r="J19" i="5" s="1"/>
  <c r="A19" i="5"/>
  <c r="C18" i="5"/>
  <c r="B18" i="5"/>
  <c r="J18" i="5" s="1"/>
  <c r="A18" i="5"/>
  <c r="C17" i="5"/>
  <c r="B17" i="5"/>
  <c r="J17" i="5" s="1"/>
  <c r="A17" i="5"/>
  <c r="C16" i="5"/>
  <c r="B16" i="5"/>
  <c r="J16" i="5" s="1"/>
  <c r="A16" i="5"/>
  <c r="C15" i="5"/>
  <c r="B15" i="5"/>
  <c r="J15" i="5" s="1"/>
  <c r="A15" i="5"/>
  <c r="C14" i="5"/>
  <c r="B14" i="5"/>
  <c r="A14" i="5"/>
  <c r="C13" i="5"/>
  <c r="B13" i="5"/>
  <c r="J13" i="5" s="1"/>
  <c r="A13" i="5"/>
  <c r="W14" i="5"/>
  <c r="C12" i="5"/>
  <c r="B12" i="5"/>
  <c r="A12" i="5"/>
  <c r="C11" i="5"/>
  <c r="B11" i="5"/>
  <c r="A11" i="5"/>
  <c r="C10" i="5"/>
  <c r="B10" i="5"/>
  <c r="J10" i="5" s="1"/>
  <c r="A10" i="5"/>
  <c r="C9" i="5"/>
  <c r="B9" i="5"/>
  <c r="A9" i="5"/>
  <c r="C8" i="5"/>
  <c r="B8" i="5"/>
  <c r="A8" i="5"/>
  <c r="W7" i="5"/>
  <c r="C7" i="5"/>
  <c r="B7" i="5"/>
  <c r="A7" i="5"/>
  <c r="C6" i="5"/>
  <c r="B6" i="5"/>
  <c r="A6" i="5"/>
  <c r="C5" i="5"/>
  <c r="B5" i="5"/>
  <c r="A5" i="5"/>
  <c r="C4" i="5"/>
  <c r="B4" i="5"/>
  <c r="R4" i="5" s="1"/>
  <c r="A4" i="5"/>
  <c r="C3" i="5"/>
  <c r="B3" i="5"/>
  <c r="A3" i="5"/>
  <c r="C2" i="5"/>
  <c r="B2" i="5"/>
  <c r="J2" i="5" s="1"/>
  <c r="A2" i="5"/>
  <c r="W9" i="5" l="1"/>
  <c r="W16" i="5"/>
  <c r="R44" i="5"/>
  <c r="J44" i="5"/>
  <c r="J3" i="5"/>
  <c r="R3" i="5"/>
  <c r="R60" i="5"/>
  <c r="J60" i="5"/>
  <c r="J28" i="5"/>
  <c r="R28" i="5"/>
  <c r="J61" i="5"/>
  <c r="R61" i="5"/>
  <c r="R85" i="5"/>
  <c r="J85" i="5"/>
  <c r="J25" i="5"/>
  <c r="R25" i="5"/>
  <c r="R12" i="5"/>
  <c r="R18" i="5"/>
  <c r="R30" i="5"/>
  <c r="R87" i="5"/>
  <c r="R36" i="5"/>
  <c r="R39" i="5"/>
  <c r="R42" i="5"/>
  <c r="R45" i="5"/>
  <c r="R48" i="5"/>
  <c r="R54" i="5"/>
  <c r="R63" i="5"/>
  <c r="R66" i="5"/>
  <c r="R69" i="5"/>
  <c r="R72" i="5"/>
  <c r="R75" i="5"/>
  <c r="R78" i="5"/>
  <c r="R81" i="5"/>
  <c r="R84" i="5"/>
  <c r="R6" i="5"/>
  <c r="R9" i="5"/>
  <c r="R24" i="5"/>
  <c r="R93" i="5"/>
  <c r="R33" i="5"/>
  <c r="R7" i="5"/>
  <c r="R10" i="5"/>
  <c r="R13" i="5"/>
  <c r="R16" i="5"/>
  <c r="R19" i="5"/>
  <c r="R22" i="5"/>
  <c r="R31" i="5"/>
  <c r="R88" i="5"/>
  <c r="R91" i="5"/>
  <c r="R94" i="5"/>
  <c r="R97" i="5"/>
  <c r="R34" i="5"/>
  <c r="R37" i="5"/>
  <c r="R46" i="5"/>
  <c r="R49" i="5"/>
  <c r="R52" i="5"/>
  <c r="R55" i="5"/>
  <c r="R58" i="5"/>
  <c r="R64" i="5"/>
  <c r="R67" i="5"/>
  <c r="R70" i="5"/>
  <c r="R73" i="5"/>
  <c r="R82" i="5"/>
  <c r="R90" i="5"/>
  <c r="N31" i="5"/>
  <c r="R8" i="5"/>
  <c r="R11" i="5"/>
  <c r="R15" i="5"/>
  <c r="R5" i="5"/>
  <c r="R14" i="5"/>
  <c r="R17" i="5"/>
  <c r="R20" i="5"/>
  <c r="R23" i="5"/>
  <c r="R29" i="5"/>
  <c r="R89" i="5"/>
  <c r="R95" i="5"/>
  <c r="R98" i="5"/>
  <c r="R101" i="5"/>
  <c r="R104" i="5"/>
  <c r="R21" i="5"/>
  <c r="R102" i="5"/>
  <c r="R2" i="5"/>
  <c r="R32" i="5"/>
  <c r="R35" i="5"/>
  <c r="R38" i="5"/>
  <c r="R41" i="5"/>
  <c r="R47" i="5"/>
  <c r="R50" i="5"/>
  <c r="R53" i="5"/>
  <c r="R56" i="5"/>
  <c r="R59" i="5"/>
  <c r="R62" i="5"/>
  <c r="R65" i="5"/>
  <c r="R68" i="5"/>
  <c r="R71" i="5"/>
  <c r="R74" i="5"/>
  <c r="R77" i="5"/>
  <c r="R80" i="5"/>
  <c r="N27" i="5"/>
  <c r="N51" i="5"/>
  <c r="N57" i="5"/>
  <c r="N99" i="5"/>
  <c r="N92" i="5"/>
  <c r="N96" i="5"/>
  <c r="N81" i="5"/>
  <c r="N43" i="5"/>
  <c r="N76" i="5"/>
  <c r="N79" i="5"/>
  <c r="N100" i="5"/>
  <c r="N103" i="5"/>
  <c r="N83" i="5"/>
  <c r="J5" i="5"/>
  <c r="J6" i="5"/>
  <c r="J4" i="5"/>
  <c r="N24" i="5"/>
  <c r="N42" i="5"/>
  <c r="N91" i="5"/>
  <c r="N98" i="5"/>
  <c r="N26" i="5"/>
  <c r="N75" i="5"/>
  <c r="N95" i="5"/>
  <c r="N37" i="5"/>
  <c r="N71" i="5"/>
  <c r="N7" i="5"/>
  <c r="C108" i="5"/>
  <c r="N63" i="5"/>
  <c r="N12" i="5"/>
  <c r="N22" i="5"/>
  <c r="N35" i="5"/>
  <c r="N72" i="5"/>
  <c r="N82" i="5"/>
  <c r="N87" i="5"/>
  <c r="N21" i="5"/>
  <c r="N89" i="5"/>
  <c r="N94" i="5"/>
  <c r="N29" i="5"/>
  <c r="N8" i="5"/>
  <c r="N23" i="5"/>
  <c r="N41" i="5"/>
  <c r="N68" i="5"/>
  <c r="N104" i="5"/>
  <c r="N11" i="5"/>
  <c r="N38" i="5"/>
  <c r="N47" i="5"/>
  <c r="N50" i="5"/>
  <c r="N56" i="5"/>
  <c r="N70" i="5"/>
  <c r="N80" i="5"/>
  <c r="N84" i="5"/>
  <c r="N93" i="5"/>
  <c r="N97" i="5"/>
  <c r="N101" i="5"/>
  <c r="N14" i="5"/>
  <c r="N9" i="5"/>
  <c r="W19" i="5" s="1"/>
  <c r="C107" i="5"/>
  <c r="W28" i="5" l="1"/>
  <c r="W23" i="5"/>
  <c r="W5" i="5"/>
  <c r="W26" i="5"/>
  <c r="W6" i="5"/>
  <c r="W12" i="5"/>
  <c r="W27" i="5"/>
  <c r="W13" i="5"/>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2" i="1"/>
  <c r="O2" i="1" s="1"/>
  <c r="O109" i="1" l="1"/>
  <c r="O108" i="1"/>
  <c r="H103" i="1"/>
  <c r="H101" i="1"/>
  <c r="H100" i="1"/>
  <c r="H99" i="1"/>
  <c r="H98" i="1"/>
  <c r="H97" i="1"/>
  <c r="H96" i="1"/>
  <c r="H95" i="1"/>
  <c r="H94" i="1"/>
  <c r="H93" i="1"/>
  <c r="H92" i="1"/>
  <c r="H91" i="1"/>
  <c r="H90" i="1"/>
  <c r="H89" i="1"/>
  <c r="H88" i="1"/>
  <c r="H87"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04" i="1"/>
  <c r="H102" i="1"/>
  <c r="H109" i="1" l="1"/>
  <c r="H108" i="1"/>
</calcChain>
</file>

<file path=xl/sharedStrings.xml><?xml version="1.0" encoding="utf-8"?>
<sst xmlns="http://schemas.openxmlformats.org/spreadsheetml/2006/main" count="344" uniqueCount="99">
  <si>
    <t>ID</t>
  </si>
  <si>
    <t>Volume A</t>
  </si>
  <si>
    <t>Volume P</t>
  </si>
  <si>
    <t>Comments (Teddy)</t>
  </si>
  <si>
    <t>Modality</t>
  </si>
  <si>
    <t>Spalte3</t>
  </si>
  <si>
    <t>Spalte4</t>
  </si>
  <si>
    <t>Läsionen gut segmentierbar</t>
  </si>
  <si>
    <t>ct</t>
  </si>
  <si>
    <t>keine lesion</t>
  </si>
  <si>
    <t>mr</t>
  </si>
  <si>
    <t>027_SEGM_1</t>
  </si>
  <si>
    <t>whole data missing</t>
  </si>
  <si>
    <t>a big difference</t>
  </si>
  <si>
    <t>3 SIMU, first one used</t>
  </si>
  <si>
    <t>1?</t>
  </si>
  <si>
    <t>2 pret</t>
  </si>
  <si>
    <t>simu not complete</t>
  </si>
  <si>
    <t>Error A</t>
  </si>
  <si>
    <t>NN (Low Dose)</t>
  </si>
  <si>
    <t>Max. Cranio-caudal</t>
  </si>
  <si>
    <t>Max. latero-lateral</t>
  </si>
  <si>
    <t>Max. anterior-posterior</t>
  </si>
  <si>
    <t>V</t>
  </si>
  <si>
    <t>Error V</t>
  </si>
  <si>
    <t>bad lowdose</t>
  </si>
  <si>
    <t>bad pat. Positioning</t>
  </si>
  <si>
    <t>Is repeated from other</t>
  </si>
  <si>
    <t>NN (CT)</t>
  </si>
  <si>
    <t>Comments</t>
  </si>
  <si>
    <t>Dr. Mustafa's calculation</t>
  </si>
  <si>
    <t>Teddy's calculation</t>
  </si>
  <si>
    <t>Error</t>
  </si>
  <si>
    <t>!!!</t>
  </si>
  <si>
    <t>NN LowDose</t>
  </si>
  <si>
    <t>Average Volume Error</t>
  </si>
  <si>
    <t>Liver in other side</t>
  </si>
  <si>
    <t>NN Low Dose</t>
  </si>
  <si>
    <t>Dice</t>
  </si>
  <si>
    <t>NN MRI</t>
  </si>
  <si>
    <t>Volume Error Dev</t>
  </si>
  <si>
    <t>Volume Error Mean</t>
  </si>
  <si>
    <t>NN CT</t>
  </si>
  <si>
    <t>NN MR</t>
  </si>
  <si>
    <t>Dice Score Mean</t>
  </si>
  <si>
    <t>NN (MRI)</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</si>
  <si>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</si>
  <si>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</si>
  <si>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</si>
  <si>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This is the volumetry computed by the nn without supervision removing all islands in the generated prediction, with morphological operations (dilation, erosion) conect islands that are very close.
Missing dice scores are due to corrupted stored meshes.</t>
  </si>
  <si>
    <t>Weight</t>
  </si>
  <si>
    <t>Height</t>
  </si>
  <si>
    <t>ImFusion (Architecture, Trained on how many volumens)</t>
  </si>
  <si>
    <t>ImFusion + LMU + SurgicEye (3D U-Net - details, 23 datasets)</t>
  </si>
  <si>
    <t>Patients</t>
  </si>
  <si>
    <t>SurgicEye (2D U-Net, stacking - details, 110 datasets adding noise), no dice score possible</t>
  </si>
  <si>
    <t>3 axis</t>
  </si>
  <si>
    <t>std. dev.</t>
  </si>
  <si>
    <t>avg.</t>
  </si>
  <si>
    <t>3 length avg</t>
  </si>
  <si>
    <t>3 length std</t>
  </si>
  <si>
    <t>BSA avg</t>
  </si>
  <si>
    <t>BSA std</t>
  </si>
  <si>
    <t>Dice Score Dev</t>
  </si>
  <si>
    <t>Teddy avg</t>
  </si>
  <si>
    <t>Teddy std</t>
  </si>
  <si>
    <t>Aszites, Zirrhose</t>
  </si>
  <si>
    <t>Low quality CT, very noisy CT, check</t>
  </si>
  <si>
    <t>drainage</t>
  </si>
  <si>
    <t>Hypodense Zysten</t>
  </si>
  <si>
    <t>entweder hat es darm oder milz mitgenommen, check</t>
  </si>
  <si>
    <t>strong breathing artifacts</t>
  </si>
  <si>
    <t>Vorge-TACE-t, dichtes Material, check</t>
  </si>
  <si>
    <t>not at all</t>
  </si>
  <si>
    <t>Large Hypodense Tumor in Liver</t>
  </si>
  <si>
    <t>NN Interactive</t>
  </si>
  <si>
    <t>Patient</t>
  </si>
  <si>
    <t>MR</t>
  </si>
  <si>
    <t>Volumetric and accuracy evaluation for MR-liver segmentation model</t>
  </si>
  <si>
    <t>Volume</t>
  </si>
  <si>
    <t>Radiologist</t>
  </si>
  <si>
    <t>NN</t>
  </si>
  <si>
    <t>Average volume error</t>
  </si>
  <si>
    <t>Average dice score</t>
  </si>
  <si>
    <t xml:space="preserve">Patients </t>
  </si>
  <si>
    <t>Deviation dice score</t>
  </si>
  <si>
    <t>Deviation volume</t>
  </si>
  <si>
    <t>Pat.</t>
  </si>
  <si>
    <t>91,8%</t>
  </si>
  <si>
    <t>88,2%</t>
  </si>
  <si>
    <t>91,7%</t>
  </si>
  <si>
    <t>good model</t>
  </si>
  <si>
    <t>^^^</t>
  </si>
  <si>
    <t>Volumetry</t>
  </si>
  <si>
    <t>CT</t>
  </si>
  <si>
    <t>Reg Error</t>
  </si>
  <si>
    <t>Volume Error</t>
  </si>
  <si>
    <t>Mean</t>
  </si>
  <si>
    <t>"Good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</si>
</sst>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color rgb="FF000000"/>
      <name val="Calibri"/>
      <family val="2"/>
    </font>
    <font>
      <b/>
      <sz val="10"/>
      <name val="Arial"/>
      <family val="2"/>
    </font>
    <font>
      <sz val="10"/>
      <color indexed="8"/>
      <name val="Arial"/>
      <family val="2"/>
    </font>
    <font>
      <sz val="11"/>
      <color indexed="8"/>
      <name val="Segoe UI"/>
      <family val="2"/>
    </font>
    <font>
      <sz val="11"/>
      <color rgb="FF9C0006"/>
      <name val="Calibri"/>
      <family val="2"/>
      <charset val="1"/>
      <scheme val="minor"/>
    </font>
    <font>
      <b/>
      <sz val="11"/>
      <name val="Calibri"/>
      <family val="2"/>
    </font>
    <font>
      <sz val="11"/>
      <color rgb="FF000000"/>
      <name val="SERif"/>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9" fontId="1" fillId="0" borderId="0" applyBorder="0" applyAlignment="0" applyProtection="0"/>
    <xf numFmtId="0" fontId="7" fillId="3" borderId="1" applyNumberFormat="0" applyAlignment="0" applyProtection="0"/>
    <xf numFmtId="0" fontId="6" fillId="4" borderId="2" applyNumberFormat="0" applyFont="0" applyAlignment="0" applyProtection="0"/>
    <xf numFmtId="0" fontId="12" fillId="0" borderId="0"/>
    <xf numFmtId="0" fontId="14" fillId="5" borderId="0" applyNumberFormat="0" applyBorder="0" applyAlignment="0" applyProtection="0"/>
  </cellStyleXfs>
  <cellXfs count="149">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2" borderId="0" xfId="0" applyFill="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0" fillId="4" borderId="3" xfId="3" applyFont="1" applyBorder="1" applyAlignment="1">
      <alignment horizontal="center"/>
    </xf>
    <xf numFmtId="0" fontId="0" fillId="4" borderId="4" xfId="3" applyFont="1" applyBorder="1" applyAlignment="1">
      <alignment horizontal="center"/>
    </xf>
    <xf numFmtId="0" fontId="0" fillId="4" borderId="5" xfId="3" applyFont="1" applyBorder="1" applyAlignment="1">
      <alignment horizontal="center"/>
    </xf>
    <xf numFmtId="0" fontId="0" fillId="4" borderId="6" xfId="3" applyFont="1" applyBorder="1" applyAlignment="1">
      <alignment horizontal="center"/>
    </xf>
    <xf numFmtId="0" fontId="0" fillId="0" borderId="17" xfId="0" applyBorder="1" applyAlignment="1">
      <alignment horizontal="center"/>
    </xf>
    <xf numFmtId="0" fontId="10" fillId="0" borderId="15" xfId="0" applyFont="1" applyBorder="1" applyAlignment="1">
      <alignment horizontal="center" wrapText="1"/>
    </xf>
    <xf numFmtId="0" fontId="10" fillId="0" borderId="19" xfId="0" applyFont="1" applyBorder="1" applyAlignment="1">
      <alignment horizontal="center" wrapText="1"/>
    </xf>
    <xf numFmtId="0" fontId="10" fillId="0" borderId="16" xfId="0" applyFont="1" applyBorder="1" applyAlignment="1">
      <alignment horizontal="center" wrapText="1"/>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0" fontId="10" fillId="0" borderId="0" xfId="0" applyFont="1" applyAlignment="1">
      <alignment horizontal="center" vertical="center"/>
    </xf>
    <xf numFmtId="0" fontId="0" fillId="0" borderId="0" xfId="0" applyAlignment="1">
      <alignment horizontal="center" vertical="center"/>
    </xf>
    <xf numFmtId="164" fontId="7" fillId="3" borderId="1" xfId="2" applyNumberFormat="1" applyAlignment="1">
      <alignment horizontal="center" vertical="center"/>
    </xf>
    <xf numFmtId="9" fontId="7" fillId="3" borderId="1" xfId="2" applyNumberFormat="1" applyAlignment="1">
      <alignment horizontal="center" vertical="center"/>
    </xf>
    <xf numFmtId="0" fontId="3" fillId="0" borderId="16" xfId="0" applyFont="1" applyBorder="1" applyAlignment="1">
      <alignment horizontal="center"/>
    </xf>
    <xf numFmtId="0" fontId="3" fillId="0" borderId="24" xfId="0" applyFont="1" applyBorder="1" applyAlignment="1">
      <alignment horizont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7" fillId="3" borderId="1" xfId="2" applyAlignment="1">
      <alignment horizontal="center" vertical="center"/>
    </xf>
    <xf numFmtId="0" fontId="8" fillId="0" borderId="15" xfId="0" applyFont="1" applyBorder="1" applyAlignment="1">
      <alignment horizontal="center" wrapText="1"/>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10" fontId="11" fillId="0" borderId="16" xfId="1" applyNumberFormat="1" applyFont="1" applyBorder="1" applyAlignment="1">
      <alignment horizontal="center" wrapText="1"/>
    </xf>
    <xf numFmtId="0" fontId="0" fillId="0" borderId="17" xfId="0" applyBorder="1" applyAlignment="1">
      <alignment horizontal="center" vertical="center"/>
    </xf>
    <xf numFmtId="0" fontId="10" fillId="0" borderId="15" xfId="0" applyFont="1" applyBorder="1" applyAlignment="1">
      <alignment horizontal="center" vertical="center"/>
    </xf>
    <xf numFmtId="0" fontId="0" fillId="0" borderId="17" xfId="0" applyFill="1" applyBorder="1" applyAlignment="1">
      <alignment horizontal="center" vertical="center"/>
    </xf>
    <xf numFmtId="0" fontId="10" fillId="0" borderId="15" xfId="0" applyFont="1" applyFill="1" applyBorder="1" applyAlignment="1">
      <alignment horizontal="center" wrapText="1"/>
    </xf>
    <xf numFmtId="0" fontId="10" fillId="0" borderId="19" xfId="0" applyFont="1" applyFill="1" applyBorder="1" applyAlignment="1">
      <alignment horizontal="center" wrapText="1"/>
    </xf>
    <xf numFmtId="0" fontId="10" fillId="0" borderId="16" xfId="0" applyFont="1" applyFill="1" applyBorder="1" applyAlignment="1">
      <alignment horizontal="center" wrapText="1"/>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7" fillId="3" borderId="1" xfId="2" applyAlignment="1">
      <alignment horizontal="center" vertical="center"/>
    </xf>
    <xf numFmtId="0" fontId="10" fillId="0" borderId="19" xfId="0" applyFont="1" applyBorder="1" applyAlignment="1">
      <alignment horizontal="center"/>
    </xf>
    <xf numFmtId="0" fontId="10" fillId="0" borderId="23" xfId="0" applyFont="1" applyBorder="1" applyAlignment="1">
      <alignment horizontal="center"/>
    </xf>
    <xf numFmtId="0" fontId="7" fillId="3" borderId="1" xfId="2" applyAlignment="1">
      <alignment horizontal="center" vertical="center"/>
    </xf>
    <xf numFmtId="0" fontId="13" fillId="0" borderId="27" xfId="4" applyFont="1" applyFill="1" applyBorder="1" applyAlignment="1">
      <alignment horizontal="right" wrapText="1"/>
    </xf>
    <xf numFmtId="164" fontId="1" fillId="0" borderId="0" xfId="1" applyNumberFormat="1" applyFill="1" applyBorder="1" applyAlignment="1">
      <alignment horizontal="center" wrapText="1"/>
    </xf>
    <xf numFmtId="10" fontId="1" fillId="0" borderId="18" xfId="1" applyNumberFormat="1" applyFill="1" applyBorder="1" applyAlignment="1">
      <alignment horizontal="center"/>
    </xf>
    <xf numFmtId="9" fontId="1" fillId="0" borderId="0" xfId="1" applyFill="1" applyBorder="1" applyAlignment="1">
      <alignment horizontal="center"/>
    </xf>
    <xf numFmtId="0" fontId="0" fillId="0" borderId="0" xfId="0" applyFill="1"/>
    <xf numFmtId="0" fontId="5" fillId="0" borderId="0" xfId="0" applyFont="1"/>
    <xf numFmtId="0" fontId="4" fillId="0" borderId="0" xfId="0" applyFont="1"/>
    <xf numFmtId="2" fontId="4" fillId="0" borderId="0" xfId="0" applyNumberFormat="1" applyFont="1"/>
    <xf numFmtId="2" fontId="4" fillId="0" borderId="0" xfId="0" applyNumberFormat="1" applyFont="1" applyFill="1"/>
    <xf numFmtId="2" fontId="0" fillId="0" borderId="0" xfId="0" applyNumberFormat="1"/>
    <xf numFmtId="0" fontId="5" fillId="0" borderId="0" xfId="0" applyFont="1" applyFill="1" applyAlignment="1">
      <alignment horizontal="center" wrapText="1"/>
    </xf>
    <xf numFmtId="0" fontId="10"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xf>
    <xf numFmtId="0" fontId="14" fillId="5" borderId="0" xfId="5" applyAlignment="1">
      <alignment horizontal="center" wrapText="1"/>
    </xf>
    <xf numFmtId="0" fontId="12" fillId="0" borderId="0" xfId="4"/>
    <xf numFmtId="0" fontId="12" fillId="0" borderId="0" xfId="4" applyAlignment="1">
      <alignment wrapText="1"/>
    </xf>
    <xf numFmtId="0" fontId="8" fillId="0" borderId="0" xfId="0" applyFont="1" applyAlignment="1">
      <alignment horizontal="center" wrapText="1"/>
    </xf>
    <xf numFmtId="164" fontId="1" fillId="0" borderId="18" xfId="1" applyNumberFormat="1" applyBorder="1" applyAlignment="1">
      <alignment horizontal="center"/>
    </xf>
    <xf numFmtId="0" fontId="15" fillId="0" borderId="19" xfId="0" applyFont="1" applyBorder="1" applyAlignment="1">
      <alignment horizontal="center" vertical="center"/>
    </xf>
    <xf numFmtId="10" fontId="1" fillId="0" borderId="0" xfId="1" applyNumberFormat="1" applyFont="1" applyBorder="1" applyAlignment="1">
      <alignment horizontal="center" vertical="center"/>
    </xf>
    <xf numFmtId="164" fontId="1" fillId="0" borderId="0" xfId="1" applyNumberFormat="1" applyFont="1" applyBorder="1" applyAlignment="1">
      <alignment horizontal="center"/>
    </xf>
    <xf numFmtId="0" fontId="10" fillId="0" borderId="16" xfId="0" applyFont="1" applyBorder="1" applyAlignment="1">
      <alignment horizontal="center"/>
    </xf>
    <xf numFmtId="0" fontId="0" fillId="0" borderId="18" xfId="0" applyBorder="1"/>
    <xf numFmtId="164" fontId="0" fillId="0" borderId="0" xfId="0" applyNumberFormat="1" applyAlignment="1">
      <alignment horizontal="center"/>
    </xf>
    <xf numFmtId="164" fontId="1" fillId="0" borderId="0" xfId="1" applyNumberFormat="1" applyAlignment="1">
      <alignment horizontal="center"/>
    </xf>
    <xf numFmtId="0" fontId="0" fillId="0" borderId="29" xfId="0" applyBorder="1" applyAlignment="1">
      <alignment horizontal="center"/>
    </xf>
    <xf numFmtId="164" fontId="1" fillId="0" borderId="30" xfId="1" applyNumberFormat="1" applyBorder="1" applyAlignment="1">
      <alignment horizontal="center"/>
    </xf>
    <xf numFmtId="0" fontId="0" fillId="0" borderId="31" xfId="0" applyBorder="1" applyAlignment="1">
      <alignment horizontal="center"/>
    </xf>
    <xf numFmtId="164" fontId="1" fillId="0" borderId="33" xfId="1" applyNumberFormat="1" applyBorder="1" applyAlignment="1">
      <alignment horizontal="center"/>
    </xf>
    <xf numFmtId="0" fontId="10" fillId="0" borderId="32" xfId="0" applyFont="1" applyBorder="1" applyAlignment="1">
      <alignment horizontal="center" vertical="center"/>
    </xf>
    <xf numFmtId="164" fontId="10" fillId="0" borderId="33" xfId="0" applyNumberFormat="1" applyFont="1" applyBorder="1" applyAlignment="1">
      <alignment horizontal="center" vertical="center"/>
    </xf>
    <xf numFmtId="165" fontId="0" fillId="0" borderId="0" xfId="0" applyNumberFormat="1" applyBorder="1" applyAlignment="1">
      <alignment horizontal="center"/>
    </xf>
    <xf numFmtId="165" fontId="0" fillId="0" borderId="32" xfId="0" applyNumberFormat="1" applyBorder="1" applyAlignment="1">
      <alignment horizontal="center"/>
    </xf>
    <xf numFmtId="164" fontId="1" fillId="0" borderId="39" xfId="1" applyNumberFormat="1" applyBorder="1" applyAlignment="1">
      <alignment horizontal="center"/>
    </xf>
    <xf numFmtId="164" fontId="1" fillId="0" borderId="38" xfId="1" applyNumberFormat="1" applyBorder="1" applyAlignment="1">
      <alignment horizontal="center"/>
    </xf>
    <xf numFmtId="164" fontId="0" fillId="0" borderId="28" xfId="0" applyNumberFormat="1" applyBorder="1" applyAlignment="1">
      <alignment horizontal="center"/>
    </xf>
    <xf numFmtId="0" fontId="10" fillId="0" borderId="0" xfId="0" applyFont="1" applyBorder="1" applyAlignment="1"/>
    <xf numFmtId="0" fontId="0" fillId="0" borderId="0" xfId="0" applyBorder="1"/>
    <xf numFmtId="165" fontId="0" fillId="0" borderId="0" xfId="0" applyNumberFormat="1" applyAlignment="1">
      <alignment horizontal="center" vertical="center"/>
    </xf>
    <xf numFmtId="164" fontId="1" fillId="0" borderId="0" xfId="1" applyNumberFormat="1" applyAlignment="1">
      <alignment horizontal="center" vertical="center"/>
    </xf>
    <xf numFmtId="165" fontId="0" fillId="0" borderId="0" xfId="0" applyNumberFormat="1"/>
    <xf numFmtId="49" fontId="0" fillId="0" borderId="0" xfId="0" applyNumberFormat="1" applyBorder="1" applyAlignment="1">
      <alignment horizontal="center"/>
    </xf>
    <xf numFmtId="49" fontId="0" fillId="0" borderId="0" xfId="0" applyNumberFormat="1" applyAlignment="1">
      <alignment horizontal="center"/>
    </xf>
    <xf numFmtId="0" fontId="10" fillId="0" borderId="0" xfId="0" applyFont="1" applyBorder="1" applyAlignment="1">
      <alignment horizontal="center" vertical="center"/>
    </xf>
    <xf numFmtId="0" fontId="0" fillId="0" borderId="0" xfId="0" applyBorder="1" applyAlignment="1">
      <alignment horizontal="center"/>
    </xf>
    <xf numFmtId="0" fontId="16" fillId="0" borderId="0" xfId="0" applyFont="1"/>
    <xf numFmtId="164" fontId="5" fillId="0" borderId="0" xfId="0" applyNumberFormat="1" applyFont="1" applyBorder="1" applyAlignment="1">
      <alignment horizontal="center"/>
    </xf>
    <xf numFmtId="0" fontId="10" fillId="0" borderId="0" xfId="0" applyFont="1" applyBorder="1" applyAlignment="1">
      <alignment vertical="center"/>
    </xf>
    <xf numFmtId="164" fontId="10" fillId="0" borderId="0" xfId="0" applyNumberFormat="1" applyFont="1" applyBorder="1" applyAlignment="1">
      <alignment horizontal="center" vertical="center"/>
    </xf>
    <xf numFmtId="0" fontId="0" fillId="0" borderId="0" xfId="0" applyNumberFormat="1" applyBorder="1" applyAlignment="1">
      <alignment horizontal="center"/>
    </xf>
    <xf numFmtId="0" fontId="3" fillId="4" borderId="3" xfId="3" applyFont="1" applyBorder="1" applyAlignment="1">
      <alignment horizontal="left" vertical="top" wrapText="1"/>
    </xf>
    <xf numFmtId="0" fontId="0" fillId="4" borderId="4" xfId="3" applyFont="1" applyBorder="1" applyAlignment="1">
      <alignment horizontal="left" vertical="top" wrapText="1"/>
    </xf>
    <xf numFmtId="0" fontId="0" fillId="4" borderId="5" xfId="3" applyFont="1" applyBorder="1" applyAlignment="1">
      <alignment horizontal="left" vertical="top" wrapText="1"/>
    </xf>
    <xf numFmtId="0" fontId="0" fillId="4" borderId="6" xfId="3" applyFont="1" applyBorder="1" applyAlignment="1">
      <alignment horizontal="left" vertical="top" wrapText="1"/>
    </xf>
    <xf numFmtId="0" fontId="0" fillId="4" borderId="25" xfId="3" applyFont="1" applyBorder="1" applyAlignment="1">
      <alignment horizontal="left" vertical="top" wrapText="1"/>
    </xf>
    <xf numFmtId="0" fontId="0" fillId="4" borderId="26" xfId="3" applyFont="1" applyBorder="1" applyAlignment="1">
      <alignment horizontal="left" vertical="top" wrapText="1"/>
    </xf>
    <xf numFmtId="0" fontId="7" fillId="3" borderId="20" xfId="2" applyBorder="1" applyAlignment="1">
      <alignment horizontal="center" vertical="center"/>
    </xf>
    <xf numFmtId="0" fontId="7" fillId="3" borderId="21" xfId="2" applyBorder="1" applyAlignment="1">
      <alignment horizontal="center" vertical="center"/>
    </xf>
    <xf numFmtId="0" fontId="7" fillId="3" borderId="1" xfId="2" applyAlignment="1">
      <alignment horizontal="center" vertical="center"/>
    </xf>
    <xf numFmtId="0" fontId="0" fillId="4" borderId="7" xfId="3" applyFont="1" applyBorder="1" applyAlignment="1">
      <alignment horizontal="center" vertical="center"/>
    </xf>
    <xf numFmtId="0" fontId="0" fillId="4" borderId="9" xfId="3" applyFont="1" applyBorder="1" applyAlignment="1">
      <alignment horizontal="center" vertical="center"/>
    </xf>
    <xf numFmtId="0" fontId="0" fillId="4" borderId="13" xfId="3" applyFont="1" applyBorder="1" applyAlignment="1">
      <alignment horizontal="center" vertical="center"/>
    </xf>
    <xf numFmtId="0" fontId="9" fillId="4" borderId="8" xfId="3" applyFont="1" applyBorder="1" applyAlignment="1">
      <alignment horizontal="center" vertical="center" wrapText="1"/>
    </xf>
    <xf numFmtId="0" fontId="9" fillId="4" borderId="10" xfId="3" applyFont="1" applyBorder="1" applyAlignment="1">
      <alignment horizontal="center" vertical="center" wrapText="1"/>
    </xf>
    <xf numFmtId="0" fontId="9" fillId="4" borderId="14" xfId="3" applyFont="1" applyBorder="1" applyAlignment="1">
      <alignment horizontal="center" vertical="center" wrapText="1"/>
    </xf>
    <xf numFmtId="0" fontId="0" fillId="4" borderId="11" xfId="3" applyFont="1" applyBorder="1" applyAlignment="1">
      <alignment horizontal="center" vertical="center"/>
    </xf>
    <xf numFmtId="0" fontId="9" fillId="4" borderId="12" xfId="3" applyFont="1" applyBorder="1" applyAlignment="1">
      <alignment horizontal="center" vertical="center" wrapText="1"/>
    </xf>
    <xf numFmtId="0" fontId="9" fillId="4" borderId="15" xfId="3" applyFont="1" applyBorder="1" applyAlignment="1">
      <alignment horizontal="center" vertical="center" wrapText="1"/>
    </xf>
    <xf numFmtId="0" fontId="9" fillId="4" borderId="16" xfId="3" applyFont="1" applyBorder="1" applyAlignment="1">
      <alignment horizontal="center" vertical="center" wrapText="1"/>
    </xf>
    <xf numFmtId="0" fontId="9" fillId="4" borderId="17" xfId="3" applyFont="1" applyBorder="1" applyAlignment="1">
      <alignment horizontal="center" vertical="center" wrapText="1"/>
    </xf>
    <xf numFmtId="0" fontId="9" fillId="4" borderId="18" xfId="3" applyFont="1" applyBorder="1" applyAlignment="1">
      <alignment horizontal="center" vertical="center" wrapText="1"/>
    </xf>
    <xf numFmtId="0" fontId="9" fillId="4" borderId="22" xfId="3" applyFont="1" applyBorder="1" applyAlignment="1">
      <alignment horizontal="center" vertical="center" wrapText="1"/>
    </xf>
    <xf numFmtId="0" fontId="9" fillId="4" borderId="24" xfId="3" applyFont="1" applyBorder="1" applyAlignment="1">
      <alignment horizontal="center" vertical="center" wrapText="1"/>
    </xf>
    <xf numFmtId="0" fontId="10" fillId="0" borderId="0" xfId="0" applyFont="1" applyBorder="1" applyAlignment="1">
      <alignment horizont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29" xfId="0" applyFont="1" applyBorder="1" applyAlignment="1">
      <alignment horizontal="center" vertical="center"/>
    </xf>
    <xf numFmtId="0" fontId="10" fillId="0" borderId="31" xfId="0" applyFont="1" applyBorder="1" applyAlignment="1">
      <alignment horizontal="center" vertical="center"/>
    </xf>
    <xf numFmtId="0" fontId="10" fillId="0" borderId="0" xfId="0" applyFont="1" applyBorder="1" applyAlignment="1">
      <alignment horizontal="center" vertical="center"/>
    </xf>
    <xf numFmtId="0" fontId="10" fillId="0" borderId="3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xf>
    <xf numFmtId="0" fontId="0" fillId="0" borderId="0" xfId="0" applyNumberFormat="1" applyAlignment="1">
      <alignment horizontal="center"/>
    </xf>
  </cellXfs>
  <cellStyles count="6">
    <cellStyle name="Bad" xfId="5" builtinId="27"/>
    <cellStyle name="Normal" xfId="0" builtinId="0"/>
    <cellStyle name="Note" xfId="3" builtinId="10"/>
    <cellStyle name="Output" xfId="2" builtinId="21"/>
    <cellStyle name="Percent" xfId="1" builtinId="5"/>
    <cellStyle name="Standard_kri" xfId="4" xr:uid="{00000000-0005-0000-0000-000005000000}"/>
  </cellStyles>
  <dxfs count="25">
    <dxf>
      <font>
        <color rgb="FF9C0006"/>
      </font>
      <fill>
        <patternFill>
          <bgColor rgb="FFFFC7CE"/>
        </patternFill>
      </fill>
    </dxf>
    <dxf>
      <font>
        <color rgb="FF9C0006"/>
      </font>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Dice evaluation per patient MR segmentation model</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barChart>
        <c:barDir val="col"/>
        <c:grouping val="clustered"/>
        <c:varyColors val="0"/>
        <c:ser>
          <c:idx val="0"/>
          <c:order val="0"/>
          <c:tx>
            <c:strRef>
              <c:f>'nn-mri-only'!$J$3:$J$4</c:f>
              <c:strCache>
                <c:ptCount val="2"/>
                <c:pt idx="0">
                  <c:v>Dice</c:v>
                </c:pt>
              </c:strCache>
            </c:strRef>
          </c:tx>
          <c:spPr>
            <a:solidFill>
              <a:schemeClr val="accent6">
                <a:lumMod val="40000"/>
                <a:lumOff val="60000"/>
              </a:schemeClr>
            </a:solidFill>
            <a:ln>
              <a:solidFill>
                <a:schemeClr val="tx1"/>
              </a:solidFill>
            </a:ln>
            <a:effectLst/>
          </c:spPr>
          <c:invertIfNegative val="0"/>
          <c:dLbls>
            <c:numFmt formatCode="#,##0.00" sourceLinked="0"/>
            <c:spPr>
              <a:noFill/>
              <a:ln>
                <a:noFill/>
              </a:ln>
              <a:effectLst/>
            </c:spPr>
            <c:txPr>
              <a:bodyPr rot="-540000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'nn-mri-only'!$I$5:$I$58</c:f>
              <c:numCache>
                <c:formatCode>General</c:formatCode>
                <c:ptCount val="54"/>
                <c:pt idx="0">
                  <c:v>6</c:v>
                </c:pt>
                <c:pt idx="1">
                  <c:v>7</c:v>
                </c:pt>
                <c:pt idx="2">
                  <c:v>8</c:v>
                </c:pt>
                <c:pt idx="3">
                  <c:v>10</c:v>
                </c:pt>
                <c:pt idx="4">
                  <c:v>11</c:v>
                </c:pt>
                <c:pt idx="5">
                  <c:v>13</c:v>
                </c:pt>
                <c:pt idx="6">
                  <c:v>20</c:v>
                </c:pt>
                <c:pt idx="7">
                  <c:v>21</c:v>
                </c:pt>
                <c:pt idx="8">
                  <c:v>22</c:v>
                </c:pt>
                <c:pt idx="9">
                  <c:v>23</c:v>
                </c:pt>
                <c:pt idx="10">
                  <c:v>25</c:v>
                </c:pt>
                <c:pt idx="11">
                  <c:v>26</c:v>
                </c:pt>
                <c:pt idx="12">
                  <c:v>28</c:v>
                </c:pt>
                <c:pt idx="13">
                  <c:v>30</c:v>
                </c:pt>
                <c:pt idx="14">
                  <c:v>34</c:v>
                </c:pt>
                <c:pt idx="15">
                  <c:v>36</c:v>
                </c:pt>
                <c:pt idx="16">
                  <c:v>37</c:v>
                </c:pt>
                <c:pt idx="17">
                  <c:v>40</c:v>
                </c:pt>
                <c:pt idx="18">
                  <c:v>41</c:v>
                </c:pt>
                <c:pt idx="19">
                  <c:v>42</c:v>
                </c:pt>
                <c:pt idx="20">
                  <c:v>46</c:v>
                </c:pt>
                <c:pt idx="21">
                  <c:v>49</c:v>
                </c:pt>
                <c:pt idx="22">
                  <c:v>50</c:v>
                </c:pt>
                <c:pt idx="23">
                  <c:v>55</c:v>
                </c:pt>
                <c:pt idx="24">
                  <c:v>56</c:v>
                </c:pt>
                <c:pt idx="25">
                  <c:v>62</c:v>
                </c:pt>
                <c:pt idx="26">
                  <c:v>66</c:v>
                </c:pt>
                <c:pt idx="27">
                  <c:v>67</c:v>
                </c:pt>
                <c:pt idx="28">
                  <c:v>69</c:v>
                </c:pt>
                <c:pt idx="29">
                  <c:v>70</c:v>
                </c:pt>
                <c:pt idx="30">
                  <c:v>71</c:v>
                </c:pt>
                <c:pt idx="31">
                  <c:v>74</c:v>
                </c:pt>
                <c:pt idx="32">
                  <c:v>75</c:v>
                </c:pt>
                <c:pt idx="33">
                  <c:v>78</c:v>
                </c:pt>
                <c:pt idx="34">
                  <c:v>79</c:v>
                </c:pt>
                <c:pt idx="35">
                  <c:v>80</c:v>
                </c:pt>
                <c:pt idx="36">
                  <c:v>81</c:v>
                </c:pt>
                <c:pt idx="37">
                  <c:v>82</c:v>
                </c:pt>
                <c:pt idx="38">
                  <c:v>83</c:v>
                </c:pt>
                <c:pt idx="39">
                  <c:v>86</c:v>
                </c:pt>
                <c:pt idx="40">
                  <c:v>88</c:v>
                </c:pt>
                <c:pt idx="41">
                  <c:v>90</c:v>
                </c:pt>
                <c:pt idx="42">
                  <c:v>91</c:v>
                </c:pt>
                <c:pt idx="43">
                  <c:v>92</c:v>
                </c:pt>
                <c:pt idx="44">
                  <c:v>93</c:v>
                </c:pt>
                <c:pt idx="45">
                  <c:v>94</c:v>
                </c:pt>
                <c:pt idx="46">
                  <c:v>95</c:v>
                </c:pt>
                <c:pt idx="47">
                  <c:v>96</c:v>
                </c:pt>
                <c:pt idx="48">
                  <c:v>97</c:v>
                </c:pt>
                <c:pt idx="49">
                  <c:v>98</c:v>
                </c:pt>
                <c:pt idx="50">
                  <c:v>99</c:v>
                </c:pt>
                <c:pt idx="51">
                  <c:v>100</c:v>
                </c:pt>
                <c:pt idx="52">
                  <c:v>102</c:v>
                </c:pt>
                <c:pt idx="53">
                  <c:v>103</c:v>
                </c:pt>
              </c:numCache>
            </c:numRef>
          </c:cat>
          <c:val>
            <c:numRef>
              <c:f>'nn-mri-only'!$J$5:$J$58</c:f>
              <c:numCache>
                <c:formatCode>0.0%</c:formatCode>
                <c:ptCount val="54"/>
                <c:pt idx="0">
                  <c:v>0.94766400000000006</c:v>
                </c:pt>
                <c:pt idx="1">
                  <c:v>0.869174</c:v>
                </c:pt>
                <c:pt idx="2">
                  <c:v>0.88927000000000012</c:v>
                </c:pt>
                <c:pt idx="3">
                  <c:v>0.93800700000000004</c:v>
                </c:pt>
                <c:pt idx="4">
                  <c:v>0.92682699999999996</c:v>
                </c:pt>
                <c:pt idx="5">
                  <c:v>0.87819199999999997</c:v>
                </c:pt>
                <c:pt idx="6">
                  <c:v>0.92710000000000004</c:v>
                </c:pt>
                <c:pt idx="7">
                  <c:v>0.90654899999999994</c:v>
                </c:pt>
                <c:pt idx="8">
                  <c:v>0.9077639999999999</c:v>
                </c:pt>
                <c:pt idx="9">
                  <c:v>0.88949999999999996</c:v>
                </c:pt>
                <c:pt idx="10">
                  <c:v>0.89823600000000003</c:v>
                </c:pt>
                <c:pt idx="11">
                  <c:v>0.94722499999999998</c:v>
                </c:pt>
                <c:pt idx="12">
                  <c:v>0.93720000000000003</c:v>
                </c:pt>
                <c:pt idx="13">
                  <c:v>0.94917799999999997</c:v>
                </c:pt>
                <c:pt idx="14">
                  <c:v>0.93512600000000001</c:v>
                </c:pt>
                <c:pt idx="15">
                  <c:v>0.93354100000000007</c:v>
                </c:pt>
                <c:pt idx="16">
                  <c:v>0.91717899999999997</c:v>
                </c:pt>
                <c:pt idx="17">
                  <c:v>0.93373500000000009</c:v>
                </c:pt>
                <c:pt idx="18">
                  <c:v>0.92842200000000008</c:v>
                </c:pt>
                <c:pt idx="19">
                  <c:v>0.88900000000000001</c:v>
                </c:pt>
                <c:pt idx="20">
                  <c:v>0.93404100000000001</c:v>
                </c:pt>
                <c:pt idx="21">
                  <c:v>0.94564599999999999</c:v>
                </c:pt>
                <c:pt idx="22">
                  <c:v>0.94772800000000001</c:v>
                </c:pt>
                <c:pt idx="23">
                  <c:v>0.948631</c:v>
                </c:pt>
                <c:pt idx="24">
                  <c:v>0.88887299999999991</c:v>
                </c:pt>
                <c:pt idx="25">
                  <c:v>0.92215800000000003</c:v>
                </c:pt>
                <c:pt idx="26">
                  <c:v>0.94334699999999994</c:v>
                </c:pt>
                <c:pt idx="27">
                  <c:v>0.89288100000000004</c:v>
                </c:pt>
                <c:pt idx="28">
                  <c:v>0.93168499999999999</c:v>
                </c:pt>
                <c:pt idx="29">
                  <c:v>0.95642899999999997</c:v>
                </c:pt>
                <c:pt idx="30">
                  <c:v>0.90966199999999997</c:v>
                </c:pt>
                <c:pt idx="31">
                  <c:v>0.886463</c:v>
                </c:pt>
                <c:pt idx="32">
                  <c:v>0.94224299999999994</c:v>
                </c:pt>
                <c:pt idx="33">
                  <c:v>0.90231300000000003</c:v>
                </c:pt>
                <c:pt idx="34">
                  <c:v>0.92179800000000001</c:v>
                </c:pt>
                <c:pt idx="35">
                  <c:v>0.85251699999999997</c:v>
                </c:pt>
                <c:pt idx="36">
                  <c:v>0.90825699999999998</c:v>
                </c:pt>
                <c:pt idx="37">
                  <c:v>0.87204300000000001</c:v>
                </c:pt>
                <c:pt idx="38">
                  <c:v>0.93339499999999997</c:v>
                </c:pt>
                <c:pt idx="39">
                  <c:v>0.92452000000000001</c:v>
                </c:pt>
                <c:pt idx="40">
                  <c:v>0.92738399999999999</c:v>
                </c:pt>
                <c:pt idx="41">
                  <c:v>0.93768799999999997</c:v>
                </c:pt>
                <c:pt idx="42">
                  <c:v>0.95343199999999995</c:v>
                </c:pt>
                <c:pt idx="43">
                  <c:v>0.91617900000000008</c:v>
                </c:pt>
                <c:pt idx="44">
                  <c:v>0.92351399999999995</c:v>
                </c:pt>
                <c:pt idx="45">
                  <c:v>0.95493899999999998</c:v>
                </c:pt>
                <c:pt idx="46">
                  <c:v>0.92559000000000002</c:v>
                </c:pt>
                <c:pt idx="47">
                  <c:v>0.86399199999999998</c:v>
                </c:pt>
                <c:pt idx="48">
                  <c:v>0.93153400000000008</c:v>
                </c:pt>
                <c:pt idx="49">
                  <c:v>0.88061400000000001</c:v>
                </c:pt>
                <c:pt idx="50">
                  <c:v>0.93696600000000008</c:v>
                </c:pt>
                <c:pt idx="51">
                  <c:v>0.94909999999999994</c:v>
                </c:pt>
                <c:pt idx="52">
                  <c:v>0.80160799999999999</c:v>
                </c:pt>
                <c:pt idx="53">
                  <c:v>0.93269499999999994</c:v>
                </c:pt>
              </c:numCache>
            </c:numRef>
          </c:val>
          <c:extLst>
            <c:ext xmlns:c16="http://schemas.microsoft.com/office/drawing/2014/chart" uri="{C3380CC4-5D6E-409C-BE32-E72D297353CC}">
              <c16:uniqueId val="{00000003-CEA4-4309-954C-E2D1DE2F1A1E}"/>
            </c:ext>
          </c:extLst>
        </c:ser>
        <c:dLbls>
          <c:dLblPos val="inBase"/>
          <c:showLegendKey val="0"/>
          <c:showVal val="1"/>
          <c:showCatName val="0"/>
          <c:showSerName val="0"/>
          <c:showPercent val="0"/>
          <c:showBubbleSize val="0"/>
        </c:dLbls>
        <c:gapWidth val="69"/>
        <c:overlap val="-27"/>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a:t>Patient</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a:t>Dice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Volume error per patient MR segmentation model</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barChart>
        <c:barDir val="col"/>
        <c:grouping val="clustered"/>
        <c:varyColors val="0"/>
        <c:ser>
          <c:idx val="0"/>
          <c:order val="0"/>
          <c:tx>
            <c:strRef>
              <c:f>'nn-mri-only'!$F$4</c:f>
              <c:strCache>
                <c:ptCount val="1"/>
                <c:pt idx="0">
                  <c:v>Error</c:v>
                </c:pt>
              </c:strCache>
            </c:strRef>
          </c:tx>
          <c:spPr>
            <a:solidFill>
              <a:schemeClr val="accent4">
                <a:lumMod val="40000"/>
                <a:lumOff val="60000"/>
              </a:schemeClr>
            </a:solidFill>
            <a:ln>
              <a:solidFill>
                <a:schemeClr val="tx1"/>
              </a:solidFill>
            </a:ln>
            <a:effectLst/>
          </c:spPr>
          <c:invertIfNegative val="0"/>
          <c:dLbls>
            <c:numFmt formatCode="#,##0.00" sourceLinked="0"/>
            <c:spPr>
              <a:noFill/>
              <a:ln>
                <a:noFill/>
              </a:ln>
              <a:effectLst/>
            </c:spPr>
            <c:txPr>
              <a:bodyPr rot="-540000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'nn-mri-only'!$I$5:$I$58</c:f>
              <c:numCache>
                <c:formatCode>General</c:formatCode>
                <c:ptCount val="54"/>
                <c:pt idx="0">
                  <c:v>6</c:v>
                </c:pt>
                <c:pt idx="1">
                  <c:v>7</c:v>
                </c:pt>
                <c:pt idx="2">
                  <c:v>8</c:v>
                </c:pt>
                <c:pt idx="3">
                  <c:v>10</c:v>
                </c:pt>
                <c:pt idx="4">
                  <c:v>11</c:v>
                </c:pt>
                <c:pt idx="5">
                  <c:v>13</c:v>
                </c:pt>
                <c:pt idx="6">
                  <c:v>20</c:v>
                </c:pt>
                <c:pt idx="7">
                  <c:v>21</c:v>
                </c:pt>
                <c:pt idx="8">
                  <c:v>22</c:v>
                </c:pt>
                <c:pt idx="9">
                  <c:v>23</c:v>
                </c:pt>
                <c:pt idx="10">
                  <c:v>25</c:v>
                </c:pt>
                <c:pt idx="11">
                  <c:v>26</c:v>
                </c:pt>
                <c:pt idx="12">
                  <c:v>28</c:v>
                </c:pt>
                <c:pt idx="13">
                  <c:v>30</c:v>
                </c:pt>
                <c:pt idx="14">
                  <c:v>34</c:v>
                </c:pt>
                <c:pt idx="15">
                  <c:v>36</c:v>
                </c:pt>
                <c:pt idx="16">
                  <c:v>37</c:v>
                </c:pt>
                <c:pt idx="17">
                  <c:v>40</c:v>
                </c:pt>
                <c:pt idx="18">
                  <c:v>41</c:v>
                </c:pt>
                <c:pt idx="19">
                  <c:v>42</c:v>
                </c:pt>
                <c:pt idx="20">
                  <c:v>46</c:v>
                </c:pt>
                <c:pt idx="21">
                  <c:v>49</c:v>
                </c:pt>
                <c:pt idx="22">
                  <c:v>50</c:v>
                </c:pt>
                <c:pt idx="23">
                  <c:v>55</c:v>
                </c:pt>
                <c:pt idx="24">
                  <c:v>56</c:v>
                </c:pt>
                <c:pt idx="25">
                  <c:v>62</c:v>
                </c:pt>
                <c:pt idx="26">
                  <c:v>66</c:v>
                </c:pt>
                <c:pt idx="27">
                  <c:v>67</c:v>
                </c:pt>
                <c:pt idx="28">
                  <c:v>69</c:v>
                </c:pt>
                <c:pt idx="29">
                  <c:v>70</c:v>
                </c:pt>
                <c:pt idx="30">
                  <c:v>71</c:v>
                </c:pt>
                <c:pt idx="31">
                  <c:v>74</c:v>
                </c:pt>
                <c:pt idx="32">
                  <c:v>75</c:v>
                </c:pt>
                <c:pt idx="33">
                  <c:v>78</c:v>
                </c:pt>
                <c:pt idx="34">
                  <c:v>79</c:v>
                </c:pt>
                <c:pt idx="35">
                  <c:v>80</c:v>
                </c:pt>
                <c:pt idx="36">
                  <c:v>81</c:v>
                </c:pt>
                <c:pt idx="37">
                  <c:v>82</c:v>
                </c:pt>
                <c:pt idx="38">
                  <c:v>83</c:v>
                </c:pt>
                <c:pt idx="39">
                  <c:v>86</c:v>
                </c:pt>
                <c:pt idx="40">
                  <c:v>88</c:v>
                </c:pt>
                <c:pt idx="41">
                  <c:v>90</c:v>
                </c:pt>
                <c:pt idx="42">
                  <c:v>91</c:v>
                </c:pt>
                <c:pt idx="43">
                  <c:v>92</c:v>
                </c:pt>
                <c:pt idx="44">
                  <c:v>93</c:v>
                </c:pt>
                <c:pt idx="45">
                  <c:v>94</c:v>
                </c:pt>
                <c:pt idx="46">
                  <c:v>95</c:v>
                </c:pt>
                <c:pt idx="47">
                  <c:v>96</c:v>
                </c:pt>
                <c:pt idx="48">
                  <c:v>97</c:v>
                </c:pt>
                <c:pt idx="49">
                  <c:v>98</c:v>
                </c:pt>
                <c:pt idx="50">
                  <c:v>99</c:v>
                </c:pt>
                <c:pt idx="51">
                  <c:v>100</c:v>
                </c:pt>
                <c:pt idx="52">
                  <c:v>102</c:v>
                </c:pt>
                <c:pt idx="53">
                  <c:v>103</c:v>
                </c:pt>
              </c:numCache>
            </c:numRef>
          </c:cat>
          <c:val>
            <c:numRef>
              <c:f>'nn-mri-only'!$F$5:$F$58</c:f>
              <c:numCache>
                <c:formatCode>0.0%</c:formatCode>
                <c:ptCount val="54"/>
                <c:pt idx="0">
                  <c:v>1.2247591395011182E-2</c:v>
                </c:pt>
                <c:pt idx="1">
                  <c:v>0.13839379798283918</c:v>
                </c:pt>
                <c:pt idx="2">
                  <c:v>2.7546259050683836E-2</c:v>
                </c:pt>
                <c:pt idx="3">
                  <c:v>6.0375939849623859E-3</c:v>
                </c:pt>
                <c:pt idx="4">
                  <c:v>3.5530307920728144E-2</c:v>
                </c:pt>
                <c:pt idx="5">
                  <c:v>9.1525967772998609E-2</c:v>
                </c:pt>
                <c:pt idx="6">
                  <c:v>8.0445989689484736E-3</c:v>
                </c:pt>
                <c:pt idx="7">
                  <c:v>7.5175097276264591E-2</c:v>
                </c:pt>
                <c:pt idx="8">
                  <c:v>8.4302617425600537E-2</c:v>
                </c:pt>
                <c:pt idx="9">
                  <c:v>2.044508950169327E-2</c:v>
                </c:pt>
                <c:pt idx="10">
                  <c:v>9.0945744587606264E-2</c:v>
                </c:pt>
                <c:pt idx="11">
                  <c:v>2.9052731078252788E-2</c:v>
                </c:pt>
                <c:pt idx="12">
                  <c:v>6.231139816824597E-2</c:v>
                </c:pt>
                <c:pt idx="13">
                  <c:v>2.0343753141019206E-2</c:v>
                </c:pt>
                <c:pt idx="14">
                  <c:v>3.2527421597404703E-2</c:v>
                </c:pt>
                <c:pt idx="15">
                  <c:v>4.35641701166729E-2</c:v>
                </c:pt>
                <c:pt idx="16">
                  <c:v>3.7152179266190535E-2</c:v>
                </c:pt>
                <c:pt idx="17">
                  <c:v>3.4980018705892443E-2</c:v>
                </c:pt>
                <c:pt idx="18">
                  <c:v>6.4215510723807295E-2</c:v>
                </c:pt>
                <c:pt idx="19">
                  <c:v>1.6E-2</c:v>
                </c:pt>
                <c:pt idx="20">
                  <c:v>3.567562996786746E-2</c:v>
                </c:pt>
                <c:pt idx="21">
                  <c:v>4.1053717368880437E-2</c:v>
                </c:pt>
                <c:pt idx="22">
                  <c:v>1.6193279036342382E-2</c:v>
                </c:pt>
                <c:pt idx="23">
                  <c:v>3.950253561941558E-2</c:v>
                </c:pt>
                <c:pt idx="24">
                  <c:v>0.12254020449057197</c:v>
                </c:pt>
                <c:pt idx="25">
                  <c:v>4.447919172480156E-2</c:v>
                </c:pt>
                <c:pt idx="26">
                  <c:v>4.2199150164355E-2</c:v>
                </c:pt>
                <c:pt idx="27">
                  <c:v>0.15976326322064219</c:v>
                </c:pt>
                <c:pt idx="28">
                  <c:v>2.061355710549255E-2</c:v>
                </c:pt>
                <c:pt idx="29">
                  <c:v>7.0606829124857714E-3</c:v>
                </c:pt>
                <c:pt idx="30">
                  <c:v>1.4179383952813391E-2</c:v>
                </c:pt>
                <c:pt idx="31">
                  <c:v>0.10089332632685238</c:v>
                </c:pt>
                <c:pt idx="32">
                  <c:v>1.2027190738995754E-2</c:v>
                </c:pt>
                <c:pt idx="33">
                  <c:v>1.5202131475124288E-2</c:v>
                </c:pt>
                <c:pt idx="34">
                  <c:v>5.4552667195594498E-2</c:v>
                </c:pt>
                <c:pt idx="35">
                  <c:v>0.13244968687298603</c:v>
                </c:pt>
                <c:pt idx="36">
                  <c:v>0.12210887002569909</c:v>
                </c:pt>
                <c:pt idx="37">
                  <c:v>0.11822124103130179</c:v>
                </c:pt>
                <c:pt idx="38">
                  <c:v>6.4816046666325455E-2</c:v>
                </c:pt>
                <c:pt idx="39">
                  <c:v>2.3779284304470984E-2</c:v>
                </c:pt>
                <c:pt idx="40">
                  <c:v>9.3960936377998263E-3</c:v>
                </c:pt>
                <c:pt idx="41">
                  <c:v>1.4993566683297104E-2</c:v>
                </c:pt>
                <c:pt idx="42">
                  <c:v>2.6547224436705399E-2</c:v>
                </c:pt>
                <c:pt idx="43">
                  <c:v>4.5616431160371985E-2</c:v>
                </c:pt>
                <c:pt idx="44">
                  <c:v>4.1156336036907465E-2</c:v>
                </c:pt>
                <c:pt idx="45">
                  <c:v>3.0083218370344973E-3</c:v>
                </c:pt>
                <c:pt idx="46">
                  <c:v>2.7080668294763008E-2</c:v>
                </c:pt>
                <c:pt idx="47">
                  <c:v>8.7590967465753455E-2</c:v>
                </c:pt>
                <c:pt idx="48">
                  <c:v>4.3460933403251238E-2</c:v>
                </c:pt>
                <c:pt idx="49">
                  <c:v>4.2312165619911558E-2</c:v>
                </c:pt>
                <c:pt idx="50">
                  <c:v>5.6168687494468461E-2</c:v>
                </c:pt>
                <c:pt idx="51">
                  <c:v>1.7578794672293192E-2</c:v>
                </c:pt>
                <c:pt idx="52">
                  <c:v>0.36546515619636111</c:v>
                </c:pt>
                <c:pt idx="53">
                  <c:v>2.5313614915410294E-2</c:v>
                </c:pt>
              </c:numCache>
            </c:numRef>
          </c:val>
          <c:extLst>
            <c:ext xmlns:c16="http://schemas.microsoft.com/office/drawing/2014/chart" uri="{C3380CC4-5D6E-409C-BE32-E72D297353CC}">
              <c16:uniqueId val="{00000000-1322-4E04-ABCA-DD8F25BA9424}"/>
            </c:ext>
          </c:extLst>
        </c:ser>
        <c:dLbls>
          <c:dLblPos val="inBase"/>
          <c:showLegendKey val="0"/>
          <c:showVal val="1"/>
          <c:showCatName val="0"/>
          <c:showSerName val="0"/>
          <c:showPercent val="0"/>
          <c:showBubbleSize val="0"/>
        </c:dLbls>
        <c:gapWidth val="69"/>
        <c:overlap val="-27"/>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a:t>Patient</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max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a:t>Volume error</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2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sz="1400" b="0" i="0" u="none" strike="noStrike" baseline="0">
                <a:effectLst/>
              </a:rPr>
              <a:t>Volume measurement </a:t>
            </a:r>
            <a:r>
              <a:rPr lang="en-US"/>
              <a:t>per patient lowdose</a:t>
            </a:r>
            <a:r>
              <a:rPr lang="en-US" baseline="0"/>
              <a:t> segmentation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manualLayout>
          <c:layoutTarget val="inner"/>
          <c:xMode val="edge"/>
          <c:yMode val="edge"/>
          <c:x val="5.7688716972738273E-2"/>
          <c:y val="0.14907086614173229"/>
          <c:w val="0.93550694671838552"/>
          <c:h val="0.67879392348683687"/>
        </c:manualLayout>
      </c:layout>
      <c:barChart>
        <c:barDir val="col"/>
        <c:grouping val="clustered"/>
        <c:varyColors val="0"/>
        <c:ser>
          <c:idx val="0"/>
          <c:order val="0"/>
          <c:tx>
            <c:strRef>
              <c:f>'nn-mri-only'!$D$4</c:f>
              <c:strCache>
                <c:ptCount val="1"/>
                <c:pt idx="0">
                  <c:v>Radiologist</c:v>
                </c:pt>
              </c:strCache>
            </c:strRef>
          </c:tx>
          <c:spPr>
            <a:solidFill>
              <a:schemeClr val="accent1">
                <a:lumMod val="40000"/>
                <a:lumOff val="60000"/>
              </a:schemeClr>
            </a:solidFill>
            <a:ln>
              <a:solidFill>
                <a:schemeClr val="tx1"/>
              </a:solidFill>
            </a:ln>
            <a:effectLst/>
          </c:spPr>
          <c:invertIfNegative val="0"/>
          <c:cat>
            <c:numRef>
              <c:f>'nn-mri-only'!$I$5:$I$58</c:f>
              <c:numCache>
                <c:formatCode>General</c:formatCode>
                <c:ptCount val="54"/>
                <c:pt idx="0">
                  <c:v>6</c:v>
                </c:pt>
                <c:pt idx="1">
                  <c:v>7</c:v>
                </c:pt>
                <c:pt idx="2">
                  <c:v>8</c:v>
                </c:pt>
                <c:pt idx="3">
                  <c:v>10</c:v>
                </c:pt>
                <c:pt idx="4">
                  <c:v>11</c:v>
                </c:pt>
                <c:pt idx="5">
                  <c:v>13</c:v>
                </c:pt>
                <c:pt idx="6">
                  <c:v>20</c:v>
                </c:pt>
                <c:pt idx="7">
                  <c:v>21</c:v>
                </c:pt>
                <c:pt idx="8">
                  <c:v>22</c:v>
                </c:pt>
                <c:pt idx="9">
                  <c:v>23</c:v>
                </c:pt>
                <c:pt idx="10">
                  <c:v>25</c:v>
                </c:pt>
                <c:pt idx="11">
                  <c:v>26</c:v>
                </c:pt>
                <c:pt idx="12">
                  <c:v>28</c:v>
                </c:pt>
                <c:pt idx="13">
                  <c:v>30</c:v>
                </c:pt>
                <c:pt idx="14">
                  <c:v>34</c:v>
                </c:pt>
                <c:pt idx="15">
                  <c:v>36</c:v>
                </c:pt>
                <c:pt idx="16">
                  <c:v>37</c:v>
                </c:pt>
                <c:pt idx="17">
                  <c:v>40</c:v>
                </c:pt>
                <c:pt idx="18">
                  <c:v>41</c:v>
                </c:pt>
                <c:pt idx="19">
                  <c:v>42</c:v>
                </c:pt>
                <c:pt idx="20">
                  <c:v>46</c:v>
                </c:pt>
                <c:pt idx="21">
                  <c:v>49</c:v>
                </c:pt>
                <c:pt idx="22">
                  <c:v>50</c:v>
                </c:pt>
                <c:pt idx="23">
                  <c:v>55</c:v>
                </c:pt>
                <c:pt idx="24">
                  <c:v>56</c:v>
                </c:pt>
                <c:pt idx="25">
                  <c:v>62</c:v>
                </c:pt>
                <c:pt idx="26">
                  <c:v>66</c:v>
                </c:pt>
                <c:pt idx="27">
                  <c:v>67</c:v>
                </c:pt>
                <c:pt idx="28">
                  <c:v>69</c:v>
                </c:pt>
                <c:pt idx="29">
                  <c:v>70</c:v>
                </c:pt>
                <c:pt idx="30">
                  <c:v>71</c:v>
                </c:pt>
                <c:pt idx="31">
                  <c:v>74</c:v>
                </c:pt>
                <c:pt idx="32">
                  <c:v>75</c:v>
                </c:pt>
                <c:pt idx="33">
                  <c:v>78</c:v>
                </c:pt>
                <c:pt idx="34">
                  <c:v>79</c:v>
                </c:pt>
                <c:pt idx="35">
                  <c:v>80</c:v>
                </c:pt>
                <c:pt idx="36">
                  <c:v>81</c:v>
                </c:pt>
                <c:pt idx="37">
                  <c:v>82</c:v>
                </c:pt>
                <c:pt idx="38">
                  <c:v>83</c:v>
                </c:pt>
                <c:pt idx="39">
                  <c:v>86</c:v>
                </c:pt>
                <c:pt idx="40">
                  <c:v>88</c:v>
                </c:pt>
                <c:pt idx="41">
                  <c:v>90</c:v>
                </c:pt>
                <c:pt idx="42">
                  <c:v>91</c:v>
                </c:pt>
                <c:pt idx="43">
                  <c:v>92</c:v>
                </c:pt>
                <c:pt idx="44">
                  <c:v>93</c:v>
                </c:pt>
                <c:pt idx="45">
                  <c:v>94</c:v>
                </c:pt>
                <c:pt idx="46">
                  <c:v>95</c:v>
                </c:pt>
                <c:pt idx="47">
                  <c:v>96</c:v>
                </c:pt>
                <c:pt idx="48">
                  <c:v>97</c:v>
                </c:pt>
                <c:pt idx="49">
                  <c:v>98</c:v>
                </c:pt>
                <c:pt idx="50">
                  <c:v>99</c:v>
                </c:pt>
                <c:pt idx="51">
                  <c:v>100</c:v>
                </c:pt>
                <c:pt idx="52">
                  <c:v>102</c:v>
                </c:pt>
                <c:pt idx="53">
                  <c:v>103</c:v>
                </c:pt>
              </c:numCache>
            </c:numRef>
          </c:cat>
          <c:val>
            <c:numRef>
              <c:f>'nn-mri-only'!$D$5:$D$58</c:f>
              <c:numCache>
                <c:formatCode>0.0</c:formatCode>
                <c:ptCount val="54"/>
                <c:pt idx="0">
                  <c:v>1515.4</c:v>
                </c:pt>
                <c:pt idx="1">
                  <c:v>1328.6</c:v>
                </c:pt>
                <c:pt idx="2">
                  <c:v>1243</c:v>
                </c:pt>
                <c:pt idx="3">
                  <c:v>1330</c:v>
                </c:pt>
                <c:pt idx="4">
                  <c:v>1549.1</c:v>
                </c:pt>
                <c:pt idx="5">
                  <c:v>1557.7</c:v>
                </c:pt>
                <c:pt idx="6">
                  <c:v>1668.2</c:v>
                </c:pt>
                <c:pt idx="7">
                  <c:v>1799</c:v>
                </c:pt>
                <c:pt idx="8">
                  <c:v>1394.5</c:v>
                </c:pt>
                <c:pt idx="9">
                  <c:v>1033.5</c:v>
                </c:pt>
                <c:pt idx="10">
                  <c:v>1140.9000000000001</c:v>
                </c:pt>
                <c:pt idx="11">
                  <c:v>1481.1</c:v>
                </c:pt>
                <c:pt idx="12">
                  <c:v>1888.9</c:v>
                </c:pt>
                <c:pt idx="13">
                  <c:v>1989.8</c:v>
                </c:pt>
                <c:pt idx="14">
                  <c:v>1294.5999999999999</c:v>
                </c:pt>
                <c:pt idx="15">
                  <c:v>1062.8</c:v>
                </c:pt>
                <c:pt idx="16">
                  <c:v>1624.4</c:v>
                </c:pt>
                <c:pt idx="17">
                  <c:v>1176.0999999999999</c:v>
                </c:pt>
                <c:pt idx="18">
                  <c:v>2513.1</c:v>
                </c:pt>
                <c:pt idx="19">
                  <c:v>2818.8</c:v>
                </c:pt>
                <c:pt idx="20">
                  <c:v>1182.5999999999999</c:v>
                </c:pt>
                <c:pt idx="21">
                  <c:v>1260.3</c:v>
                </c:pt>
                <c:pt idx="22">
                  <c:v>1461.1</c:v>
                </c:pt>
                <c:pt idx="23">
                  <c:v>2070.5</c:v>
                </c:pt>
                <c:pt idx="24">
                  <c:v>1946.3</c:v>
                </c:pt>
                <c:pt idx="25">
                  <c:v>1662.8</c:v>
                </c:pt>
                <c:pt idx="26">
                  <c:v>2494.6</c:v>
                </c:pt>
                <c:pt idx="27">
                  <c:v>1174.3</c:v>
                </c:pt>
                <c:pt idx="28">
                  <c:v>1835.2</c:v>
                </c:pt>
                <c:pt idx="29">
                  <c:v>2720.7</c:v>
                </c:pt>
                <c:pt idx="30">
                  <c:v>2136.1999999999998</c:v>
                </c:pt>
                <c:pt idx="31">
                  <c:v>1141.8</c:v>
                </c:pt>
                <c:pt idx="32">
                  <c:v>1485.8</c:v>
                </c:pt>
                <c:pt idx="33">
                  <c:v>1951.7</c:v>
                </c:pt>
                <c:pt idx="34">
                  <c:v>2142.6999999999998</c:v>
                </c:pt>
                <c:pt idx="35">
                  <c:v>1644.7</c:v>
                </c:pt>
                <c:pt idx="36">
                  <c:v>1284.0999999999999</c:v>
                </c:pt>
                <c:pt idx="37">
                  <c:v>1268.3</c:v>
                </c:pt>
                <c:pt idx="38">
                  <c:v>1954.3</c:v>
                </c:pt>
                <c:pt idx="39">
                  <c:v>2330.6</c:v>
                </c:pt>
                <c:pt idx="40">
                  <c:v>2785.2</c:v>
                </c:pt>
                <c:pt idx="41">
                  <c:v>3808.3</c:v>
                </c:pt>
                <c:pt idx="42">
                  <c:v>2383.3000000000002</c:v>
                </c:pt>
                <c:pt idx="43">
                  <c:v>1903.7</c:v>
                </c:pt>
                <c:pt idx="44">
                  <c:v>1343.9</c:v>
                </c:pt>
                <c:pt idx="45">
                  <c:v>2247.1</c:v>
                </c:pt>
                <c:pt idx="46">
                  <c:v>2579.6999999999998</c:v>
                </c:pt>
                <c:pt idx="47">
                  <c:v>1868.8</c:v>
                </c:pt>
                <c:pt idx="48">
                  <c:v>1907</c:v>
                </c:pt>
                <c:pt idx="49">
                  <c:v>1289.7</c:v>
                </c:pt>
                <c:pt idx="50">
                  <c:v>2259.8000000000002</c:v>
                </c:pt>
                <c:pt idx="51">
                  <c:v>1516.6</c:v>
                </c:pt>
                <c:pt idx="52">
                  <c:v>1456.5</c:v>
                </c:pt>
                <c:pt idx="53">
                  <c:v>1737.8</c:v>
                </c:pt>
              </c:numCache>
            </c:numRef>
          </c:val>
          <c:extLst>
            <c:ext xmlns:c16="http://schemas.microsoft.com/office/drawing/2014/chart" uri="{C3380CC4-5D6E-409C-BE32-E72D297353CC}">
              <c16:uniqueId val="{00000002-B556-4DB4-8A41-8F5987830A9B}"/>
            </c:ext>
          </c:extLst>
        </c:ser>
        <c:ser>
          <c:idx val="1"/>
          <c:order val="1"/>
          <c:tx>
            <c:strRef>
              <c:f>'nn-mri-only'!$E$4</c:f>
              <c:strCache>
                <c:ptCount val="1"/>
                <c:pt idx="0">
                  <c:v>NN</c:v>
                </c:pt>
              </c:strCache>
            </c:strRef>
          </c:tx>
          <c:spPr>
            <a:solidFill>
              <a:schemeClr val="accent2">
                <a:lumMod val="40000"/>
                <a:lumOff val="60000"/>
              </a:schemeClr>
            </a:solidFill>
            <a:ln>
              <a:solidFill>
                <a:schemeClr val="tx1"/>
              </a:solidFill>
            </a:ln>
            <a:effectLst/>
          </c:spPr>
          <c:invertIfNegative val="0"/>
          <c:cat>
            <c:numRef>
              <c:f>'nn-mri-only'!$I$5:$I$58</c:f>
              <c:numCache>
                <c:formatCode>General</c:formatCode>
                <c:ptCount val="54"/>
                <c:pt idx="0">
                  <c:v>6</c:v>
                </c:pt>
                <c:pt idx="1">
                  <c:v>7</c:v>
                </c:pt>
                <c:pt idx="2">
                  <c:v>8</c:v>
                </c:pt>
                <c:pt idx="3">
                  <c:v>10</c:v>
                </c:pt>
                <c:pt idx="4">
                  <c:v>11</c:v>
                </c:pt>
                <c:pt idx="5">
                  <c:v>13</c:v>
                </c:pt>
                <c:pt idx="6">
                  <c:v>20</c:v>
                </c:pt>
                <c:pt idx="7">
                  <c:v>21</c:v>
                </c:pt>
                <c:pt idx="8">
                  <c:v>22</c:v>
                </c:pt>
                <c:pt idx="9">
                  <c:v>23</c:v>
                </c:pt>
                <c:pt idx="10">
                  <c:v>25</c:v>
                </c:pt>
                <c:pt idx="11">
                  <c:v>26</c:v>
                </c:pt>
                <c:pt idx="12">
                  <c:v>28</c:v>
                </c:pt>
                <c:pt idx="13">
                  <c:v>30</c:v>
                </c:pt>
                <c:pt idx="14">
                  <c:v>34</c:v>
                </c:pt>
                <c:pt idx="15">
                  <c:v>36</c:v>
                </c:pt>
                <c:pt idx="16">
                  <c:v>37</c:v>
                </c:pt>
                <c:pt idx="17">
                  <c:v>40</c:v>
                </c:pt>
                <c:pt idx="18">
                  <c:v>41</c:v>
                </c:pt>
                <c:pt idx="19">
                  <c:v>42</c:v>
                </c:pt>
                <c:pt idx="20">
                  <c:v>46</c:v>
                </c:pt>
                <c:pt idx="21">
                  <c:v>49</c:v>
                </c:pt>
                <c:pt idx="22">
                  <c:v>50</c:v>
                </c:pt>
                <c:pt idx="23">
                  <c:v>55</c:v>
                </c:pt>
                <c:pt idx="24">
                  <c:v>56</c:v>
                </c:pt>
                <c:pt idx="25">
                  <c:v>62</c:v>
                </c:pt>
                <c:pt idx="26">
                  <c:v>66</c:v>
                </c:pt>
                <c:pt idx="27">
                  <c:v>67</c:v>
                </c:pt>
                <c:pt idx="28">
                  <c:v>69</c:v>
                </c:pt>
                <c:pt idx="29">
                  <c:v>70</c:v>
                </c:pt>
                <c:pt idx="30">
                  <c:v>71</c:v>
                </c:pt>
                <c:pt idx="31">
                  <c:v>74</c:v>
                </c:pt>
                <c:pt idx="32">
                  <c:v>75</c:v>
                </c:pt>
                <c:pt idx="33">
                  <c:v>78</c:v>
                </c:pt>
                <c:pt idx="34">
                  <c:v>79</c:v>
                </c:pt>
                <c:pt idx="35">
                  <c:v>80</c:v>
                </c:pt>
                <c:pt idx="36">
                  <c:v>81</c:v>
                </c:pt>
                <c:pt idx="37">
                  <c:v>82</c:v>
                </c:pt>
                <c:pt idx="38">
                  <c:v>83</c:v>
                </c:pt>
                <c:pt idx="39">
                  <c:v>86</c:v>
                </c:pt>
                <c:pt idx="40">
                  <c:v>88</c:v>
                </c:pt>
                <c:pt idx="41">
                  <c:v>90</c:v>
                </c:pt>
                <c:pt idx="42">
                  <c:v>91</c:v>
                </c:pt>
                <c:pt idx="43">
                  <c:v>92</c:v>
                </c:pt>
                <c:pt idx="44">
                  <c:v>93</c:v>
                </c:pt>
                <c:pt idx="45">
                  <c:v>94</c:v>
                </c:pt>
                <c:pt idx="46">
                  <c:v>95</c:v>
                </c:pt>
                <c:pt idx="47">
                  <c:v>96</c:v>
                </c:pt>
                <c:pt idx="48">
                  <c:v>97</c:v>
                </c:pt>
                <c:pt idx="49">
                  <c:v>98</c:v>
                </c:pt>
                <c:pt idx="50">
                  <c:v>99</c:v>
                </c:pt>
                <c:pt idx="51">
                  <c:v>100</c:v>
                </c:pt>
                <c:pt idx="52">
                  <c:v>102</c:v>
                </c:pt>
                <c:pt idx="53">
                  <c:v>103</c:v>
                </c:pt>
              </c:numCache>
            </c:numRef>
          </c:cat>
          <c:val>
            <c:numRef>
              <c:f>'nn-mri-only'!$E$5:$E$58</c:f>
              <c:numCache>
                <c:formatCode>0.0</c:formatCode>
                <c:ptCount val="54"/>
                <c:pt idx="0">
                  <c:v>1533.96</c:v>
                </c:pt>
                <c:pt idx="1">
                  <c:v>1512.47</c:v>
                </c:pt>
                <c:pt idx="2">
                  <c:v>1277.24</c:v>
                </c:pt>
                <c:pt idx="3">
                  <c:v>1338.03</c:v>
                </c:pt>
                <c:pt idx="4">
                  <c:v>1494.06</c:v>
                </c:pt>
                <c:pt idx="5">
                  <c:v>1700.27</c:v>
                </c:pt>
                <c:pt idx="6">
                  <c:v>1681.62</c:v>
                </c:pt>
                <c:pt idx="7">
                  <c:v>1934.24</c:v>
                </c:pt>
                <c:pt idx="8">
                  <c:v>1276.94</c:v>
                </c:pt>
                <c:pt idx="9">
                  <c:v>1012.37</c:v>
                </c:pt>
                <c:pt idx="10">
                  <c:v>1244.6600000000001</c:v>
                </c:pt>
                <c:pt idx="11">
                  <c:v>1524.13</c:v>
                </c:pt>
                <c:pt idx="12">
                  <c:v>2006.6</c:v>
                </c:pt>
                <c:pt idx="13">
                  <c:v>2030.28</c:v>
                </c:pt>
                <c:pt idx="14">
                  <c:v>1336.71</c:v>
                </c:pt>
                <c:pt idx="15">
                  <c:v>1109.0999999999999</c:v>
                </c:pt>
                <c:pt idx="16">
                  <c:v>1684.75</c:v>
                </c:pt>
                <c:pt idx="17">
                  <c:v>1217.24</c:v>
                </c:pt>
                <c:pt idx="18">
                  <c:v>2674.48</c:v>
                </c:pt>
                <c:pt idx="19">
                  <c:v>2863.1</c:v>
                </c:pt>
                <c:pt idx="20">
                  <c:v>1224.79</c:v>
                </c:pt>
                <c:pt idx="21">
                  <c:v>1208.56</c:v>
                </c:pt>
                <c:pt idx="22">
                  <c:v>1437.44</c:v>
                </c:pt>
                <c:pt idx="23">
                  <c:v>1988.71</c:v>
                </c:pt>
                <c:pt idx="24">
                  <c:v>2184.8000000000002</c:v>
                </c:pt>
                <c:pt idx="25">
                  <c:v>1588.84</c:v>
                </c:pt>
                <c:pt idx="26">
                  <c:v>2389.33</c:v>
                </c:pt>
                <c:pt idx="27">
                  <c:v>1361.91</c:v>
                </c:pt>
                <c:pt idx="28">
                  <c:v>1873.03</c:v>
                </c:pt>
                <c:pt idx="29">
                  <c:v>2739.91</c:v>
                </c:pt>
                <c:pt idx="30">
                  <c:v>2166.4899999999998</c:v>
                </c:pt>
                <c:pt idx="31">
                  <c:v>1026.5999999999999</c:v>
                </c:pt>
                <c:pt idx="32">
                  <c:v>1467.93</c:v>
                </c:pt>
                <c:pt idx="33">
                  <c:v>1922.03</c:v>
                </c:pt>
                <c:pt idx="34">
                  <c:v>2259.59</c:v>
                </c:pt>
                <c:pt idx="35">
                  <c:v>1426.86</c:v>
                </c:pt>
                <c:pt idx="36">
                  <c:v>1440.9</c:v>
                </c:pt>
                <c:pt idx="37">
                  <c:v>1418.24</c:v>
                </c:pt>
                <c:pt idx="38">
                  <c:v>2080.9699999999998</c:v>
                </c:pt>
                <c:pt idx="39">
                  <c:v>2386.02</c:v>
                </c:pt>
                <c:pt idx="40">
                  <c:v>2811.37</c:v>
                </c:pt>
                <c:pt idx="41">
                  <c:v>3751.2</c:v>
                </c:pt>
                <c:pt idx="42">
                  <c:v>2320.0300000000002</c:v>
                </c:pt>
                <c:pt idx="43">
                  <c:v>1816.86</c:v>
                </c:pt>
                <c:pt idx="44">
                  <c:v>1399.21</c:v>
                </c:pt>
                <c:pt idx="45">
                  <c:v>2253.86</c:v>
                </c:pt>
                <c:pt idx="46">
                  <c:v>2649.56</c:v>
                </c:pt>
                <c:pt idx="47">
                  <c:v>2032.49</c:v>
                </c:pt>
                <c:pt idx="48">
                  <c:v>1989.88</c:v>
                </c:pt>
                <c:pt idx="49">
                  <c:v>1235.1300000000001</c:v>
                </c:pt>
                <c:pt idx="50">
                  <c:v>2386.73</c:v>
                </c:pt>
                <c:pt idx="51">
                  <c:v>1489.94</c:v>
                </c:pt>
                <c:pt idx="52">
                  <c:v>1988.8</c:v>
                </c:pt>
                <c:pt idx="53">
                  <c:v>1781.79</c:v>
                </c:pt>
              </c:numCache>
            </c:numRef>
          </c:val>
          <c:extLst>
            <c:ext xmlns:c16="http://schemas.microsoft.com/office/drawing/2014/chart" uri="{C3380CC4-5D6E-409C-BE32-E72D297353CC}">
              <c16:uniqueId val="{00000003-B556-4DB4-8A41-8F5987830A9B}"/>
            </c:ext>
          </c:extLst>
        </c:ser>
        <c:dLbls>
          <c:showLegendKey val="0"/>
          <c:showVal val="0"/>
          <c:showCatName val="0"/>
          <c:showSerName val="0"/>
          <c:showPercent val="0"/>
          <c:showBubbleSize val="0"/>
        </c:dLbls>
        <c:gapWidth val="41"/>
        <c:overlap val="3"/>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Patient</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Volume</a:t>
                </a:r>
                <a:r>
                  <a:rPr lang="es-CO" sz="1100" baseline="0"/>
                  <a:t> (ml)</a:t>
                </a:r>
                <a:endParaRPr lang="es-CO" sz="1100"/>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legend>
      <c:legendPos val="r"/>
      <c:layout>
        <c:manualLayout>
          <c:xMode val="edge"/>
          <c:yMode val="edge"/>
          <c:x val="0.9193645718717226"/>
          <c:y val="0.16945931758530186"/>
          <c:w val="6.6274713066613838E-2"/>
          <c:h val="0.13540443808160341"/>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Dice evaluation per patient lowdose</a:t>
            </a:r>
            <a:r>
              <a:rPr lang="en-US" baseline="0"/>
              <a:t> segmentation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barChart>
        <c:barDir val="col"/>
        <c:grouping val="clustered"/>
        <c:varyColors val="0"/>
        <c:ser>
          <c:idx val="0"/>
          <c:order val="0"/>
          <c:tx>
            <c:v>Dice</c:v>
          </c:tx>
          <c:spPr>
            <a:solidFill>
              <a:srgbClr val="00B050"/>
            </a:solidFill>
            <a:ln>
              <a:solidFill>
                <a:schemeClr val="tx1"/>
              </a:solidFill>
            </a:ln>
            <a:effectLst/>
          </c:spPr>
          <c:invertIfNegative val="0"/>
          <c:dLbls>
            <c:numFmt formatCode="#,##0.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'lowdose-study'!$B$5:$B$16</c:f>
              <c:numCache>
                <c:formatCode>General</c:formatCode>
                <c:ptCount val="12"/>
                <c:pt idx="0">
                  <c:v>6</c:v>
                </c:pt>
                <c:pt idx="1">
                  <c:v>7</c:v>
                </c:pt>
                <c:pt idx="2">
                  <c:v>13</c:v>
                </c:pt>
                <c:pt idx="3">
                  <c:v>17</c:v>
                </c:pt>
                <c:pt idx="4">
                  <c:v>20</c:v>
                </c:pt>
                <c:pt idx="5">
                  <c:v>21</c:v>
                </c:pt>
                <c:pt idx="6">
                  <c:v>25</c:v>
                </c:pt>
                <c:pt idx="7">
                  <c:v>30</c:v>
                </c:pt>
                <c:pt idx="8">
                  <c:v>36</c:v>
                </c:pt>
                <c:pt idx="9">
                  <c:v>37</c:v>
                </c:pt>
                <c:pt idx="10">
                  <c:v>40</c:v>
                </c:pt>
                <c:pt idx="11">
                  <c:v>65</c:v>
                </c:pt>
              </c:numCache>
            </c:numRef>
          </c:cat>
          <c:val>
            <c:numRef>
              <c:f>'lowdose-study'!$E$5:$E$16</c:f>
              <c:numCache>
                <c:formatCode>0.0%</c:formatCode>
                <c:ptCount val="12"/>
                <c:pt idx="0">
                  <c:v>0.93</c:v>
                </c:pt>
                <c:pt idx="1">
                  <c:v>0.749</c:v>
                </c:pt>
                <c:pt idx="2">
                  <c:v>0.89500000000000002</c:v>
                </c:pt>
                <c:pt idx="3">
                  <c:v>0.88400000000000001</c:v>
                </c:pt>
                <c:pt idx="4">
                  <c:v>0.91300000000000003</c:v>
                </c:pt>
                <c:pt idx="5">
                  <c:v>0.91700000000000004</c:v>
                </c:pt>
                <c:pt idx="6">
                  <c:v>0.94199999999999995</c:v>
                </c:pt>
                <c:pt idx="7">
                  <c:v>0.94299999999999995</c:v>
                </c:pt>
                <c:pt idx="8">
                  <c:v>0.879</c:v>
                </c:pt>
                <c:pt idx="9">
                  <c:v>0.92</c:v>
                </c:pt>
                <c:pt idx="10">
                  <c:v>0.89</c:v>
                </c:pt>
                <c:pt idx="11">
                  <c:v>0.93899999999999995</c:v>
                </c:pt>
              </c:numCache>
            </c:numRef>
          </c:val>
          <c:extLst>
            <c:ext xmlns:c16="http://schemas.microsoft.com/office/drawing/2014/chart" uri="{C3380CC4-5D6E-409C-BE32-E72D297353CC}">
              <c16:uniqueId val="{00000000-389A-41F0-867E-EC1A04C7C6A3}"/>
            </c:ext>
          </c:extLst>
        </c:ser>
        <c:dLbls>
          <c:dLblPos val="inBase"/>
          <c:showLegendKey val="0"/>
          <c:showVal val="1"/>
          <c:showCatName val="0"/>
          <c:showSerName val="0"/>
          <c:showPercent val="0"/>
          <c:showBubbleSize val="0"/>
        </c:dLbls>
        <c:gapWidth val="67"/>
        <c:overlap val="-27"/>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Patient</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Dice</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sz="1400" b="0" i="0" u="none" strike="noStrike" baseline="0">
                <a:effectLst/>
              </a:rPr>
              <a:t>Volume measurement </a:t>
            </a:r>
            <a:r>
              <a:rPr lang="en-US"/>
              <a:t>per patient lowdose</a:t>
            </a:r>
            <a:r>
              <a:rPr lang="en-US" baseline="0"/>
              <a:t> segmentation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manualLayout>
          <c:layoutTarget val="inner"/>
          <c:xMode val="edge"/>
          <c:yMode val="edge"/>
          <c:x val="5.7688716972738273E-2"/>
          <c:y val="0.14907086614173229"/>
          <c:w val="0.93550694671838552"/>
          <c:h val="0.67879392348683687"/>
        </c:manualLayout>
      </c:layout>
      <c:barChart>
        <c:barDir val="col"/>
        <c:grouping val="clustered"/>
        <c:varyColors val="0"/>
        <c:ser>
          <c:idx val="0"/>
          <c:order val="0"/>
          <c:tx>
            <c:strRef>
              <c:f>'lowdose-study'!$J$4</c:f>
              <c:strCache>
                <c:ptCount val="1"/>
                <c:pt idx="0">
                  <c:v>Radiologist</c:v>
                </c:pt>
              </c:strCache>
            </c:strRef>
          </c:tx>
          <c:spPr>
            <a:solidFill>
              <a:schemeClr val="accent1"/>
            </a:solidFill>
            <a:ln w="6350">
              <a:solidFill>
                <a:schemeClr val="tx1"/>
              </a:solidFill>
            </a:ln>
            <a:effectLst/>
          </c:spPr>
          <c:invertIfNegative val="0"/>
          <c:cat>
            <c:numRef>
              <c:f>'lowdose-study'!$H$5:$H$104</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86</c:v>
                </c:pt>
                <c:pt idx="84">
                  <c:v>88</c:v>
                </c:pt>
                <c:pt idx="85">
                  <c:v>89</c:v>
                </c:pt>
                <c:pt idx="86">
                  <c:v>90</c:v>
                </c:pt>
                <c:pt idx="87">
                  <c:v>91</c:v>
                </c:pt>
                <c:pt idx="88">
                  <c:v>92</c:v>
                </c:pt>
                <c:pt idx="89">
                  <c:v>93</c:v>
                </c:pt>
                <c:pt idx="90">
                  <c:v>94</c:v>
                </c:pt>
                <c:pt idx="91">
                  <c:v>95</c:v>
                </c:pt>
                <c:pt idx="92">
                  <c:v>96</c:v>
                </c:pt>
                <c:pt idx="93">
                  <c:v>97</c:v>
                </c:pt>
                <c:pt idx="94">
                  <c:v>98</c:v>
                </c:pt>
                <c:pt idx="95">
                  <c:v>99</c:v>
                </c:pt>
                <c:pt idx="96">
                  <c:v>100</c:v>
                </c:pt>
                <c:pt idx="97">
                  <c:v>101</c:v>
                </c:pt>
                <c:pt idx="98">
                  <c:v>102</c:v>
                </c:pt>
                <c:pt idx="99">
                  <c:v>103</c:v>
                </c:pt>
              </c:numCache>
            </c:numRef>
          </c:cat>
          <c:val>
            <c:numRef>
              <c:f>'lowdose-study'!$J$5:$J$104</c:f>
              <c:numCache>
                <c:formatCode>General</c:formatCode>
                <c:ptCount val="100"/>
                <c:pt idx="0">
                  <c:v>1665.6</c:v>
                </c:pt>
                <c:pt idx="1">
                  <c:v>1172.5999999999999</c:v>
                </c:pt>
                <c:pt idx="2">
                  <c:v>2073</c:v>
                </c:pt>
                <c:pt idx="3">
                  <c:v>1798</c:v>
                </c:pt>
                <c:pt idx="4">
                  <c:v>1775.9</c:v>
                </c:pt>
                <c:pt idx="5">
                  <c:v>1515.4</c:v>
                </c:pt>
                <c:pt idx="6">
                  <c:v>1328.6</c:v>
                </c:pt>
                <c:pt idx="7">
                  <c:v>1243</c:v>
                </c:pt>
                <c:pt idx="8">
                  <c:v>1516.3</c:v>
                </c:pt>
                <c:pt idx="9">
                  <c:v>1330</c:v>
                </c:pt>
                <c:pt idx="10">
                  <c:v>1549.1</c:v>
                </c:pt>
                <c:pt idx="11">
                  <c:v>1466.1</c:v>
                </c:pt>
                <c:pt idx="12">
                  <c:v>1557.7</c:v>
                </c:pt>
                <c:pt idx="13">
                  <c:v>1781.4</c:v>
                </c:pt>
                <c:pt idx="14">
                  <c:v>2274</c:v>
                </c:pt>
                <c:pt idx="15">
                  <c:v>1807.1</c:v>
                </c:pt>
                <c:pt idx="16">
                  <c:v>1506.5</c:v>
                </c:pt>
                <c:pt idx="17">
                  <c:v>2019.5</c:v>
                </c:pt>
                <c:pt idx="18">
                  <c:v>1613</c:v>
                </c:pt>
                <c:pt idx="19">
                  <c:v>1668.2</c:v>
                </c:pt>
                <c:pt idx="20">
                  <c:v>1799</c:v>
                </c:pt>
                <c:pt idx="21">
                  <c:v>1394.5</c:v>
                </c:pt>
                <c:pt idx="22">
                  <c:v>1033.5</c:v>
                </c:pt>
                <c:pt idx="23">
                  <c:v>1941.2</c:v>
                </c:pt>
                <c:pt idx="24">
                  <c:v>1140.9000000000001</c:v>
                </c:pt>
                <c:pt idx="25">
                  <c:v>1481.1</c:v>
                </c:pt>
                <c:pt idx="26">
                  <c:v>1186.5</c:v>
                </c:pt>
                <c:pt idx="27">
                  <c:v>1888.9</c:v>
                </c:pt>
                <c:pt idx="28">
                  <c:v>1317.3</c:v>
                </c:pt>
                <c:pt idx="29">
                  <c:v>1989.8</c:v>
                </c:pt>
                <c:pt idx="30">
                  <c:v>1511.3</c:v>
                </c:pt>
                <c:pt idx="31">
                  <c:v>1205.5</c:v>
                </c:pt>
                <c:pt idx="32">
                  <c:v>1556.7</c:v>
                </c:pt>
                <c:pt idx="33">
                  <c:v>1294.5999999999999</c:v>
                </c:pt>
                <c:pt idx="34">
                  <c:v>1109.0999999999999</c:v>
                </c:pt>
                <c:pt idx="35">
                  <c:v>1062.8</c:v>
                </c:pt>
                <c:pt idx="36">
                  <c:v>1624.4</c:v>
                </c:pt>
                <c:pt idx="37">
                  <c:v>3489.7</c:v>
                </c:pt>
                <c:pt idx="38">
                  <c:v>1176.0999999999999</c:v>
                </c:pt>
                <c:pt idx="39">
                  <c:v>2513.1</c:v>
                </c:pt>
                <c:pt idx="40">
                  <c:v>2818.8</c:v>
                </c:pt>
                <c:pt idx="41">
                  <c:v>3648.8</c:v>
                </c:pt>
                <c:pt idx="42">
                  <c:v>2262.6999999999998</c:v>
                </c:pt>
                <c:pt idx="43">
                  <c:v>1299.3</c:v>
                </c:pt>
                <c:pt idx="44">
                  <c:v>1182.5999999999999</c:v>
                </c:pt>
                <c:pt idx="45">
                  <c:v>1298.4000000000001</c:v>
                </c:pt>
                <c:pt idx="46">
                  <c:v>1361.1</c:v>
                </c:pt>
                <c:pt idx="47">
                  <c:v>1260.3</c:v>
                </c:pt>
                <c:pt idx="48">
                  <c:v>1461.1</c:v>
                </c:pt>
                <c:pt idx="49">
                  <c:v>1521</c:v>
                </c:pt>
                <c:pt idx="50">
                  <c:v>2069.1</c:v>
                </c:pt>
                <c:pt idx="51">
                  <c:v>3021.9</c:v>
                </c:pt>
                <c:pt idx="52">
                  <c:v>2208.3000000000002</c:v>
                </c:pt>
                <c:pt idx="53">
                  <c:v>2070.5</c:v>
                </c:pt>
                <c:pt idx="54">
                  <c:v>1946.3</c:v>
                </c:pt>
                <c:pt idx="55">
                  <c:v>1566.8</c:v>
                </c:pt>
                <c:pt idx="56">
                  <c:v>1748.6</c:v>
                </c:pt>
                <c:pt idx="57">
                  <c:v>1504.3</c:v>
                </c:pt>
                <c:pt idx="58">
                  <c:v>6702.5</c:v>
                </c:pt>
                <c:pt idx="59">
                  <c:v>1557.1</c:v>
                </c:pt>
                <c:pt idx="60">
                  <c:v>1662.8</c:v>
                </c:pt>
                <c:pt idx="61">
                  <c:v>1639.9</c:v>
                </c:pt>
                <c:pt idx="62">
                  <c:v>2413.9</c:v>
                </c:pt>
                <c:pt idx="63">
                  <c:v>1520.4</c:v>
                </c:pt>
                <c:pt idx="64">
                  <c:v>2494.6</c:v>
                </c:pt>
                <c:pt idx="65">
                  <c:v>1174.3</c:v>
                </c:pt>
                <c:pt idx="66">
                  <c:v>2448.1999999999998</c:v>
                </c:pt>
                <c:pt idx="67">
                  <c:v>1835.2</c:v>
                </c:pt>
                <c:pt idx="68">
                  <c:v>2720.7</c:v>
                </c:pt>
                <c:pt idx="69">
                  <c:v>2136.1999999999998</c:v>
                </c:pt>
                <c:pt idx="70">
                  <c:v>1944</c:v>
                </c:pt>
                <c:pt idx="71">
                  <c:v>1532.7</c:v>
                </c:pt>
                <c:pt idx="72">
                  <c:v>1141.8</c:v>
                </c:pt>
                <c:pt idx="73">
                  <c:v>1485.8</c:v>
                </c:pt>
                <c:pt idx="74">
                  <c:v>1593.1</c:v>
                </c:pt>
                <c:pt idx="75">
                  <c:v>2074.1</c:v>
                </c:pt>
                <c:pt idx="76">
                  <c:v>1951.7</c:v>
                </c:pt>
                <c:pt idx="77">
                  <c:v>2142.6999999999998</c:v>
                </c:pt>
                <c:pt idx="78">
                  <c:v>1644.7</c:v>
                </c:pt>
                <c:pt idx="79">
                  <c:v>1284.0999999999999</c:v>
                </c:pt>
                <c:pt idx="80">
                  <c:v>1268.3</c:v>
                </c:pt>
                <c:pt idx="81">
                  <c:v>1954.3</c:v>
                </c:pt>
                <c:pt idx="82">
                  <c:v>2063.5</c:v>
                </c:pt>
                <c:pt idx="83">
                  <c:v>2330.6</c:v>
                </c:pt>
                <c:pt idx="84">
                  <c:v>2785.2</c:v>
                </c:pt>
                <c:pt idx="85">
                  <c:v>1035.0999999999999</c:v>
                </c:pt>
                <c:pt idx="86">
                  <c:v>3808.3</c:v>
                </c:pt>
                <c:pt idx="87">
                  <c:v>2383.3000000000002</c:v>
                </c:pt>
                <c:pt idx="88">
                  <c:v>1903.7</c:v>
                </c:pt>
                <c:pt idx="89">
                  <c:v>1343.9</c:v>
                </c:pt>
                <c:pt idx="90">
                  <c:v>2247.1</c:v>
                </c:pt>
                <c:pt idx="91">
                  <c:v>2579.6999999999998</c:v>
                </c:pt>
                <c:pt idx="92">
                  <c:v>1868.8</c:v>
                </c:pt>
                <c:pt idx="93">
                  <c:v>1907</c:v>
                </c:pt>
                <c:pt idx="94">
                  <c:v>1289.7</c:v>
                </c:pt>
                <c:pt idx="95">
                  <c:v>2259.8000000000002</c:v>
                </c:pt>
                <c:pt idx="96">
                  <c:v>1516.6</c:v>
                </c:pt>
                <c:pt idx="97">
                  <c:v>3679.8</c:v>
                </c:pt>
                <c:pt idx="98">
                  <c:v>1456.5</c:v>
                </c:pt>
                <c:pt idx="99">
                  <c:v>1737.8</c:v>
                </c:pt>
              </c:numCache>
            </c:numRef>
          </c:val>
          <c:extLst>
            <c:ext xmlns:c16="http://schemas.microsoft.com/office/drawing/2014/chart" uri="{C3380CC4-5D6E-409C-BE32-E72D297353CC}">
              <c16:uniqueId val="{00000003-A662-4B96-8F79-6258AA0AA524}"/>
            </c:ext>
          </c:extLst>
        </c:ser>
        <c:ser>
          <c:idx val="1"/>
          <c:order val="1"/>
          <c:tx>
            <c:strRef>
              <c:f>'lowdose-study'!$K$4</c:f>
              <c:strCache>
                <c:ptCount val="1"/>
                <c:pt idx="0">
                  <c:v>NN</c:v>
                </c:pt>
              </c:strCache>
            </c:strRef>
          </c:tx>
          <c:spPr>
            <a:solidFill>
              <a:schemeClr val="accent2"/>
            </a:solidFill>
            <a:ln w="6350">
              <a:solidFill>
                <a:schemeClr val="tx1"/>
              </a:solidFill>
            </a:ln>
            <a:effectLst/>
          </c:spPr>
          <c:invertIfNegative val="0"/>
          <c:val>
            <c:numRef>
              <c:f>'lowdose-study'!$K$5:$K$104</c:f>
              <c:numCache>
                <c:formatCode>0.0</c:formatCode>
                <c:ptCount val="100"/>
                <c:pt idx="0">
                  <c:v>1574.15</c:v>
                </c:pt>
                <c:pt idx="1">
                  <c:v>2308.64</c:v>
                </c:pt>
                <c:pt idx="2">
                  <c:v>1385.37</c:v>
                </c:pt>
                <c:pt idx="3">
                  <c:v>1831.56</c:v>
                </c:pt>
                <c:pt idx="4">
                  <c:v>2310.2399999999998</c:v>
                </c:pt>
                <c:pt idx="5">
                  <c:v>1426.42</c:v>
                </c:pt>
                <c:pt idx="6">
                  <c:v>880.64200000000005</c:v>
                </c:pt>
                <c:pt idx="7">
                  <c:v>1430.88</c:v>
                </c:pt>
                <c:pt idx="8">
                  <c:v>1519.63</c:v>
                </c:pt>
                <c:pt idx="9">
                  <c:v>1364.79</c:v>
                </c:pt>
                <c:pt idx="10">
                  <c:v>1398.73</c:v>
                </c:pt>
                <c:pt idx="11">
                  <c:v>1702.24</c:v>
                </c:pt>
                <c:pt idx="12">
                  <c:v>1526.97</c:v>
                </c:pt>
                <c:pt idx="13">
                  <c:v>1670.41</c:v>
                </c:pt>
                <c:pt idx="14">
                  <c:v>2333.04</c:v>
                </c:pt>
                <c:pt idx="15">
                  <c:v>1798.79</c:v>
                </c:pt>
                <c:pt idx="16">
                  <c:v>1321.49</c:v>
                </c:pt>
                <c:pt idx="17">
                  <c:v>1644.36</c:v>
                </c:pt>
                <c:pt idx="18">
                  <c:v>1327.65</c:v>
                </c:pt>
                <c:pt idx="19">
                  <c:v>1569.41</c:v>
                </c:pt>
                <c:pt idx="20">
                  <c:v>2825.98</c:v>
                </c:pt>
                <c:pt idx="21">
                  <c:v>1379.75</c:v>
                </c:pt>
                <c:pt idx="22">
                  <c:v>859.33</c:v>
                </c:pt>
                <c:pt idx="23">
                  <c:v>2426.37</c:v>
                </c:pt>
                <c:pt idx="24">
                  <c:v>1338.72</c:v>
                </c:pt>
                <c:pt idx="25">
                  <c:v>1678.06</c:v>
                </c:pt>
                <c:pt idx="26">
                  <c:v>1222.3</c:v>
                </c:pt>
                <c:pt idx="27">
                  <c:v>1977.03</c:v>
                </c:pt>
                <c:pt idx="28">
                  <c:v>1167.4100000000001</c:v>
                </c:pt>
                <c:pt idx="29">
                  <c:v>2643.27</c:v>
                </c:pt>
                <c:pt idx="30">
                  <c:v>1706.59</c:v>
                </c:pt>
                <c:pt idx="31">
                  <c:v>1210.6300000000001</c:v>
                </c:pt>
                <c:pt idx="32">
                  <c:v>833.41499999999996</c:v>
                </c:pt>
                <c:pt idx="33">
                  <c:v>1037.95</c:v>
                </c:pt>
                <c:pt idx="34">
                  <c:v>1279.22</c:v>
                </c:pt>
                <c:pt idx="35">
                  <c:v>1220.81</c:v>
                </c:pt>
                <c:pt idx="36">
                  <c:v>1746.34</c:v>
                </c:pt>
                <c:pt idx="37">
                  <c:v>3474.18</c:v>
                </c:pt>
                <c:pt idx="38">
                  <c:v>1188.3399999999999</c:v>
                </c:pt>
                <c:pt idx="39">
                  <c:v>3089.17</c:v>
                </c:pt>
                <c:pt idx="40">
                  <c:v>3256.97</c:v>
                </c:pt>
                <c:pt idx="41">
                  <c:v>2848.14</c:v>
                </c:pt>
                <c:pt idx="42">
                  <c:v>2483.09</c:v>
                </c:pt>
                <c:pt idx="43">
                  <c:v>1144.73</c:v>
                </c:pt>
                <c:pt idx="44">
                  <c:v>1250.8800000000001</c:v>
                </c:pt>
                <c:pt idx="45">
                  <c:v>1578.94</c:v>
                </c:pt>
                <c:pt idx="46">
                  <c:v>1505.33</c:v>
                </c:pt>
                <c:pt idx="47">
                  <c:v>986.79100000000005</c:v>
                </c:pt>
                <c:pt idx="48">
                  <c:v>1385.28</c:v>
                </c:pt>
                <c:pt idx="49">
                  <c:v>1180.6500000000001</c:v>
                </c:pt>
                <c:pt idx="50">
                  <c:v>2103.15</c:v>
                </c:pt>
                <c:pt idx="51">
                  <c:v>2834.3</c:v>
                </c:pt>
                <c:pt idx="52">
                  <c:v>2666.23</c:v>
                </c:pt>
                <c:pt idx="53">
                  <c:v>2044.38</c:v>
                </c:pt>
                <c:pt idx="54">
                  <c:v>1809.44</c:v>
                </c:pt>
                <c:pt idx="55">
                  <c:v>1892.8</c:v>
                </c:pt>
                <c:pt idx="56">
                  <c:v>2167.96</c:v>
                </c:pt>
                <c:pt idx="57">
                  <c:v>1530.38</c:v>
                </c:pt>
                <c:pt idx="58">
                  <c:v>6760.81</c:v>
                </c:pt>
                <c:pt idx="59">
                  <c:v>1893.57</c:v>
                </c:pt>
                <c:pt idx="60">
                  <c:v>1420.11</c:v>
                </c:pt>
                <c:pt idx="61">
                  <c:v>1566.81</c:v>
                </c:pt>
                <c:pt idx="62">
                  <c:v>2919.93</c:v>
                </c:pt>
                <c:pt idx="63">
                  <c:v>1989.72</c:v>
                </c:pt>
                <c:pt idx="64">
                  <c:v>2421.12</c:v>
                </c:pt>
                <c:pt idx="65">
                  <c:v>1088.8599999999999</c:v>
                </c:pt>
                <c:pt idx="66">
                  <c:v>2715.15</c:v>
                </c:pt>
                <c:pt idx="67">
                  <c:v>1690.46</c:v>
                </c:pt>
                <c:pt idx="68">
                  <c:v>2796.21</c:v>
                </c:pt>
                <c:pt idx="69">
                  <c:v>2051.7399999999998</c:v>
                </c:pt>
                <c:pt idx="70">
                  <c:v>2521.66</c:v>
                </c:pt>
                <c:pt idx="71">
                  <c:v>1735.03</c:v>
                </c:pt>
                <c:pt idx="72">
                  <c:v>1010.37</c:v>
                </c:pt>
                <c:pt idx="73">
                  <c:v>1736.02</c:v>
                </c:pt>
                <c:pt idx="74">
                  <c:v>1533.68</c:v>
                </c:pt>
                <c:pt idx="75">
                  <c:v>2119.84</c:v>
                </c:pt>
                <c:pt idx="76">
                  <c:v>2422.75</c:v>
                </c:pt>
                <c:pt idx="77">
                  <c:v>2379.73</c:v>
                </c:pt>
                <c:pt idx="78">
                  <c:v>1289.8499999999999</c:v>
                </c:pt>
                <c:pt idx="79">
                  <c:v>1336.74</c:v>
                </c:pt>
                <c:pt idx="80">
                  <c:v>1500.93</c:v>
                </c:pt>
                <c:pt idx="81">
                  <c:v>2145.6999999999998</c:v>
                </c:pt>
                <c:pt idx="82">
                  <c:v>1385.37</c:v>
                </c:pt>
                <c:pt idx="83">
                  <c:v>3027.5</c:v>
                </c:pt>
                <c:pt idx="84">
                  <c:v>2959.24</c:v>
                </c:pt>
                <c:pt idx="85">
                  <c:v>415.39800000000002</c:v>
                </c:pt>
                <c:pt idx="86">
                  <c:v>4008.79</c:v>
                </c:pt>
                <c:pt idx="87">
                  <c:v>2202.6</c:v>
                </c:pt>
                <c:pt idx="88">
                  <c:v>2022.86</c:v>
                </c:pt>
                <c:pt idx="89">
                  <c:v>1407.75</c:v>
                </c:pt>
                <c:pt idx="90">
                  <c:v>2469.14</c:v>
                </c:pt>
                <c:pt idx="91">
                  <c:v>2762.21</c:v>
                </c:pt>
                <c:pt idx="92">
                  <c:v>1576.98</c:v>
                </c:pt>
                <c:pt idx="93">
                  <c:v>2039.7</c:v>
                </c:pt>
                <c:pt idx="94">
                  <c:v>1446.6</c:v>
                </c:pt>
                <c:pt idx="95">
                  <c:v>2326.4499999999998</c:v>
                </c:pt>
                <c:pt idx="96">
                  <c:v>1743.42</c:v>
                </c:pt>
                <c:pt idx="97">
                  <c:v>3221.66</c:v>
                </c:pt>
                <c:pt idx="98">
                  <c:v>381.05599999999998</c:v>
                </c:pt>
                <c:pt idx="99">
                  <c:v>2586.61</c:v>
                </c:pt>
              </c:numCache>
            </c:numRef>
          </c:val>
          <c:extLst>
            <c:ext xmlns:c16="http://schemas.microsoft.com/office/drawing/2014/chart" uri="{C3380CC4-5D6E-409C-BE32-E72D297353CC}">
              <c16:uniqueId val="{00000004-A662-4B96-8F79-6258AA0AA524}"/>
            </c:ext>
          </c:extLst>
        </c:ser>
        <c:dLbls>
          <c:showLegendKey val="0"/>
          <c:showVal val="0"/>
          <c:showCatName val="0"/>
          <c:showSerName val="0"/>
          <c:showPercent val="0"/>
          <c:showBubbleSize val="0"/>
        </c:dLbls>
        <c:gapWidth val="43"/>
        <c:overlap val="-27"/>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Patient</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Volume</a:t>
                </a:r>
                <a:r>
                  <a:rPr lang="es-CO" sz="1100" baseline="0"/>
                  <a:t> (ml)</a:t>
                </a:r>
                <a:endParaRPr lang="es-CO" sz="1100"/>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legend>
      <c:legendPos val="r"/>
      <c:layout>
        <c:manualLayout>
          <c:xMode val="edge"/>
          <c:yMode val="edge"/>
          <c:x val="0.9193645718717226"/>
          <c:y val="0.16945931758530186"/>
          <c:w val="6.6902584605939272E-2"/>
          <c:h val="0.13540443808160341"/>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Volume error per patient lowdose</a:t>
            </a:r>
            <a:r>
              <a:rPr lang="en-US" baseline="0"/>
              <a:t> segmentation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autoTitleDeleted val="0"/>
    <c:plotArea>
      <c:layout>
        <c:manualLayout>
          <c:layoutTarget val="inner"/>
          <c:xMode val="edge"/>
          <c:yMode val="edge"/>
          <c:x val="5.7688716972738273E-2"/>
          <c:y val="0.14907086614173229"/>
          <c:w val="0.93550694671838552"/>
          <c:h val="0.67879392348683687"/>
        </c:manualLayout>
      </c:layout>
      <c:barChart>
        <c:barDir val="col"/>
        <c:grouping val="clustered"/>
        <c:varyColors val="0"/>
        <c:ser>
          <c:idx val="2"/>
          <c:order val="0"/>
          <c:tx>
            <c:strRef>
              <c:f>'lowdose-study'!$L$4</c:f>
              <c:strCache>
                <c:ptCount val="1"/>
                <c:pt idx="0">
                  <c:v>Error</c:v>
                </c:pt>
              </c:strCache>
            </c:strRef>
          </c:tx>
          <c:spPr>
            <a:solidFill>
              <a:srgbClr val="FFC000"/>
            </a:solidFill>
            <a:ln>
              <a:solidFill>
                <a:schemeClr val="tx1"/>
              </a:solidFill>
            </a:ln>
            <a:effectLst/>
          </c:spPr>
          <c:invertIfNegative val="0"/>
          <c:dLbls>
            <c:numFmt formatCode="#,##0.00" sourceLinked="0"/>
            <c:spPr>
              <a:noFill/>
              <a:ln>
                <a:noFill/>
              </a:ln>
              <a:effectLst/>
            </c:spPr>
            <c:txPr>
              <a:bodyPr rot="-5400000" spcFirstLastPara="1" vertOverflow="ellipsis" vert="horz" wrap="square" lIns="38100" tIns="19050" rIns="38100" bIns="19050" anchor="b" anchorCtr="1">
                <a:spAutoFit/>
              </a:bodyPr>
              <a:lstStyle/>
              <a:p>
                <a:pPr>
                  <a:defRPr sz="7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'lowdose-study'!$L$5:$L$104</c:f>
              <c:numCache>
                <c:formatCode>0.0%</c:formatCode>
                <c:ptCount val="100"/>
                <c:pt idx="0">
                  <c:v>5.490513928914495E-2</c:v>
                </c:pt>
                <c:pt idx="1">
                  <c:v>0.96882142247995906</c:v>
                </c:pt>
                <c:pt idx="2">
                  <c:v>0.33170767004341539</c:v>
                </c:pt>
                <c:pt idx="3">
                  <c:v>1.8665183537263597E-2</c:v>
                </c:pt>
                <c:pt idx="4">
                  <c:v>0.30088405878709368</c:v>
                </c:pt>
                <c:pt idx="5">
                  <c:v>5.8717170384057021E-2</c:v>
                </c:pt>
                <c:pt idx="6">
                  <c:v>0.33716543730242354</c:v>
                </c:pt>
                <c:pt idx="7">
                  <c:v>0.15115044247787621</c:v>
                </c:pt>
                <c:pt idx="8">
                  <c:v>2.1961353294204016E-3</c:v>
                </c:pt>
                <c:pt idx="9">
                  <c:v>2.6157894736842078E-2</c:v>
                </c:pt>
                <c:pt idx="10">
                  <c:v>9.7069266025434059E-2</c:v>
                </c:pt>
                <c:pt idx="11">
                  <c:v>0.16106677579974088</c:v>
                </c:pt>
                <c:pt idx="12">
                  <c:v>1.9727803813314512E-2</c:v>
                </c:pt>
                <c:pt idx="13">
                  <c:v>6.2304928707757945E-2</c:v>
                </c:pt>
                <c:pt idx="14">
                  <c:v>2.5963060686015817E-2</c:v>
                </c:pt>
                <c:pt idx="15">
                  <c:v>4.5985280283326576E-3</c:v>
                </c:pt>
                <c:pt idx="16">
                  <c:v>0.12280783272485894</c:v>
                </c:pt>
                <c:pt idx="17">
                  <c:v>0.18575885120079233</c:v>
                </c:pt>
                <c:pt idx="18">
                  <c:v>0.17690638561686292</c:v>
                </c:pt>
                <c:pt idx="19">
                  <c:v>5.9219518043400046E-2</c:v>
                </c:pt>
                <c:pt idx="20">
                  <c:v>0.57086158977209567</c:v>
                </c:pt>
                <c:pt idx="21">
                  <c:v>1.0577267837934744E-2</c:v>
                </c:pt>
                <c:pt idx="22">
                  <c:v>0.16852443154329944</c:v>
                </c:pt>
                <c:pt idx="23">
                  <c:v>0.24993303111477427</c:v>
                </c:pt>
                <c:pt idx="24">
                  <c:v>0.17338942939784374</c:v>
                </c:pt>
                <c:pt idx="25">
                  <c:v>0.13298224292755387</c:v>
                </c:pt>
                <c:pt idx="26">
                  <c:v>3.0172777075431905E-2</c:v>
                </c:pt>
                <c:pt idx="27">
                  <c:v>4.6656784371856573E-2</c:v>
                </c:pt>
                <c:pt idx="28">
                  <c:v>0.11378577393152652</c:v>
                </c:pt>
                <c:pt idx="29">
                  <c:v>0.32840989044125041</c:v>
                </c:pt>
                <c:pt idx="30">
                  <c:v>0.12921987692714879</c:v>
                </c:pt>
                <c:pt idx="31">
                  <c:v>4.2554956449606879E-3</c:v>
                </c:pt>
                <c:pt idx="32">
                  <c:v>0.46462709577953365</c:v>
                </c:pt>
                <c:pt idx="33">
                  <c:v>0.19824656264483229</c:v>
                </c:pt>
                <c:pt idx="34">
                  <c:v>0.15338562798665598</c:v>
                </c:pt>
                <c:pt idx="35">
                  <c:v>0.14867331576966503</c:v>
                </c:pt>
                <c:pt idx="36">
                  <c:v>7.5067717311007032E-2</c:v>
                </c:pt>
                <c:pt idx="37">
                  <c:v>4.4473736997449591E-3</c:v>
                </c:pt>
                <c:pt idx="38">
                  <c:v>1.0407278292662197E-2</c:v>
                </c:pt>
                <c:pt idx="39">
                  <c:v>0.22922685129919232</c:v>
                </c:pt>
                <c:pt idx="40">
                  <c:v>0.15544557967929601</c:v>
                </c:pt>
                <c:pt idx="41">
                  <c:v>0.21943104582328443</c:v>
                </c:pt>
                <c:pt idx="42">
                  <c:v>9.7401334688646465E-2</c:v>
                </c:pt>
                <c:pt idx="43">
                  <c:v>0.11896405756946044</c:v>
                </c:pt>
                <c:pt idx="44">
                  <c:v>5.7737189244038735E-2</c:v>
                </c:pt>
                <c:pt idx="45">
                  <c:v>0.21606592729513244</c:v>
                </c:pt>
                <c:pt idx="46">
                  <c:v>0.10596576298582032</c:v>
                </c:pt>
                <c:pt idx="47">
                  <c:v>0.21701896373879229</c:v>
                </c:pt>
                <c:pt idx="48">
                  <c:v>5.1892409828211583E-2</c:v>
                </c:pt>
                <c:pt idx="49">
                  <c:v>0.22376725838264294</c:v>
                </c:pt>
                <c:pt idx="50">
                  <c:v>1.6456430332028506E-2</c:v>
                </c:pt>
                <c:pt idx="51">
                  <c:v>6.2080148251100267E-2</c:v>
                </c:pt>
                <c:pt idx="52">
                  <c:v>0.20736765837974905</c:v>
                </c:pt>
                <c:pt idx="53">
                  <c:v>1.2615310311518904E-2</c:v>
                </c:pt>
                <c:pt idx="54">
                  <c:v>7.0318039356728104E-2</c:v>
                </c:pt>
                <c:pt idx="55">
                  <c:v>0.20806739851927497</c:v>
                </c:pt>
                <c:pt idx="56">
                  <c:v>0.23982614663159108</c:v>
                </c:pt>
                <c:pt idx="57">
                  <c:v>1.7336967360234098E-2</c:v>
                </c:pt>
                <c:pt idx="58">
                  <c:v>8.6997389033943162E-3</c:v>
                </c:pt>
                <c:pt idx="59">
                  <c:v>0.21608759874124978</c:v>
                </c:pt>
                <c:pt idx="60">
                  <c:v>0.14595261005532839</c:v>
                </c:pt>
                <c:pt idx="61">
                  <c:v>4.4569790840905017E-2</c:v>
                </c:pt>
                <c:pt idx="62">
                  <c:v>0.20963171630970617</c:v>
                </c:pt>
                <c:pt idx="63">
                  <c:v>0.30868192580899756</c:v>
                </c:pt>
                <c:pt idx="64">
                  <c:v>2.9455624148160033E-2</c:v>
                </c:pt>
                <c:pt idx="65">
                  <c:v>7.275823895086439E-2</c:v>
                </c:pt>
                <c:pt idx="66">
                  <c:v>0.10903929417531259</c:v>
                </c:pt>
                <c:pt idx="67">
                  <c:v>7.8868788142981691E-2</c:v>
                </c:pt>
                <c:pt idx="68">
                  <c:v>2.7753886867350395E-2</c:v>
                </c:pt>
                <c:pt idx="69">
                  <c:v>3.9537496489092799E-2</c:v>
                </c:pt>
                <c:pt idx="70">
                  <c:v>0.29715020576131679</c:v>
                </c:pt>
                <c:pt idx="71">
                  <c:v>0.13200887323024724</c:v>
                </c:pt>
                <c:pt idx="72">
                  <c:v>0.11510772464529687</c:v>
                </c:pt>
                <c:pt idx="73">
                  <c:v>0.16840759186969984</c:v>
                </c:pt>
                <c:pt idx="74">
                  <c:v>3.7298349130625727E-2</c:v>
                </c:pt>
                <c:pt idx="75">
                  <c:v>2.20529386239816E-2</c:v>
                </c:pt>
                <c:pt idx="76">
                  <c:v>0.24135369165343032</c:v>
                </c:pt>
                <c:pt idx="77">
                  <c:v>0.11062211228823457</c:v>
                </c:pt>
                <c:pt idx="78">
                  <c:v>0.21575363288137661</c:v>
                </c:pt>
                <c:pt idx="79">
                  <c:v>4.0993692080056154E-2</c:v>
                </c:pt>
                <c:pt idx="80">
                  <c:v>0.18341874950721448</c:v>
                </c:pt>
                <c:pt idx="81">
                  <c:v>9.7937880571048394E-2</c:v>
                </c:pt>
                <c:pt idx="82">
                  <c:v>0.32863096680397386</c:v>
                </c:pt>
                <c:pt idx="83">
                  <c:v>0.2990217111473441</c:v>
                </c:pt>
                <c:pt idx="84">
                  <c:v>6.2487433577480961E-2</c:v>
                </c:pt>
                <c:pt idx="85">
                  <c:v>0.59868804946381982</c:v>
                </c:pt>
                <c:pt idx="86">
                  <c:v>5.2645537378882903E-2</c:v>
                </c:pt>
                <c:pt idx="87">
                  <c:v>7.581924222716413E-2</c:v>
                </c:pt>
                <c:pt idx="88">
                  <c:v>6.2593896097074039E-2</c:v>
                </c:pt>
                <c:pt idx="89">
                  <c:v>4.7510975519011761E-2</c:v>
                </c:pt>
                <c:pt idx="90">
                  <c:v>9.8811801877976044E-2</c:v>
                </c:pt>
                <c:pt idx="91">
                  <c:v>7.0748536651548719E-2</c:v>
                </c:pt>
                <c:pt idx="92">
                  <c:v>0.15615368150684927</c:v>
                </c:pt>
                <c:pt idx="93">
                  <c:v>6.9585736759307834E-2</c:v>
                </c:pt>
                <c:pt idx="94">
                  <c:v>0.12165619911607339</c:v>
                </c:pt>
                <c:pt idx="95">
                  <c:v>2.9493760509779463E-2</c:v>
                </c:pt>
                <c:pt idx="96">
                  <c:v>0.1495582223394436</c:v>
                </c:pt>
                <c:pt idx="97">
                  <c:v>0.12450133159410846</c:v>
                </c:pt>
                <c:pt idx="98">
                  <c:v>0.73837555784414688</c:v>
                </c:pt>
                <c:pt idx="99">
                  <c:v>0.48843940614570158</c:v>
                </c:pt>
              </c:numCache>
            </c:numRef>
          </c:val>
          <c:extLst>
            <c:ext xmlns:c16="http://schemas.microsoft.com/office/drawing/2014/chart" uri="{C3380CC4-5D6E-409C-BE32-E72D297353CC}">
              <c16:uniqueId val="{00000002-0DF9-4072-B77C-1F8E157B54BA}"/>
            </c:ext>
          </c:extLst>
        </c:ser>
        <c:dLbls>
          <c:showLegendKey val="0"/>
          <c:showVal val="0"/>
          <c:showCatName val="0"/>
          <c:showSerName val="0"/>
          <c:showPercent val="0"/>
          <c:showBubbleSize val="0"/>
        </c:dLbls>
        <c:gapWidth val="43"/>
        <c:overlap val="-27"/>
        <c:axId val="2002483903"/>
        <c:axId val="1786001343"/>
      </c:barChart>
      <c:catAx>
        <c:axId val="200248390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Patient</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1786001343"/>
        <c:crosses val="autoZero"/>
        <c:auto val="1"/>
        <c:lblAlgn val="ctr"/>
        <c:lblOffset val="100"/>
        <c:noMultiLvlLbl val="0"/>
      </c:catAx>
      <c:valAx>
        <c:axId val="1786001343"/>
        <c:scaling>
          <c:orientation val="minMax"/>
          <c:max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s-CO" sz="1100"/>
                  <a:t>Error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crossAx val="20024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s-CO"/>
              <a:t>Average volumetric error vs </a:t>
            </a:r>
          </a:p>
          <a:p>
            <a:pPr>
              <a:defRPr/>
            </a:pPr>
            <a:r>
              <a:rPr lang="es-CO"/>
              <a:t>Registration error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'mr vs lowdose'!$C$3:$C$53</c:f>
              <c:numCache>
                <c:formatCode>0.0</c:formatCode>
                <c:ptCount val="51"/>
                <c:pt idx="0">
                  <c:v>14.317</c:v>
                </c:pt>
                <c:pt idx="1">
                  <c:v>15.355600000000001</c:v>
                </c:pt>
                <c:pt idx="2">
                  <c:v>16.115300000000001</c:v>
                </c:pt>
                <c:pt idx="3">
                  <c:v>14.9489</c:v>
                </c:pt>
                <c:pt idx="4">
                  <c:v>16.8489</c:v>
                </c:pt>
                <c:pt idx="5">
                  <c:v>16.6313</c:v>
                </c:pt>
                <c:pt idx="6">
                  <c:v>15.1555</c:v>
                </c:pt>
                <c:pt idx="7">
                  <c:v>14.946099999999999</c:v>
                </c:pt>
                <c:pt idx="8">
                  <c:v>28.6356</c:v>
                </c:pt>
                <c:pt idx="9">
                  <c:v>11.12</c:v>
                </c:pt>
                <c:pt idx="10">
                  <c:v>18.245000000000001</c:v>
                </c:pt>
                <c:pt idx="11">
                  <c:v>16.16</c:v>
                </c:pt>
                <c:pt idx="12">
                  <c:v>11.9519</c:v>
                </c:pt>
                <c:pt idx="13">
                  <c:v>229.91200000000001</c:v>
                </c:pt>
                <c:pt idx="14">
                  <c:v>11.116199999999999</c:v>
                </c:pt>
                <c:pt idx="15">
                  <c:v>8.6941000000000006</c:v>
                </c:pt>
                <c:pt idx="16">
                  <c:v>16.3948</c:v>
                </c:pt>
                <c:pt idx="17">
                  <c:v>9.1877200000000006</c:v>
                </c:pt>
                <c:pt idx="18">
                  <c:v>9.7514699999999994</c:v>
                </c:pt>
                <c:pt idx="19">
                  <c:v>14.5603</c:v>
                </c:pt>
                <c:pt idx="20">
                  <c:v>45.878300000000003</c:v>
                </c:pt>
                <c:pt idx="21">
                  <c:v>10.3111</c:v>
                </c:pt>
                <c:pt idx="22">
                  <c:v>18.6081</c:v>
                </c:pt>
                <c:pt idx="23">
                  <c:v>9.39574</c:v>
                </c:pt>
                <c:pt idx="24">
                  <c:v>23.064399999999999</c:v>
                </c:pt>
                <c:pt idx="25">
                  <c:v>15.991199999999999</c:v>
                </c:pt>
                <c:pt idx="26">
                  <c:v>21.774799999999999</c:v>
                </c:pt>
                <c:pt idx="27">
                  <c:v>8.2635299999999994</c:v>
                </c:pt>
                <c:pt idx="28">
                  <c:v>18.4969</c:v>
                </c:pt>
                <c:pt idx="29">
                  <c:v>17.104099999999999</c:v>
                </c:pt>
                <c:pt idx="30">
                  <c:v>6.3888400000000001</c:v>
                </c:pt>
                <c:pt idx="31">
                  <c:v>13.615399999999999</c:v>
                </c:pt>
                <c:pt idx="32">
                  <c:v>15.07</c:v>
                </c:pt>
                <c:pt idx="33">
                  <c:v>8.5310000000000006</c:v>
                </c:pt>
                <c:pt idx="34">
                  <c:v>22.801100000000002</c:v>
                </c:pt>
                <c:pt idx="35">
                  <c:v>21.8644</c:v>
                </c:pt>
                <c:pt idx="36">
                  <c:v>11.968400000000001</c:v>
                </c:pt>
                <c:pt idx="37">
                  <c:v>10.656599999999999</c:v>
                </c:pt>
                <c:pt idx="38">
                  <c:v>21.233799999999999</c:v>
                </c:pt>
                <c:pt idx="39">
                  <c:v>21.5246</c:v>
                </c:pt>
                <c:pt idx="40">
                  <c:v>11.8483</c:v>
                </c:pt>
                <c:pt idx="41">
                  <c:v>13.23</c:v>
                </c:pt>
                <c:pt idx="42">
                  <c:v>8.3450000000000006</c:v>
                </c:pt>
                <c:pt idx="43">
                  <c:v>6.3259100000000004</c:v>
                </c:pt>
                <c:pt idx="44">
                  <c:v>8.4713700000000003</c:v>
                </c:pt>
                <c:pt idx="45">
                  <c:v>9.8608799999999999</c:v>
                </c:pt>
                <c:pt idx="46">
                  <c:v>17.686199999999999</c:v>
                </c:pt>
                <c:pt idx="47">
                  <c:v>11.7354</c:v>
                </c:pt>
                <c:pt idx="48">
                  <c:v>14.711399999999999</c:v>
                </c:pt>
                <c:pt idx="49">
                  <c:v>10.4777</c:v>
                </c:pt>
                <c:pt idx="50">
                  <c:v>9.7399299999999993</c:v>
                </c:pt>
              </c:numCache>
            </c:numRef>
          </c:xVal>
          <c:yVal>
            <c:numRef>
              <c:f>'mr vs lowdose'!$F$3:$F$53</c:f>
              <c:numCache>
                <c:formatCode>0.0%</c:formatCode>
                <c:ptCount val="51"/>
                <c:pt idx="0">
                  <c:v>3.54823808895341E-2</c:v>
                </c:pt>
                <c:pt idx="1">
                  <c:v>8.9348350764280021E-2</c:v>
                </c:pt>
                <c:pt idx="2">
                  <c:v>1.6097744360902232E-2</c:v>
                </c:pt>
                <c:pt idx="3">
                  <c:v>6.6299786973081101E-2</c:v>
                </c:pt>
                <c:pt idx="4">
                  <c:v>5.5626885793156562E-2</c:v>
                </c:pt>
                <c:pt idx="5">
                  <c:v>3.3632058506174262E-2</c:v>
                </c:pt>
                <c:pt idx="6">
                  <c:v>0.32301834352418013</c:v>
                </c:pt>
                <c:pt idx="7">
                  <c:v>4.7439942631767637E-2</c:v>
                </c:pt>
                <c:pt idx="8">
                  <c:v>9.4484760522496353E-2</c:v>
                </c:pt>
                <c:pt idx="9">
                  <c:v>0.13216758699272502</c:v>
                </c:pt>
                <c:pt idx="10">
                  <c:v>8.1017487002903329E-2</c:v>
                </c:pt>
                <c:pt idx="11">
                  <c:v>5.4484091270051271E-2</c:v>
                </c:pt>
                <c:pt idx="12">
                  <c:v>0.17437682179113481</c:v>
                </c:pt>
                <c:pt idx="13">
                  <c:v>0.1153869921211185</c:v>
                </c:pt>
                <c:pt idx="14">
                  <c:v>9.6118742943168967E-2</c:v>
                </c:pt>
                <c:pt idx="15">
                  <c:v>5.6109948288598784E-2</c:v>
                </c:pt>
                <c:pt idx="16">
                  <c:v>2.2693648499277321E-2</c:v>
                </c:pt>
                <c:pt idx="17">
                  <c:v>0.14672118101149981</c:v>
                </c:pt>
                <c:pt idx="18">
                  <c:v>4.6706409605953098E-2</c:v>
                </c:pt>
                <c:pt idx="19">
                  <c:v>0.12903634055383637</c:v>
                </c:pt>
                <c:pt idx="20">
                  <c:v>3.4042844432276981E-2</c:v>
                </c:pt>
                <c:pt idx="21">
                  <c:v>2.6058922965467243E-2</c:v>
                </c:pt>
                <c:pt idx="22">
                  <c:v>9.6429121923650038E-2</c:v>
                </c:pt>
                <c:pt idx="23">
                  <c:v>9.5215900890064972E-2</c:v>
                </c:pt>
                <c:pt idx="24">
                  <c:v>3.5827387156257516E-2</c:v>
                </c:pt>
                <c:pt idx="25">
                  <c:v>0.11626075108575329</c:v>
                </c:pt>
                <c:pt idx="26">
                  <c:v>4.974117262423712E-2</c:v>
                </c:pt>
                <c:pt idx="27">
                  <c:v>1.7407284889918082E-2</c:v>
                </c:pt>
                <c:pt idx="28">
                  <c:v>2.6858440220953093E-2</c:v>
                </c:pt>
                <c:pt idx="29">
                  <c:v>0.10800052548607462</c:v>
                </c:pt>
                <c:pt idx="30">
                  <c:v>9.0217391304347791E-2</c:v>
                </c:pt>
                <c:pt idx="31">
                  <c:v>0.12827791156427731</c:v>
                </c:pt>
                <c:pt idx="32">
                  <c:v>8.2587389741914541E-2</c:v>
                </c:pt>
                <c:pt idx="33">
                  <c:v>0.17410165987718132</c:v>
                </c:pt>
                <c:pt idx="34">
                  <c:v>8.1551281052877622E-2</c:v>
                </c:pt>
                <c:pt idx="35">
                  <c:v>0.15081999526925813</c:v>
                </c:pt>
                <c:pt idx="36">
                  <c:v>8.1376963618686932E-2</c:v>
                </c:pt>
                <c:pt idx="37">
                  <c:v>0.16140049772590753</c:v>
                </c:pt>
                <c:pt idx="38">
                  <c:v>3.5941763607640391E-2</c:v>
                </c:pt>
                <c:pt idx="39">
                  <c:v>3.3819552031090001E-2</c:v>
                </c:pt>
                <c:pt idx="40">
                  <c:v>5.1183233331934766E-2</c:v>
                </c:pt>
                <c:pt idx="41">
                  <c:v>5.4105163628723016E-2</c:v>
                </c:pt>
                <c:pt idx="42">
                  <c:v>4.4333655777959613E-2</c:v>
                </c:pt>
                <c:pt idx="43">
                  <c:v>5.0910061857505268E-2</c:v>
                </c:pt>
                <c:pt idx="44">
                  <c:v>4.8914602473155863E-2</c:v>
                </c:pt>
                <c:pt idx="45">
                  <c:v>0.12187232448630136</c:v>
                </c:pt>
                <c:pt idx="46">
                  <c:v>5.6523335081279533E-2</c:v>
                </c:pt>
                <c:pt idx="47">
                  <c:v>8.1984182367992472E-2</c:v>
                </c:pt>
                <c:pt idx="48">
                  <c:v>4.2831224002123962E-2</c:v>
                </c:pt>
                <c:pt idx="49">
                  <c:v>8.3568508505868402E-2</c:v>
                </c:pt>
                <c:pt idx="50">
                  <c:v>0.25687651053055593</c:v>
                </c:pt>
              </c:numCache>
            </c:numRef>
          </c:yVal>
          <c:smooth val="0"/>
          <c:extLst>
            <c:ext xmlns:c16="http://schemas.microsoft.com/office/drawing/2014/chart" uri="{C3380CC4-5D6E-409C-BE32-E72D297353CC}">
              <c16:uniqueId val="{00000000-2DC9-45B1-B243-9066A9714A23}"/>
            </c:ext>
          </c:extLst>
        </c:ser>
        <c:dLbls>
          <c:showLegendKey val="0"/>
          <c:showVal val="0"/>
          <c:showCatName val="0"/>
          <c:showSerName val="0"/>
          <c:showPercent val="0"/>
          <c:showBubbleSize val="0"/>
        </c:dLbls>
        <c:axId val="1810700879"/>
        <c:axId val="206272943"/>
      </c:scatterChart>
      <c:valAx>
        <c:axId val="1810700879"/>
        <c:scaling>
          <c:orientation val="minMax"/>
          <c:max val="30"/>
          <c:min val="5"/>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Registration error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06272943"/>
        <c:crosses val="autoZero"/>
        <c:crossBetween val="midCat"/>
      </c:valAx>
      <c:valAx>
        <c:axId val="206272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Mean volume error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81070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0"/>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s-CO"/>
              <a:t>CT volumetric error vs </a:t>
            </a:r>
          </a:p>
          <a:p>
            <a:pPr>
              <a:defRPr/>
            </a:pPr>
            <a:r>
              <a:rPr lang="es-CO"/>
              <a:t>Registration error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'mr vs lowdose'!$C$3:$C$53</c:f>
              <c:numCache>
                <c:formatCode>0.0</c:formatCode>
                <c:ptCount val="51"/>
                <c:pt idx="0">
                  <c:v>14.317</c:v>
                </c:pt>
                <c:pt idx="1">
                  <c:v>15.355600000000001</c:v>
                </c:pt>
                <c:pt idx="2">
                  <c:v>16.115300000000001</c:v>
                </c:pt>
                <c:pt idx="3">
                  <c:v>14.9489</c:v>
                </c:pt>
                <c:pt idx="4">
                  <c:v>16.8489</c:v>
                </c:pt>
                <c:pt idx="5">
                  <c:v>16.6313</c:v>
                </c:pt>
                <c:pt idx="6">
                  <c:v>15.1555</c:v>
                </c:pt>
                <c:pt idx="7">
                  <c:v>14.946099999999999</c:v>
                </c:pt>
                <c:pt idx="8">
                  <c:v>28.6356</c:v>
                </c:pt>
                <c:pt idx="9">
                  <c:v>11.12</c:v>
                </c:pt>
                <c:pt idx="10">
                  <c:v>18.245000000000001</c:v>
                </c:pt>
                <c:pt idx="11">
                  <c:v>16.16</c:v>
                </c:pt>
                <c:pt idx="12">
                  <c:v>11.9519</c:v>
                </c:pt>
                <c:pt idx="13">
                  <c:v>229.91200000000001</c:v>
                </c:pt>
                <c:pt idx="14">
                  <c:v>11.116199999999999</c:v>
                </c:pt>
                <c:pt idx="15">
                  <c:v>8.6941000000000006</c:v>
                </c:pt>
                <c:pt idx="16">
                  <c:v>16.3948</c:v>
                </c:pt>
                <c:pt idx="17">
                  <c:v>9.1877200000000006</c:v>
                </c:pt>
                <c:pt idx="18">
                  <c:v>9.7514699999999994</c:v>
                </c:pt>
                <c:pt idx="19">
                  <c:v>14.5603</c:v>
                </c:pt>
                <c:pt idx="20">
                  <c:v>45.878300000000003</c:v>
                </c:pt>
                <c:pt idx="21">
                  <c:v>10.3111</c:v>
                </c:pt>
                <c:pt idx="22">
                  <c:v>18.6081</c:v>
                </c:pt>
                <c:pt idx="23">
                  <c:v>9.39574</c:v>
                </c:pt>
                <c:pt idx="24">
                  <c:v>23.064399999999999</c:v>
                </c:pt>
                <c:pt idx="25">
                  <c:v>15.991199999999999</c:v>
                </c:pt>
                <c:pt idx="26">
                  <c:v>21.774799999999999</c:v>
                </c:pt>
                <c:pt idx="27">
                  <c:v>8.2635299999999994</c:v>
                </c:pt>
                <c:pt idx="28">
                  <c:v>18.4969</c:v>
                </c:pt>
                <c:pt idx="29">
                  <c:v>17.104099999999999</c:v>
                </c:pt>
                <c:pt idx="30">
                  <c:v>6.3888400000000001</c:v>
                </c:pt>
                <c:pt idx="31">
                  <c:v>13.615399999999999</c:v>
                </c:pt>
                <c:pt idx="32">
                  <c:v>15.07</c:v>
                </c:pt>
                <c:pt idx="33">
                  <c:v>8.5310000000000006</c:v>
                </c:pt>
                <c:pt idx="34">
                  <c:v>22.801100000000002</c:v>
                </c:pt>
                <c:pt idx="35">
                  <c:v>21.8644</c:v>
                </c:pt>
                <c:pt idx="36">
                  <c:v>11.968400000000001</c:v>
                </c:pt>
                <c:pt idx="37">
                  <c:v>10.656599999999999</c:v>
                </c:pt>
                <c:pt idx="38">
                  <c:v>21.233799999999999</c:v>
                </c:pt>
                <c:pt idx="39">
                  <c:v>21.5246</c:v>
                </c:pt>
                <c:pt idx="40">
                  <c:v>11.8483</c:v>
                </c:pt>
                <c:pt idx="41">
                  <c:v>13.23</c:v>
                </c:pt>
                <c:pt idx="42">
                  <c:v>8.3450000000000006</c:v>
                </c:pt>
                <c:pt idx="43">
                  <c:v>6.3259100000000004</c:v>
                </c:pt>
                <c:pt idx="44">
                  <c:v>8.4713700000000003</c:v>
                </c:pt>
                <c:pt idx="45">
                  <c:v>9.8608799999999999</c:v>
                </c:pt>
                <c:pt idx="46">
                  <c:v>17.686199999999999</c:v>
                </c:pt>
                <c:pt idx="47">
                  <c:v>11.7354</c:v>
                </c:pt>
                <c:pt idx="48">
                  <c:v>14.711399999999999</c:v>
                </c:pt>
                <c:pt idx="49">
                  <c:v>10.4777</c:v>
                </c:pt>
                <c:pt idx="50">
                  <c:v>9.7399299999999993</c:v>
                </c:pt>
              </c:numCache>
            </c:numRef>
          </c:xVal>
          <c:yVal>
            <c:numRef>
              <c:f>'mr vs lowdose'!$E$3:$E$53</c:f>
              <c:numCache>
                <c:formatCode>0.0%</c:formatCode>
                <c:ptCount val="51"/>
                <c:pt idx="0">
                  <c:v>5.8717170384057021E-2</c:v>
                </c:pt>
                <c:pt idx="1">
                  <c:v>0.15115044247787621</c:v>
                </c:pt>
                <c:pt idx="2">
                  <c:v>2.6157894736842078E-2</c:v>
                </c:pt>
                <c:pt idx="3">
                  <c:v>9.7069266025434059E-2</c:v>
                </c:pt>
                <c:pt idx="4">
                  <c:v>1.9727803813314512E-2</c:v>
                </c:pt>
                <c:pt idx="5">
                  <c:v>5.9219518043400046E-2</c:v>
                </c:pt>
                <c:pt idx="6">
                  <c:v>0.57086158977209567</c:v>
                </c:pt>
                <c:pt idx="7">
                  <c:v>1.0577267837934744E-2</c:v>
                </c:pt>
                <c:pt idx="8">
                  <c:v>0.16852443154329944</c:v>
                </c:pt>
                <c:pt idx="9">
                  <c:v>0.17338942939784374</c:v>
                </c:pt>
                <c:pt idx="10">
                  <c:v>0.13298224292755387</c:v>
                </c:pt>
                <c:pt idx="11">
                  <c:v>4.6656784371856573E-2</c:v>
                </c:pt>
                <c:pt idx="12">
                  <c:v>0.32840989044125041</c:v>
                </c:pt>
                <c:pt idx="13">
                  <c:v>0.19824656264483229</c:v>
                </c:pt>
                <c:pt idx="14">
                  <c:v>0.14867331576966503</c:v>
                </c:pt>
                <c:pt idx="15">
                  <c:v>7.5067717311007032E-2</c:v>
                </c:pt>
                <c:pt idx="16">
                  <c:v>1.0407278292662197E-2</c:v>
                </c:pt>
                <c:pt idx="17">
                  <c:v>0.22922685129919232</c:v>
                </c:pt>
                <c:pt idx="18">
                  <c:v>5.7737189244038735E-2</c:v>
                </c:pt>
                <c:pt idx="19">
                  <c:v>0.21701896373879229</c:v>
                </c:pt>
                <c:pt idx="20">
                  <c:v>5.1892409828211583E-2</c:v>
                </c:pt>
                <c:pt idx="21">
                  <c:v>1.2615310311518904E-2</c:v>
                </c:pt>
                <c:pt idx="22">
                  <c:v>7.0318039356728104E-2</c:v>
                </c:pt>
                <c:pt idx="23">
                  <c:v>0.14595261005532839</c:v>
                </c:pt>
                <c:pt idx="24">
                  <c:v>2.9455624148160033E-2</c:v>
                </c:pt>
                <c:pt idx="25">
                  <c:v>7.275823895086439E-2</c:v>
                </c:pt>
                <c:pt idx="26">
                  <c:v>7.8868788142981691E-2</c:v>
                </c:pt>
                <c:pt idx="27">
                  <c:v>2.7753886867350395E-2</c:v>
                </c:pt>
                <c:pt idx="28">
                  <c:v>3.9537496489092799E-2</c:v>
                </c:pt>
                <c:pt idx="29">
                  <c:v>0.11510772464529687</c:v>
                </c:pt>
                <c:pt idx="30">
                  <c:v>0.16840759186969984</c:v>
                </c:pt>
                <c:pt idx="31">
                  <c:v>0.24135369165343032</c:v>
                </c:pt>
                <c:pt idx="32">
                  <c:v>0.11062211228823457</c:v>
                </c:pt>
                <c:pt idx="33">
                  <c:v>0.21575363288137661</c:v>
                </c:pt>
                <c:pt idx="34">
                  <c:v>4.0993692080056154E-2</c:v>
                </c:pt>
                <c:pt idx="35">
                  <c:v>0.18341874950721448</c:v>
                </c:pt>
                <c:pt idx="36">
                  <c:v>9.7937880571048394E-2</c:v>
                </c:pt>
                <c:pt idx="37">
                  <c:v>0.2990217111473441</c:v>
                </c:pt>
                <c:pt idx="38">
                  <c:v>6.2487433577480961E-2</c:v>
                </c:pt>
                <c:pt idx="39">
                  <c:v>5.2645537378882903E-2</c:v>
                </c:pt>
                <c:pt idx="40">
                  <c:v>7.581924222716413E-2</c:v>
                </c:pt>
                <c:pt idx="41">
                  <c:v>6.2593896097074039E-2</c:v>
                </c:pt>
                <c:pt idx="42">
                  <c:v>4.7510975519011761E-2</c:v>
                </c:pt>
                <c:pt idx="43">
                  <c:v>9.8811801877976044E-2</c:v>
                </c:pt>
                <c:pt idx="44">
                  <c:v>7.0748536651548719E-2</c:v>
                </c:pt>
                <c:pt idx="45">
                  <c:v>0.15615368150684927</c:v>
                </c:pt>
                <c:pt idx="46">
                  <c:v>6.9585736759307834E-2</c:v>
                </c:pt>
                <c:pt idx="47">
                  <c:v>0.12165619911607339</c:v>
                </c:pt>
                <c:pt idx="48">
                  <c:v>2.9493760509779463E-2</c:v>
                </c:pt>
                <c:pt idx="49">
                  <c:v>0.1495582223394436</c:v>
                </c:pt>
                <c:pt idx="50">
                  <c:v>0.48843940614570158</c:v>
                </c:pt>
              </c:numCache>
            </c:numRef>
          </c:yVal>
          <c:smooth val="0"/>
          <c:extLst>
            <c:ext xmlns:c16="http://schemas.microsoft.com/office/drawing/2014/chart" uri="{C3380CC4-5D6E-409C-BE32-E72D297353CC}">
              <c16:uniqueId val="{00000000-60E6-4F99-9AA7-E5BFAAC06BE6}"/>
            </c:ext>
          </c:extLst>
        </c:ser>
        <c:dLbls>
          <c:showLegendKey val="0"/>
          <c:showVal val="0"/>
          <c:showCatName val="0"/>
          <c:showSerName val="0"/>
          <c:showPercent val="0"/>
          <c:showBubbleSize val="0"/>
        </c:dLbls>
        <c:axId val="1810700879"/>
        <c:axId val="206272943"/>
      </c:scatterChart>
      <c:valAx>
        <c:axId val="1810700879"/>
        <c:scaling>
          <c:orientation val="minMax"/>
          <c:max val="30"/>
          <c:min val="5"/>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Registration error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06272943"/>
        <c:crosses val="autoZero"/>
        <c:crossBetween val="midCat"/>
      </c:valAx>
      <c:valAx>
        <c:axId val="206272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CT Error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81070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0"/>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s-CO"/>
              <a:t>MR volumetric error vs </a:t>
            </a:r>
          </a:p>
          <a:p>
            <a:pPr>
              <a:defRPr/>
            </a:pPr>
            <a:r>
              <a:rPr lang="es-CO"/>
              <a:t>Registration error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'mr vs lowdose'!$C$3:$C$53</c:f>
              <c:numCache>
                <c:formatCode>0.0</c:formatCode>
                <c:ptCount val="51"/>
                <c:pt idx="0">
                  <c:v>14.317</c:v>
                </c:pt>
                <c:pt idx="1">
                  <c:v>15.355600000000001</c:v>
                </c:pt>
                <c:pt idx="2">
                  <c:v>16.115300000000001</c:v>
                </c:pt>
                <c:pt idx="3">
                  <c:v>14.9489</c:v>
                </c:pt>
                <c:pt idx="4">
                  <c:v>16.8489</c:v>
                </c:pt>
                <c:pt idx="5">
                  <c:v>16.6313</c:v>
                </c:pt>
                <c:pt idx="6">
                  <c:v>15.1555</c:v>
                </c:pt>
                <c:pt idx="7">
                  <c:v>14.946099999999999</c:v>
                </c:pt>
                <c:pt idx="8">
                  <c:v>28.6356</c:v>
                </c:pt>
                <c:pt idx="9">
                  <c:v>11.12</c:v>
                </c:pt>
                <c:pt idx="10">
                  <c:v>18.245000000000001</c:v>
                </c:pt>
                <c:pt idx="11">
                  <c:v>16.16</c:v>
                </c:pt>
                <c:pt idx="12">
                  <c:v>11.9519</c:v>
                </c:pt>
                <c:pt idx="13">
                  <c:v>229.91200000000001</c:v>
                </c:pt>
                <c:pt idx="14">
                  <c:v>11.116199999999999</c:v>
                </c:pt>
                <c:pt idx="15">
                  <c:v>8.6941000000000006</c:v>
                </c:pt>
                <c:pt idx="16">
                  <c:v>16.3948</c:v>
                </c:pt>
                <c:pt idx="17">
                  <c:v>9.1877200000000006</c:v>
                </c:pt>
                <c:pt idx="18">
                  <c:v>9.7514699999999994</c:v>
                </c:pt>
                <c:pt idx="19">
                  <c:v>14.5603</c:v>
                </c:pt>
                <c:pt idx="20">
                  <c:v>45.878300000000003</c:v>
                </c:pt>
                <c:pt idx="21">
                  <c:v>10.3111</c:v>
                </c:pt>
                <c:pt idx="22">
                  <c:v>18.6081</c:v>
                </c:pt>
                <c:pt idx="23">
                  <c:v>9.39574</c:v>
                </c:pt>
                <c:pt idx="24">
                  <c:v>23.064399999999999</c:v>
                </c:pt>
                <c:pt idx="25">
                  <c:v>15.991199999999999</c:v>
                </c:pt>
                <c:pt idx="26">
                  <c:v>21.774799999999999</c:v>
                </c:pt>
                <c:pt idx="27">
                  <c:v>8.2635299999999994</c:v>
                </c:pt>
                <c:pt idx="28">
                  <c:v>18.4969</c:v>
                </c:pt>
                <c:pt idx="29">
                  <c:v>17.104099999999999</c:v>
                </c:pt>
                <c:pt idx="30">
                  <c:v>6.3888400000000001</c:v>
                </c:pt>
                <c:pt idx="31">
                  <c:v>13.615399999999999</c:v>
                </c:pt>
                <c:pt idx="32">
                  <c:v>15.07</c:v>
                </c:pt>
                <c:pt idx="33">
                  <c:v>8.5310000000000006</c:v>
                </c:pt>
                <c:pt idx="34">
                  <c:v>22.801100000000002</c:v>
                </c:pt>
                <c:pt idx="35">
                  <c:v>21.8644</c:v>
                </c:pt>
                <c:pt idx="36">
                  <c:v>11.968400000000001</c:v>
                </c:pt>
                <c:pt idx="37">
                  <c:v>10.656599999999999</c:v>
                </c:pt>
                <c:pt idx="38">
                  <c:v>21.233799999999999</c:v>
                </c:pt>
                <c:pt idx="39">
                  <c:v>21.5246</c:v>
                </c:pt>
                <c:pt idx="40">
                  <c:v>11.8483</c:v>
                </c:pt>
                <c:pt idx="41">
                  <c:v>13.23</c:v>
                </c:pt>
                <c:pt idx="42">
                  <c:v>8.3450000000000006</c:v>
                </c:pt>
                <c:pt idx="43">
                  <c:v>6.3259100000000004</c:v>
                </c:pt>
                <c:pt idx="44">
                  <c:v>8.4713700000000003</c:v>
                </c:pt>
                <c:pt idx="45">
                  <c:v>9.8608799999999999</c:v>
                </c:pt>
                <c:pt idx="46">
                  <c:v>17.686199999999999</c:v>
                </c:pt>
                <c:pt idx="47">
                  <c:v>11.7354</c:v>
                </c:pt>
                <c:pt idx="48">
                  <c:v>14.711399999999999</c:v>
                </c:pt>
                <c:pt idx="49">
                  <c:v>10.4777</c:v>
                </c:pt>
                <c:pt idx="50">
                  <c:v>9.7399299999999993</c:v>
                </c:pt>
              </c:numCache>
            </c:numRef>
          </c:xVal>
          <c:yVal>
            <c:numRef>
              <c:f>'mr vs lowdose'!$D$3:$D$53</c:f>
              <c:numCache>
                <c:formatCode>0.0%</c:formatCode>
                <c:ptCount val="51"/>
                <c:pt idx="0">
                  <c:v>1.2247591395011182E-2</c:v>
                </c:pt>
                <c:pt idx="1">
                  <c:v>2.7546259050683836E-2</c:v>
                </c:pt>
                <c:pt idx="2">
                  <c:v>6.0375939849623859E-3</c:v>
                </c:pt>
                <c:pt idx="3">
                  <c:v>3.5530307920728144E-2</c:v>
                </c:pt>
                <c:pt idx="4">
                  <c:v>9.1525967772998609E-2</c:v>
                </c:pt>
                <c:pt idx="5">
                  <c:v>8.0445989689484736E-3</c:v>
                </c:pt>
                <c:pt idx="6">
                  <c:v>7.5175097276264591E-2</c:v>
                </c:pt>
                <c:pt idx="7">
                  <c:v>8.4302617425600537E-2</c:v>
                </c:pt>
                <c:pt idx="8">
                  <c:v>2.044508950169327E-2</c:v>
                </c:pt>
                <c:pt idx="9">
                  <c:v>9.0945744587606264E-2</c:v>
                </c:pt>
                <c:pt idx="10">
                  <c:v>2.9052731078252788E-2</c:v>
                </c:pt>
                <c:pt idx="11">
                  <c:v>6.231139816824597E-2</c:v>
                </c:pt>
                <c:pt idx="12">
                  <c:v>2.0343753141019206E-2</c:v>
                </c:pt>
                <c:pt idx="13">
                  <c:v>3.2527421597404703E-2</c:v>
                </c:pt>
                <c:pt idx="14">
                  <c:v>4.35641701166729E-2</c:v>
                </c:pt>
                <c:pt idx="15">
                  <c:v>3.7152179266190535E-2</c:v>
                </c:pt>
                <c:pt idx="16">
                  <c:v>3.4980018705892443E-2</c:v>
                </c:pt>
                <c:pt idx="17">
                  <c:v>6.4215510723807295E-2</c:v>
                </c:pt>
                <c:pt idx="18">
                  <c:v>3.567562996786746E-2</c:v>
                </c:pt>
                <c:pt idx="19">
                  <c:v>4.1053717368880437E-2</c:v>
                </c:pt>
                <c:pt idx="20">
                  <c:v>1.6193279036342382E-2</c:v>
                </c:pt>
                <c:pt idx="21">
                  <c:v>3.950253561941558E-2</c:v>
                </c:pt>
                <c:pt idx="22">
                  <c:v>0.12254020449057197</c:v>
                </c:pt>
                <c:pt idx="23">
                  <c:v>4.447919172480156E-2</c:v>
                </c:pt>
                <c:pt idx="24">
                  <c:v>4.2199150164355E-2</c:v>
                </c:pt>
                <c:pt idx="25">
                  <c:v>0.15976326322064219</c:v>
                </c:pt>
                <c:pt idx="26">
                  <c:v>2.061355710549255E-2</c:v>
                </c:pt>
                <c:pt idx="27">
                  <c:v>7.0606829124857714E-3</c:v>
                </c:pt>
                <c:pt idx="28">
                  <c:v>1.4179383952813391E-2</c:v>
                </c:pt>
                <c:pt idx="29">
                  <c:v>0.10089332632685238</c:v>
                </c:pt>
                <c:pt idx="30">
                  <c:v>1.2027190738995754E-2</c:v>
                </c:pt>
                <c:pt idx="31">
                  <c:v>1.5202131475124288E-2</c:v>
                </c:pt>
                <c:pt idx="32">
                  <c:v>5.4552667195594498E-2</c:v>
                </c:pt>
                <c:pt idx="33">
                  <c:v>0.13244968687298603</c:v>
                </c:pt>
                <c:pt idx="34">
                  <c:v>0.12210887002569909</c:v>
                </c:pt>
                <c:pt idx="35">
                  <c:v>0.11822124103130179</c:v>
                </c:pt>
                <c:pt idx="36">
                  <c:v>6.4816046666325455E-2</c:v>
                </c:pt>
                <c:pt idx="37">
                  <c:v>2.3779284304470984E-2</c:v>
                </c:pt>
                <c:pt idx="38">
                  <c:v>9.3960936377998263E-3</c:v>
                </c:pt>
                <c:pt idx="39">
                  <c:v>1.4993566683297104E-2</c:v>
                </c:pt>
                <c:pt idx="40">
                  <c:v>2.6547224436705399E-2</c:v>
                </c:pt>
                <c:pt idx="41">
                  <c:v>4.5616431160371985E-2</c:v>
                </c:pt>
                <c:pt idx="42">
                  <c:v>4.1156336036907465E-2</c:v>
                </c:pt>
                <c:pt idx="43">
                  <c:v>3.0083218370344973E-3</c:v>
                </c:pt>
                <c:pt idx="44">
                  <c:v>2.7080668294763008E-2</c:v>
                </c:pt>
                <c:pt idx="45">
                  <c:v>8.7590967465753455E-2</c:v>
                </c:pt>
                <c:pt idx="46">
                  <c:v>4.3460933403251238E-2</c:v>
                </c:pt>
                <c:pt idx="47">
                  <c:v>4.2312165619911558E-2</c:v>
                </c:pt>
                <c:pt idx="48">
                  <c:v>5.6168687494468461E-2</c:v>
                </c:pt>
                <c:pt idx="49">
                  <c:v>1.7578794672293192E-2</c:v>
                </c:pt>
                <c:pt idx="50">
                  <c:v>2.5313614915410294E-2</c:v>
                </c:pt>
              </c:numCache>
            </c:numRef>
          </c:yVal>
          <c:smooth val="0"/>
          <c:extLst>
            <c:ext xmlns:c16="http://schemas.microsoft.com/office/drawing/2014/chart" uri="{C3380CC4-5D6E-409C-BE32-E72D297353CC}">
              <c16:uniqueId val="{00000000-CA3A-429C-A567-9090BD7F163A}"/>
            </c:ext>
          </c:extLst>
        </c:ser>
        <c:dLbls>
          <c:showLegendKey val="0"/>
          <c:showVal val="0"/>
          <c:showCatName val="0"/>
          <c:showSerName val="0"/>
          <c:showPercent val="0"/>
          <c:showBubbleSize val="0"/>
        </c:dLbls>
        <c:axId val="1810700879"/>
        <c:axId val="206272943"/>
      </c:scatterChart>
      <c:valAx>
        <c:axId val="1810700879"/>
        <c:scaling>
          <c:orientation val="minMax"/>
          <c:max val="30"/>
          <c:min val="5"/>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Registration error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06272943"/>
        <c:crosses val="autoZero"/>
        <c:crossBetween val="midCat"/>
      </c:valAx>
      <c:valAx>
        <c:axId val="206272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s-CO"/>
                  <a:t>CT Error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title>
        <c:numFmt formatCod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81070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0"/>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438149</xdr:colOff>
      <xdr:row>2</xdr:row>
      <xdr:rowOff>171450</xdr:rowOff>
    </xdr:from>
    <xdr:to>
      <xdr:col>29</xdr:col>
      <xdr:colOff>498230</xdr:colOff>
      <xdr:row>19</xdr:row>
      <xdr:rowOff>76200</xdr:rowOff>
    </xdr:to>
    <xdr:graphicFrame macro="">
      <xdr:nvGraphicFramePr>
        <xdr:cNvPr id="2" name="Chart 1">
          <a:extLst>
            <a:ext uri="{FF2B5EF4-FFF2-40B4-BE49-F238E27FC236}">
              <a16:creationId xmlns:a16="http://schemas.microsoft.com/office/drawing/2014/main" id="{4A42EAC6-893C-43EB-81C3-2D204D893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454764</xdr:colOff>
      <xdr:row>36</xdr:row>
      <xdr:rowOff>114471</xdr:rowOff>
    </xdr:from>
    <xdr:to>
      <xdr:col>29</xdr:col>
      <xdr:colOff>504264</xdr:colOff>
      <xdr:row>53</xdr:row>
      <xdr:rowOff>19221</xdr:rowOff>
    </xdr:to>
    <xdr:graphicFrame macro="">
      <xdr:nvGraphicFramePr>
        <xdr:cNvPr id="5" name="Chart 4">
          <a:extLst>
            <a:ext uri="{FF2B5EF4-FFF2-40B4-BE49-F238E27FC236}">
              <a16:creationId xmlns:a16="http://schemas.microsoft.com/office/drawing/2014/main" id="{BA2AB1BA-98C3-4E57-92EF-858F4A30B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472109</xdr:colOff>
      <xdr:row>19</xdr:row>
      <xdr:rowOff>157369</xdr:rowOff>
    </xdr:from>
    <xdr:to>
      <xdr:col>29</xdr:col>
      <xdr:colOff>513522</xdr:colOff>
      <xdr:row>36</xdr:row>
      <xdr:rowOff>62119</xdr:rowOff>
    </xdr:to>
    <xdr:graphicFrame macro="">
      <xdr:nvGraphicFramePr>
        <xdr:cNvPr id="6" name="Chart 5">
          <a:extLst>
            <a:ext uri="{FF2B5EF4-FFF2-40B4-BE49-F238E27FC236}">
              <a16:creationId xmlns:a16="http://schemas.microsoft.com/office/drawing/2014/main" id="{842695E9-328D-424C-ABEB-C9CED4419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552453</xdr:colOff>
      <xdr:row>3</xdr:row>
      <xdr:rowOff>38100</xdr:rowOff>
    </xdr:from>
    <xdr:to>
      <xdr:col>17</xdr:col>
      <xdr:colOff>564933</xdr:colOff>
      <xdr:row>19</xdr:row>
      <xdr:rowOff>133350</xdr:rowOff>
    </xdr:to>
    <xdr:graphicFrame macro="">
      <xdr:nvGraphicFramePr>
        <xdr:cNvPr id="2" name="Chart 1">
          <a:extLst>
            <a:ext uri="{FF2B5EF4-FFF2-40B4-BE49-F238E27FC236}">
              <a16:creationId xmlns:a16="http://schemas.microsoft.com/office/drawing/2014/main" id="{71FE932E-8EDB-463C-9917-BA0EE31B7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528733</xdr:colOff>
      <xdr:row>20</xdr:row>
      <xdr:rowOff>45652</xdr:rowOff>
    </xdr:from>
    <xdr:to>
      <xdr:col>31</xdr:col>
      <xdr:colOff>173832</xdr:colOff>
      <xdr:row>36</xdr:row>
      <xdr:rowOff>140902</xdr:rowOff>
    </xdr:to>
    <xdr:graphicFrame macro="">
      <xdr:nvGraphicFramePr>
        <xdr:cNvPr id="5" name="Chart 4">
          <a:extLst>
            <a:ext uri="{FF2B5EF4-FFF2-40B4-BE49-F238E27FC236}">
              <a16:creationId xmlns:a16="http://schemas.microsoft.com/office/drawing/2014/main" id="{8022450D-78FB-4FB5-A91F-34BD8B98F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529828</xdr:colOff>
      <xdr:row>36</xdr:row>
      <xdr:rowOff>184545</xdr:rowOff>
    </xdr:from>
    <xdr:to>
      <xdr:col>31</xdr:col>
      <xdr:colOff>174927</xdr:colOff>
      <xdr:row>53</xdr:row>
      <xdr:rowOff>89295</xdr:rowOff>
    </xdr:to>
    <xdr:graphicFrame macro="">
      <xdr:nvGraphicFramePr>
        <xdr:cNvPr id="8" name="Chart 7">
          <a:extLst>
            <a:ext uri="{FF2B5EF4-FFF2-40B4-BE49-F238E27FC236}">
              <a16:creationId xmlns:a16="http://schemas.microsoft.com/office/drawing/2014/main" id="{56056D68-1284-4F81-8C31-04BE1A483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466725</xdr:colOff>
      <xdr:row>1</xdr:row>
      <xdr:rowOff>180975</xdr:rowOff>
    </xdr:from>
    <xdr:to>
      <xdr:col>11</xdr:col>
      <xdr:colOff>29450</xdr:colOff>
      <xdr:row>12</xdr:row>
      <xdr:rowOff>143162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466725" y="371475"/>
          <a:ext cx="6268325" cy="20576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419833</xdr:colOff>
      <xdr:row>2</xdr:row>
      <xdr:rowOff>5495</xdr:rowOff>
    </xdr:from>
    <xdr:to>
      <xdr:col>14</xdr:col>
      <xdr:colOff>116498</xdr:colOff>
      <xdr:row>16</xdr:row>
      <xdr:rowOff>81695</xdr:rowOff>
    </xdr:to>
    <xdr:graphicFrame macro="">
      <xdr:nvGraphicFramePr>
        <xdr:cNvPr id="3" name="Chart 2">
          <a:extLst>
            <a:ext uri="{FF2B5EF4-FFF2-40B4-BE49-F238E27FC236}">
              <a16:creationId xmlns:a16="http://schemas.microsoft.com/office/drawing/2014/main" id="{05FDC26E-C5AE-484C-B652-60902C418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417633</xdr:colOff>
      <xdr:row>17</xdr:row>
      <xdr:rowOff>7327</xdr:rowOff>
    </xdr:from>
    <xdr:to>
      <xdr:col>14</xdr:col>
      <xdr:colOff>114298</xdr:colOff>
      <xdr:row>31</xdr:row>
      <xdr:rowOff>83527</xdr:rowOff>
    </xdr:to>
    <xdr:graphicFrame macro="">
      <xdr:nvGraphicFramePr>
        <xdr:cNvPr id="5" name="Chart 4">
          <a:extLst>
            <a:ext uri="{FF2B5EF4-FFF2-40B4-BE49-F238E27FC236}">
              <a16:creationId xmlns:a16="http://schemas.microsoft.com/office/drawing/2014/main" id="{7140B894-3AA3-4C84-9590-16B5D40AB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32</xdr:row>
      <xdr:rowOff>114300</xdr:rowOff>
    </xdr:from>
    <xdr:to>
      <xdr:col>14</xdr:col>
      <xdr:colOff>115765</xdr:colOff>
      <xdr:row>47</xdr:row>
      <xdr:rowOff>0</xdr:rowOff>
    </xdr:to>
    <xdr:graphicFrame macro="">
      <xdr:nvGraphicFramePr>
        <xdr:cNvPr id="6" name="Chart 5">
          <a:extLst>
            <a:ext uri="{FF2B5EF4-FFF2-40B4-BE49-F238E27FC236}">
              <a16:creationId xmlns:a16="http://schemas.microsoft.com/office/drawing/2014/main" id="{8EECD5F3-A8FD-4BE3-9184-A1FE5A48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4" dataDxfId="23">
  <autoFilter ref="A1:G104" xr:uid="{00000000-0009-0000-0100-000001000000}"/>
  <sortState xmlns:xlrd2="http://schemas.microsoft.com/office/spreadsheetml/2017/richdata2" ref="A2:G104">
    <sortCondition ref="A1:A104"/>
  </sortState>
  <tableColumns count="7">
    <tableColumn id="1" xr3:uid="{00000000-0010-0000-0000-000001000000}" name="ID" dataDxfId="22"/>
    <tableColumn id="2" xr3:uid="{00000000-0010-0000-0000-000002000000}" name="Volume A" dataDxfId="21"/>
    <tableColumn id="3" xr3:uid="{00000000-0010-0000-0000-000003000000}" name="Volume P" dataDxfId="20"/>
    <tableColumn id="5" xr3:uid="{00000000-0010-0000-0000-000005000000}" name="Modality" dataDxfId="19"/>
    <tableColumn id="6" xr3:uid="{00000000-0010-0000-0000-000006000000}" name="Spalte3" dataDxfId="18"/>
    <tableColumn id="7" xr3:uid="{00000000-0010-0000-0000-000007000000}" name="Spalte4" dataDxfId="17"/>
    <tableColumn id="8" xr3:uid="{00000000-0010-0000-0000-000008000000}" name="Läsionen gut segmentierbar" dataDxfId="16"/>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0"/>
  <sheetViews>
    <sheetView zoomScaleNormal="100" workbookViewId="0">
      <pane xSplit="1" ySplit="1" topLeftCell="B62" activePane="bottomRight" state="frozen"/>
      <selection pane="topRight" activeCell="B1" sqref="B1"/>
      <selection pane="bottomLeft" activeCell="A2" sqref="A2"/>
      <selection pane="bottomRight" activeCell="F65" sqref="F65"/>
    </sheetView>
  </sheetViews>
  <sheetFormatPr defaultColWidth="9.140625" defaultRowHeight="1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9.140625" style="3"/>
    <col min="9" max="9" width="22.7109375" style="3" bestFit="1" customWidth="1"/>
    <col min="10" max="10" width="9.140625" style="3"/>
    <col min="11" max="11" width="18" style="3" bestFit="1" customWidth="1"/>
    <col min="12" max="12" width="17.5703125" style="3" bestFit="1" customWidth="1"/>
    <col min="13" max="13" width="22" style="3" bestFit="1" customWidth="1"/>
    <col min="14" max="17" width="9.140625" style="3"/>
    <col min="19" max="20" width="9.140625" style="3"/>
    <col min="21" max="21" width="12.28515625" style="3" bestFit="1" customWidth="1"/>
    <col min="22" max="22" width="11.5703125" style="3" bestFit="1" customWidth="1"/>
    <col min="23" max="16384" width="9.140625" style="3"/>
  </cols>
  <sheetData>
    <row r="1" spans="1:22" ht="30">
      <c r="A1" s="1" t="s">
        <v>0</v>
      </c>
      <c r="B1" s="1" t="s">
        <v>1</v>
      </c>
      <c r="C1" s="1" t="s">
        <v>2</v>
      </c>
      <c r="D1" s="2" t="s">
        <v>4</v>
      </c>
      <c r="E1" s="1" t="s">
        <v>5</v>
      </c>
      <c r="F1" s="1" t="s">
        <v>6</v>
      </c>
      <c r="G1" s="1" t="s">
        <v>7</v>
      </c>
      <c r="H1" s="3" t="s">
        <v>18</v>
      </c>
      <c r="I1" s="2" t="s">
        <v>3</v>
      </c>
      <c r="K1" s="3" t="s">
        <v>20</v>
      </c>
      <c r="L1" s="3" t="s">
        <v>21</v>
      </c>
      <c r="M1" s="3" t="s">
        <v>22</v>
      </c>
      <c r="N1" s="3" t="s">
        <v>23</v>
      </c>
      <c r="O1" s="3" t="s">
        <v>24</v>
      </c>
      <c r="S1" s="3" t="s">
        <v>50</v>
      </c>
      <c r="T1" s="3" t="s">
        <v>51</v>
      </c>
      <c r="U1" s="3" t="s">
        <v>23</v>
      </c>
      <c r="V1" s="3" t="s">
        <v>24</v>
      </c>
    </row>
    <row r="2" spans="1:22" ht="16.5">
      <c r="A2" s="13">
        <v>1</v>
      </c>
      <c r="B2" s="3">
        <v>1801.8</v>
      </c>
      <c r="C2" s="3">
        <v>1665.6</v>
      </c>
      <c r="D2" s="3" t="s">
        <v>8</v>
      </c>
      <c r="H2" s="5">
        <f>ABS((Table1[[#This Row],[Volume A]]-Table1[[#This Row],[Volume P]])/Table1[[#This Row],[Volume P]])</f>
        <v>8.177233429394816E-2</v>
      </c>
      <c r="K2">
        <v>11.26</v>
      </c>
      <c r="L2">
        <v>21.07</v>
      </c>
      <c r="M2">
        <v>12.62</v>
      </c>
      <c r="N2" s="3">
        <f>0.31*M2*L2*K2</f>
        <v>928.16240803999995</v>
      </c>
      <c r="O2" s="4">
        <f>ABS((N2-Table1[[#This Row],[Volume P]])/Table1[[#This Row],[Volume P]])</f>
        <v>0.44274591256003842</v>
      </c>
      <c r="S2" s="61">
        <v>75</v>
      </c>
      <c r="T2" s="61">
        <v>174</v>
      </c>
      <c r="U2" s="3">
        <f>1267.28 * SQRT(S2*T2/3600)-794.41</f>
        <v>1618.4192353998037</v>
      </c>
      <c r="V2" s="4">
        <f>ABS(Table1[[#This Row],[Volume P]]-U2)/Table1[[#This Row],[Volume P]]</f>
        <v>2.832658777629455E-2</v>
      </c>
    </row>
    <row r="3" spans="1:22" s="7" customFormat="1" ht="30.75">
      <c r="A3" s="15">
        <v>2</v>
      </c>
      <c r="B3" s="71">
        <v>1714.7</v>
      </c>
      <c r="C3" s="71">
        <v>1172.5999999999999</v>
      </c>
      <c r="D3" s="71" t="s">
        <v>8</v>
      </c>
      <c r="E3" s="71" t="s">
        <v>9</v>
      </c>
      <c r="F3" s="71" t="s">
        <v>66</v>
      </c>
      <c r="G3" s="71"/>
      <c r="H3" s="6">
        <f>ABS((Table1[[#This Row],[Volume A]]-Table1[[#This Row],[Volume P]])/Table1[[#This Row],[Volume P]])</f>
        <v>0.46230598669623074</v>
      </c>
      <c r="I3" s="71"/>
      <c r="K3" s="65">
        <v>12.58</v>
      </c>
      <c r="L3" s="65">
        <v>20.97</v>
      </c>
      <c r="M3" s="65">
        <v>11.39</v>
      </c>
      <c r="N3" s="3">
        <f t="shared" ref="N3:N66" si="0">0.31*M3*L3*K3</f>
        <v>931.46060034000004</v>
      </c>
      <c r="O3" s="4">
        <f>ABS((N3-Table1[[#This Row],[Volume P]])/Table1[[#This Row],[Volume P]])</f>
        <v>0.20564506196486432</v>
      </c>
      <c r="S3" s="61">
        <v>56</v>
      </c>
      <c r="T3" s="61">
        <v>150</v>
      </c>
      <c r="U3" s="3">
        <f t="shared" ref="U3:U66" si="1">1267.28 * SQRT(S3*T3/3600)-794.41</f>
        <v>1141.3921755678789</v>
      </c>
      <c r="V3" s="4">
        <f>ABS(Table1[[#This Row],[Volume P]]-U3)/Table1[[#This Row],[Volume P]]</f>
        <v>2.6614211523214238E-2</v>
      </c>
    </row>
    <row r="4" spans="1:22" ht="16.5">
      <c r="A4" s="15">
        <v>3</v>
      </c>
      <c r="B4" s="7">
        <v>2263.6</v>
      </c>
      <c r="C4" s="7">
        <v>2073</v>
      </c>
      <c r="D4" s="7" t="s">
        <v>8</v>
      </c>
      <c r="E4" s="7"/>
      <c r="F4" s="7"/>
      <c r="G4" s="7"/>
      <c r="H4" s="5">
        <f>ABS((Table1[[#This Row],[Volume A]]-Table1[[#This Row],[Volume P]])/Table1[[#This Row],[Volume P]])</f>
        <v>9.1944042450554708E-2</v>
      </c>
      <c r="K4">
        <v>18.2</v>
      </c>
      <c r="L4">
        <v>22.08</v>
      </c>
      <c r="M4">
        <v>14.88</v>
      </c>
      <c r="N4" s="3">
        <f t="shared" si="0"/>
        <v>1853.6813567999998</v>
      </c>
      <c r="O4" s="4">
        <f>ABS((N4-Table1[[#This Row],[Volume P]])/Table1[[#This Row],[Volume P]])</f>
        <v>0.10579770535455872</v>
      </c>
      <c r="S4" s="61">
        <v>49</v>
      </c>
      <c r="T4" s="61">
        <v>163</v>
      </c>
      <c r="U4" s="3">
        <f t="shared" si="1"/>
        <v>1093.2039263205047</v>
      </c>
      <c r="V4" s="4">
        <f>ABS(Table1[[#This Row],[Volume P]]-U4)/Table1[[#This Row],[Volume P]]</f>
        <v>0.47264644171707443</v>
      </c>
    </row>
    <row r="5" spans="1:22" ht="16.5">
      <c r="A5" s="13">
        <v>4</v>
      </c>
      <c r="B5" s="3">
        <v>1739.5</v>
      </c>
      <c r="C5" s="3">
        <v>1798</v>
      </c>
      <c r="D5" s="3" t="s">
        <v>8</v>
      </c>
      <c r="H5" s="5">
        <f>ABS((Table1[[#This Row],[Volume A]]-Table1[[#This Row],[Volume P]])/Table1[[#This Row],[Volume P]])</f>
        <v>3.2536151279199108E-2</v>
      </c>
      <c r="K5">
        <v>11.69</v>
      </c>
      <c r="L5">
        <v>23.2</v>
      </c>
      <c r="M5">
        <v>13.39</v>
      </c>
      <c r="N5" s="3">
        <f t="shared" si="0"/>
        <v>1125.7572871999998</v>
      </c>
      <c r="O5" s="4">
        <f>ABS((N5-Table1[[#This Row],[Volume P]])/Table1[[#This Row],[Volume P]])</f>
        <v>0.37388360000000009</v>
      </c>
      <c r="S5" s="61">
        <v>85</v>
      </c>
      <c r="T5" s="61">
        <v>178</v>
      </c>
      <c r="U5" s="3">
        <f t="shared" si="1"/>
        <v>1803.5998576598545</v>
      </c>
      <c r="V5" s="4">
        <f>ABS(Table1[[#This Row],[Volume P]]-U5)/Table1[[#This Row],[Volume P]]</f>
        <v>3.114492580564226E-3</v>
      </c>
    </row>
    <row r="6" spans="1:22" ht="16.5">
      <c r="A6" s="13">
        <v>5</v>
      </c>
      <c r="B6" s="3">
        <v>1941.7</v>
      </c>
      <c r="C6" s="3">
        <v>1775.9</v>
      </c>
      <c r="D6" s="3" t="s">
        <v>8</v>
      </c>
      <c r="H6" s="5">
        <f>ABS((Table1[[#This Row],[Volume A]]-Table1[[#This Row],[Volume P]])/Table1[[#This Row],[Volume P]])</f>
        <v>9.3361112675263216E-2</v>
      </c>
      <c r="K6">
        <v>11.65</v>
      </c>
      <c r="L6">
        <v>18.84</v>
      </c>
      <c r="M6">
        <v>13.95</v>
      </c>
      <c r="N6" s="3">
        <f t="shared" si="0"/>
        <v>949.16720699999985</v>
      </c>
      <c r="O6" s="4">
        <f>ABS((N6-Table1[[#This Row],[Volume P]])/Table1[[#This Row],[Volume P]])</f>
        <v>0.46552891097471716</v>
      </c>
      <c r="S6" s="61">
        <v>75</v>
      </c>
      <c r="T6" s="61">
        <v>172</v>
      </c>
      <c r="U6" s="3">
        <f t="shared" si="1"/>
        <v>1604.5123228219236</v>
      </c>
      <c r="V6" s="4">
        <f>ABS(Table1[[#This Row],[Volume P]]-U6)/Table1[[#This Row],[Volume P]]</f>
        <v>9.6507504464258403E-2</v>
      </c>
    </row>
    <row r="7" spans="1:22" s="8" customFormat="1" ht="16.5">
      <c r="A7" s="13">
        <v>6</v>
      </c>
      <c r="B7" s="3">
        <v>1526.8</v>
      </c>
      <c r="C7" s="3">
        <v>1515.4</v>
      </c>
      <c r="D7" s="3" t="s">
        <v>10</v>
      </c>
      <c r="E7" s="3"/>
      <c r="F7" s="3"/>
      <c r="G7" s="3"/>
      <c r="H7" s="5">
        <f>ABS((Table1[[#This Row],[Volume A]]-Table1[[#This Row],[Volume P]])/Table1[[#This Row],[Volume P]])</f>
        <v>7.5227662663322308E-3</v>
      </c>
      <c r="I7" s="3"/>
      <c r="K7" s="66">
        <v>10.8</v>
      </c>
      <c r="L7" s="66">
        <v>17.23</v>
      </c>
      <c r="M7" s="66">
        <v>12.92</v>
      </c>
      <c r="N7" s="9">
        <f t="shared" si="0"/>
        <v>745.30363680000005</v>
      </c>
      <c r="O7" s="4">
        <f>ABS((N7-Table1[[#This Row],[Volume P]])/Table1[[#This Row],[Volume P]])</f>
        <v>0.5081802581496635</v>
      </c>
      <c r="S7" s="61">
        <v>97</v>
      </c>
      <c r="T7" s="61">
        <v>176</v>
      </c>
      <c r="U7" s="3">
        <f t="shared" si="1"/>
        <v>1965.3005359421704</v>
      </c>
      <c r="V7" s="4">
        <f>ABS(Table1[[#This Row],[Volume P]]-U7)/Table1[[#This Row],[Volume P]]</f>
        <v>0.29688566447285886</v>
      </c>
    </row>
    <row r="8" spans="1:22" s="8" customFormat="1" ht="16.5">
      <c r="A8" s="13">
        <v>7</v>
      </c>
      <c r="B8" s="8">
        <v>1313.8</v>
      </c>
      <c r="C8" s="8">
        <v>1328.6</v>
      </c>
      <c r="D8" s="8" t="s">
        <v>10</v>
      </c>
      <c r="H8" s="5">
        <f>ABS((Table1[[#This Row],[Volume A]]-Table1[[#This Row],[Volume P]])/Table1[[#This Row],[Volume P]])</f>
        <v>1.1139545386120695E-2</v>
      </c>
      <c r="K8" s="67">
        <v>12.86</v>
      </c>
      <c r="L8" s="67">
        <v>19.190000000000001</v>
      </c>
      <c r="M8" s="67">
        <v>11.56</v>
      </c>
      <c r="N8" s="3">
        <f t="shared" si="0"/>
        <v>884.37299224000014</v>
      </c>
      <c r="O8" s="4">
        <f>ABS((N8-Table1[[#This Row],[Volume P]])/Table1[[#This Row],[Volume P]])</f>
        <v>0.33435722396507589</v>
      </c>
      <c r="S8" s="61">
        <v>76</v>
      </c>
      <c r="T8" s="61">
        <v>160</v>
      </c>
      <c r="U8" s="3">
        <f t="shared" si="1"/>
        <v>1534.6899070065197</v>
      </c>
      <c r="V8" s="4">
        <f>ABS(Table1[[#This Row],[Volume P]]-U8)/Table1[[#This Row],[Volume P]]</f>
        <v>0.15511809950814373</v>
      </c>
    </row>
    <row r="9" spans="1:22" s="8" customFormat="1" ht="16.5">
      <c r="A9" s="13">
        <v>8</v>
      </c>
      <c r="B9" s="8">
        <v>1304.0999999999999</v>
      </c>
      <c r="C9" s="8">
        <v>1243</v>
      </c>
      <c r="D9" s="8" t="s">
        <v>10</v>
      </c>
      <c r="H9" s="5">
        <f>ABS((Table1[[#This Row],[Volume A]]-Table1[[#This Row],[Volume P]])/Table1[[#This Row],[Volume P]])</f>
        <v>4.9155269509251739E-2</v>
      </c>
      <c r="K9" s="67">
        <v>12.1</v>
      </c>
      <c r="L9" s="67">
        <v>16.329999999999998</v>
      </c>
      <c r="M9" s="67">
        <v>11.08</v>
      </c>
      <c r="N9" s="3">
        <f t="shared" si="0"/>
        <v>678.69243639999991</v>
      </c>
      <c r="O9" s="4">
        <f>ABS((N9-Table1[[#This Row],[Volume P]])/Table1[[#This Row],[Volume P]])</f>
        <v>0.45398838584070805</v>
      </c>
      <c r="S9" s="61">
        <v>86</v>
      </c>
      <c r="T9" s="61">
        <v>165</v>
      </c>
      <c r="U9" s="3">
        <f t="shared" si="1"/>
        <v>1721.6009582485262</v>
      </c>
      <c r="V9" s="4">
        <f>ABS(Table1[[#This Row],[Volume P]]-U9)/Table1[[#This Row],[Volume P]]</f>
        <v>0.3850369736512681</v>
      </c>
    </row>
    <row r="10" spans="1:22" ht="16.5">
      <c r="A10" s="13">
        <v>9</v>
      </c>
      <c r="B10" s="8">
        <v>1620.4</v>
      </c>
      <c r="C10" s="8">
        <v>1516.3</v>
      </c>
      <c r="D10" s="8" t="s">
        <v>8</v>
      </c>
      <c r="E10" s="8"/>
      <c r="F10" s="8"/>
      <c r="G10" s="8"/>
      <c r="H10" s="5">
        <f>ABS((Table1[[#This Row],[Volume A]]-Table1[[#This Row],[Volume P]])/Table1[[#This Row],[Volume P]])</f>
        <v>6.8653960298094133E-2</v>
      </c>
      <c r="I10" s="8"/>
      <c r="K10">
        <v>12.51</v>
      </c>
      <c r="L10">
        <v>13.24</v>
      </c>
      <c r="M10">
        <v>13.56</v>
      </c>
      <c r="N10" s="3">
        <f>0.31*M10*L10*K10</f>
        <v>696.2523566399999</v>
      </c>
      <c r="O10" s="4">
        <f>ABS((N10-Table1[[#This Row],[Volume P]])/Table1[[#This Row],[Volume P]])</f>
        <v>0.54082150191914535</v>
      </c>
      <c r="S10" s="61">
        <v>107</v>
      </c>
      <c r="T10" s="61">
        <v>180</v>
      </c>
      <c r="U10" s="3">
        <f t="shared" si="1"/>
        <v>2136.8171323525921</v>
      </c>
      <c r="V10" s="4">
        <f>ABS(Table1[[#This Row],[Volume P]]-U10)/Table1[[#This Row],[Volume P]]</f>
        <v>0.40923111017120106</v>
      </c>
    </row>
    <row r="11" spans="1:22" ht="16.5">
      <c r="A11" s="13">
        <v>10</v>
      </c>
      <c r="B11" s="3">
        <v>1357.2</v>
      </c>
      <c r="C11" s="3">
        <v>1330</v>
      </c>
      <c r="D11" s="3" t="s">
        <v>10</v>
      </c>
      <c r="H11" s="5">
        <f>ABS((Table1[[#This Row],[Volume A]]-Table1[[#This Row],[Volume P]])/Table1[[#This Row],[Volume P]])</f>
        <v>2.0451127819548907E-2</v>
      </c>
      <c r="K11">
        <v>13.02</v>
      </c>
      <c r="L11">
        <v>16.14</v>
      </c>
      <c r="M11">
        <v>12.37</v>
      </c>
      <c r="N11" s="3">
        <f>0.31*M11*L11*K11</f>
        <v>805.83459515999994</v>
      </c>
      <c r="O11" s="4">
        <f>ABS((N11-Table1[[#This Row],[Volume P]])/Table1[[#This Row],[Volume P]])</f>
        <v>0.39410932694736844</v>
      </c>
      <c r="S11" s="61">
        <v>83</v>
      </c>
      <c r="T11" s="61">
        <v>168</v>
      </c>
      <c r="U11" s="3">
        <f t="shared" si="1"/>
        <v>1699.696634542584</v>
      </c>
      <c r="V11" s="4">
        <f>ABS(Table1[[#This Row],[Volume P]]-U11)/Table1[[#This Row],[Volume P]]</f>
        <v>0.27796739439292029</v>
      </c>
    </row>
    <row r="12" spans="1:22" s="8" customFormat="1" ht="16.5">
      <c r="A12" s="13">
        <v>11</v>
      </c>
      <c r="B12" s="3">
        <v>1566.9</v>
      </c>
      <c r="C12" s="3">
        <v>1549.1</v>
      </c>
      <c r="D12" s="3" t="s">
        <v>10</v>
      </c>
      <c r="E12" s="3"/>
      <c r="F12" s="3"/>
      <c r="G12" s="3"/>
      <c r="H12" s="5">
        <f>ABS((Table1[[#This Row],[Volume A]]-Table1[[#This Row],[Volume P]])/Table1[[#This Row],[Volume P]])</f>
        <v>1.1490542895875143E-2</v>
      </c>
      <c r="I12" s="3"/>
      <c r="K12" s="67">
        <v>9.9</v>
      </c>
      <c r="L12" s="67">
        <v>15.04</v>
      </c>
      <c r="M12" s="67">
        <v>14.82</v>
      </c>
      <c r="N12" s="3">
        <f t="shared" si="0"/>
        <v>684.05800320000003</v>
      </c>
      <c r="O12" s="4">
        <f>ABS((N12-Table1[[#This Row],[Volume P]])/Table1[[#This Row],[Volume P]])</f>
        <v>0.55841585230133617</v>
      </c>
      <c r="S12" s="61">
        <v>73</v>
      </c>
      <c r="T12" s="61">
        <v>152</v>
      </c>
      <c r="U12" s="3">
        <f t="shared" si="1"/>
        <v>1430.4595622094844</v>
      </c>
      <c r="V12" s="4">
        <f>ABS(Table1[[#This Row],[Volume P]]-U12)/Table1[[#This Row],[Volume P]]</f>
        <v>7.6586687618950058E-2</v>
      </c>
    </row>
    <row r="13" spans="1:22" ht="16.5">
      <c r="A13" s="13">
        <v>12</v>
      </c>
      <c r="B13" s="8">
        <v>1460.6</v>
      </c>
      <c r="C13" s="8">
        <v>1466.1</v>
      </c>
      <c r="D13" s="8" t="s">
        <v>8</v>
      </c>
      <c r="E13" s="8"/>
      <c r="F13" s="8"/>
      <c r="G13" s="8"/>
      <c r="H13" s="5">
        <f>ABS((Table1[[#This Row],[Volume A]]-Table1[[#This Row],[Volume P]])/Table1[[#This Row],[Volume P]])</f>
        <v>3.7514494236409526E-3</v>
      </c>
      <c r="I13" s="8"/>
      <c r="K13" s="67">
        <v>8.7100000000000009</v>
      </c>
      <c r="L13" s="67">
        <v>18.690000000000001</v>
      </c>
      <c r="M13" s="67">
        <v>15.18</v>
      </c>
      <c r="N13" s="3">
        <f t="shared" si="0"/>
        <v>766.05671142000006</v>
      </c>
      <c r="O13" s="4">
        <f>ABS((N13-Table1[[#This Row],[Volume P]])/Table1[[#This Row],[Volume P]])</f>
        <v>0.47748672572130135</v>
      </c>
      <c r="S13" s="61">
        <v>76</v>
      </c>
      <c r="T13" s="61">
        <v>168</v>
      </c>
      <c r="U13" s="3">
        <f t="shared" si="1"/>
        <v>1592.2072076096888</v>
      </c>
      <c r="V13" s="4">
        <f>ABS(Table1[[#This Row],[Volume P]]-U13)/Table1[[#This Row],[Volume P]]</f>
        <v>8.6015420237152238E-2</v>
      </c>
    </row>
    <row r="14" spans="1:22" s="8" customFormat="1" ht="16.5">
      <c r="A14" s="13">
        <v>13</v>
      </c>
      <c r="B14" s="3">
        <v>1633.4</v>
      </c>
      <c r="C14" s="3">
        <v>1557.7</v>
      </c>
      <c r="D14" s="3" t="s">
        <v>10</v>
      </c>
      <c r="E14" s="3"/>
      <c r="F14" s="3"/>
      <c r="G14" s="3"/>
      <c r="H14" s="5">
        <f>ABS((Table1[[#This Row],[Volume A]]-Table1[[#This Row],[Volume P]])/Table1[[#This Row],[Volume P]])</f>
        <v>4.8597290877575944E-2</v>
      </c>
      <c r="I14" s="3"/>
      <c r="K14" s="68">
        <v>11.67</v>
      </c>
      <c r="L14" s="68">
        <v>16.059999999999999</v>
      </c>
      <c r="M14" s="68">
        <v>10.83</v>
      </c>
      <c r="N14" s="3">
        <f t="shared" si="0"/>
        <v>629.22583745999998</v>
      </c>
      <c r="O14" s="4">
        <f>ABS((N14-Table1[[#This Row],[Volume P]])/Table1[[#This Row],[Volume P]])</f>
        <v>0.59605454358348853</v>
      </c>
      <c r="S14" s="61">
        <v>97</v>
      </c>
      <c r="T14" s="61">
        <v>175</v>
      </c>
      <c r="U14" s="3">
        <f t="shared" si="1"/>
        <v>1957.4492809549288</v>
      </c>
      <c r="V14" s="4">
        <f>ABS(Table1[[#This Row],[Volume P]]-U14)/Table1[[#This Row],[Volume P]]</f>
        <v>0.2566279007221729</v>
      </c>
    </row>
    <row r="15" spans="1:22" ht="16.5">
      <c r="A15" s="13">
        <v>14</v>
      </c>
      <c r="B15" s="8">
        <v>1737.8</v>
      </c>
      <c r="C15" s="8">
        <v>1781.4</v>
      </c>
      <c r="D15" s="8" t="s">
        <v>8</v>
      </c>
      <c r="E15" s="8"/>
      <c r="F15" s="8"/>
      <c r="G15" s="8"/>
      <c r="H15" s="5">
        <f>ABS((Table1[[#This Row],[Volume A]]-Table1[[#This Row],[Volume P]])/Table1[[#This Row],[Volume P]])</f>
        <v>2.4475131918715691E-2</v>
      </c>
      <c r="I15" s="8"/>
      <c r="K15" s="68">
        <v>9.23</v>
      </c>
      <c r="L15" s="68">
        <v>13.02</v>
      </c>
      <c r="M15" s="68">
        <v>14.24</v>
      </c>
      <c r="N15" s="3">
        <f t="shared" si="0"/>
        <v>530.49875423999993</v>
      </c>
      <c r="O15" s="4">
        <f>ABS((N15-Table1[[#This Row],[Volume P]])/Table1[[#This Row],[Volume P]])</f>
        <v>0.70220121576288319</v>
      </c>
      <c r="S15" s="61">
        <v>90</v>
      </c>
      <c r="T15" s="61">
        <v>175</v>
      </c>
      <c r="U15" s="3">
        <f t="shared" si="1"/>
        <v>1856.2962960652585</v>
      </c>
      <c r="V15" s="4">
        <f>ABS(Table1[[#This Row],[Volume P]]-U15)/Table1[[#This Row],[Volume P]]</f>
        <v>4.2043502899550021E-2</v>
      </c>
    </row>
    <row r="16" spans="1:22" s="8" customFormat="1" ht="16.5">
      <c r="A16" s="13">
        <v>15</v>
      </c>
      <c r="B16" s="3">
        <v>2186.1</v>
      </c>
      <c r="C16" s="3">
        <v>2274</v>
      </c>
      <c r="D16" s="3" t="s">
        <v>8</v>
      </c>
      <c r="E16" s="3"/>
      <c r="F16" s="3"/>
      <c r="G16" s="3"/>
      <c r="H16" s="5">
        <f>ABS((Table1[[#This Row],[Volume A]]-Table1[[#This Row],[Volume P]])/Table1[[#This Row],[Volume P]])</f>
        <v>3.865435356200532E-2</v>
      </c>
      <c r="I16" s="3"/>
      <c r="K16" s="68">
        <v>14.63</v>
      </c>
      <c r="L16" s="68">
        <v>26.6</v>
      </c>
      <c r="M16" s="68">
        <v>17.149999999999999</v>
      </c>
      <c r="N16" s="3">
        <f t="shared" si="0"/>
        <v>2068.9585070000003</v>
      </c>
      <c r="O16" s="4">
        <f>ABS((N16-Table1[[#This Row],[Volume P]])/Table1[[#This Row],[Volume P]])</f>
        <v>9.0167762972735141E-2</v>
      </c>
      <c r="S16" s="61">
        <v>95</v>
      </c>
      <c r="T16" s="61">
        <v>182</v>
      </c>
      <c r="U16" s="3">
        <f t="shared" si="1"/>
        <v>1982.8646316376021</v>
      </c>
      <c r="V16" s="4">
        <f>ABS(Table1[[#This Row],[Volume P]]-U16)/Table1[[#This Row],[Volume P]]</f>
        <v>0.12802786647422951</v>
      </c>
    </row>
    <row r="17" spans="1:22" ht="16.5">
      <c r="A17" s="13">
        <v>16</v>
      </c>
      <c r="B17" s="3">
        <v>1714.3</v>
      </c>
      <c r="C17" s="3">
        <v>1807.1</v>
      </c>
      <c r="D17" s="3" t="s">
        <v>8</v>
      </c>
      <c r="H17" s="5">
        <f>ABS((Table1[[#This Row],[Volume A]]-Table1[[#This Row],[Volume P]])/Table1[[#This Row],[Volume P]])</f>
        <v>5.1352996513751289E-2</v>
      </c>
      <c r="K17" s="68">
        <v>12.29</v>
      </c>
      <c r="L17" s="68">
        <v>13.37</v>
      </c>
      <c r="M17" s="68">
        <v>15.79</v>
      </c>
      <c r="N17" s="3">
        <f t="shared" si="0"/>
        <v>804.31675176999988</v>
      </c>
      <c r="O17" s="4">
        <f>ABS((N17-Table1[[#This Row],[Volume P]])/Table1[[#This Row],[Volume P]])</f>
        <v>0.55491298114658849</v>
      </c>
      <c r="S17" s="61">
        <v>70</v>
      </c>
      <c r="T17" s="61">
        <v>168</v>
      </c>
      <c r="U17" s="3">
        <f t="shared" si="1"/>
        <v>1496.0620229914766</v>
      </c>
      <c r="V17" s="4">
        <f>ABS(Table1[[#This Row],[Volume P]]-U17)/Table1[[#This Row],[Volume P]]</f>
        <v>0.17211995850175602</v>
      </c>
    </row>
    <row r="18" spans="1:22" ht="60.75">
      <c r="A18" s="13">
        <v>17</v>
      </c>
      <c r="B18" s="8">
        <v>1512.3</v>
      </c>
      <c r="C18" s="8">
        <v>1506.5</v>
      </c>
      <c r="D18" s="8" t="s">
        <v>8</v>
      </c>
      <c r="E18" s="8"/>
      <c r="F18" s="75" t="s">
        <v>72</v>
      </c>
      <c r="G18" s="8"/>
      <c r="H18" s="5">
        <f>ABS((Table1[[#This Row],[Volume A]]-Table1[[#This Row],[Volume P]])/Table1[[#This Row],[Volume P]])</f>
        <v>3.8499834052439126E-3</v>
      </c>
      <c r="I18" s="8"/>
      <c r="K18" s="68">
        <v>11</v>
      </c>
      <c r="L18" s="68">
        <v>15.39</v>
      </c>
      <c r="M18" s="68">
        <v>16.55</v>
      </c>
      <c r="N18" s="3">
        <f t="shared" si="0"/>
        <v>868.54234500000007</v>
      </c>
      <c r="O18" s="4">
        <f>ABS((N18-Table1[[#This Row],[Volume P]])/Table1[[#This Row],[Volume P]])</f>
        <v>0.42347006637902418</v>
      </c>
      <c r="S18" s="61">
        <v>59</v>
      </c>
      <c r="T18" s="61">
        <v>170</v>
      </c>
      <c r="U18" s="3">
        <f t="shared" si="1"/>
        <v>1320.8891607408896</v>
      </c>
      <c r="V18" s="4">
        <f>ABS(Table1[[#This Row],[Volume P]]-U18)/Table1[[#This Row],[Volume P]]</f>
        <v>0.12320666396223726</v>
      </c>
    </row>
    <row r="19" spans="1:22" s="8" customFormat="1" ht="16.5">
      <c r="A19" s="13">
        <v>18</v>
      </c>
      <c r="B19" s="3">
        <v>1967.4</v>
      </c>
      <c r="C19" s="3">
        <v>2019.5</v>
      </c>
      <c r="D19" s="3" t="s">
        <v>8</v>
      </c>
      <c r="E19" s="3"/>
      <c r="F19" s="3"/>
      <c r="G19" s="3"/>
      <c r="H19" s="5">
        <f>ABS((Table1[[#This Row],[Volume A]]-Table1[[#This Row],[Volume P]])/Table1[[#This Row],[Volume P]])</f>
        <v>2.579846496657584E-2</v>
      </c>
      <c r="I19" s="3"/>
      <c r="K19" s="68">
        <v>12.23</v>
      </c>
      <c r="L19" s="68">
        <v>25.11</v>
      </c>
      <c r="M19" s="68">
        <v>14.1</v>
      </c>
      <c r="N19" s="3">
        <f t="shared" si="0"/>
        <v>1342.3135562999998</v>
      </c>
      <c r="O19" s="4">
        <f>ABS((N19-Table1[[#This Row],[Volume P]])/Table1[[#This Row],[Volume P]])</f>
        <v>0.33532381465709343</v>
      </c>
      <c r="S19" s="61">
        <v>65</v>
      </c>
      <c r="T19" s="61">
        <v>172</v>
      </c>
      <c r="U19" s="3">
        <f t="shared" si="1"/>
        <v>1438.8651441494071</v>
      </c>
      <c r="V19" s="4">
        <f>ABS(Table1[[#This Row],[Volume P]]-U19)/Table1[[#This Row],[Volume P]]</f>
        <v>0.28751416481831782</v>
      </c>
    </row>
    <row r="20" spans="1:22" ht="16.5">
      <c r="A20" s="13">
        <v>19</v>
      </c>
      <c r="B20" s="8">
        <v>1742.9</v>
      </c>
      <c r="C20" s="8">
        <v>1613</v>
      </c>
      <c r="D20" s="8" t="s">
        <v>8</v>
      </c>
      <c r="E20" s="8"/>
      <c r="F20" s="8"/>
      <c r="G20" s="8"/>
      <c r="H20" s="5">
        <f>ABS((Table1[[#This Row],[Volume A]]-Table1[[#This Row],[Volume P]])/Table1[[#This Row],[Volume P]])</f>
        <v>8.0533168009919456E-2</v>
      </c>
      <c r="I20" s="8"/>
      <c r="K20" s="68">
        <v>17.690000000000001</v>
      </c>
      <c r="L20" s="68">
        <v>13.52</v>
      </c>
      <c r="M20" s="68">
        <v>14.24</v>
      </c>
      <c r="N20" s="3">
        <f t="shared" si="0"/>
        <v>1055.7867507199999</v>
      </c>
      <c r="O20" s="4">
        <f>ABS((N20-Table1[[#This Row],[Volume P]])/Table1[[#This Row],[Volume P]])</f>
        <v>0.34545148746435222</v>
      </c>
      <c r="S20" s="61">
        <v>50</v>
      </c>
      <c r="T20" s="61">
        <v>155</v>
      </c>
      <c r="U20" s="3">
        <f t="shared" si="1"/>
        <v>1064.987239370269</v>
      </c>
      <c r="V20" s="4">
        <f>ABS(Table1[[#This Row],[Volume P]]-U20)/Table1[[#This Row],[Volume P]]</f>
        <v>0.33974752673882891</v>
      </c>
    </row>
    <row r="21" spans="1:22" s="8" customFormat="1" ht="16.5">
      <c r="A21" s="13">
        <v>20</v>
      </c>
      <c r="B21" s="3">
        <v>1771.8</v>
      </c>
      <c r="C21" s="3">
        <v>1668.2</v>
      </c>
      <c r="D21" s="3" t="s">
        <v>10</v>
      </c>
      <c r="E21" s="3"/>
      <c r="F21" s="3"/>
      <c r="G21" s="3"/>
      <c r="H21" s="5">
        <f>ABS((Table1[[#This Row],[Volume A]]-Table1[[#This Row],[Volume P]])/Table1[[#This Row],[Volume P]])</f>
        <v>6.2102865363865188E-2</v>
      </c>
      <c r="I21" s="3"/>
      <c r="K21" s="68">
        <v>17.12</v>
      </c>
      <c r="L21" s="68">
        <v>17.32</v>
      </c>
      <c r="M21" s="68">
        <v>16.16</v>
      </c>
      <c r="N21" s="3">
        <f t="shared" si="0"/>
        <v>1485.4385766400001</v>
      </c>
      <c r="O21" s="4">
        <f>ABS((N21-Table1[[#This Row],[Volume P]])/Table1[[#This Row],[Volume P]])</f>
        <v>0.10955606243855652</v>
      </c>
      <c r="S21" s="61">
        <v>72</v>
      </c>
      <c r="T21" s="61">
        <v>159</v>
      </c>
      <c r="U21" s="3">
        <f t="shared" si="1"/>
        <v>1465.4739666920959</v>
      </c>
      <c r="V21" s="4">
        <f>ABS(Table1[[#This Row],[Volume P]]-U21)/Table1[[#This Row],[Volume P]]</f>
        <v>0.12152381807211612</v>
      </c>
    </row>
    <row r="22" spans="1:22" ht="16.5">
      <c r="A22" s="13">
        <v>21</v>
      </c>
      <c r="B22" s="8">
        <v>1885.8</v>
      </c>
      <c r="C22" s="8">
        <v>1799</v>
      </c>
      <c r="D22" s="8" t="s">
        <v>10</v>
      </c>
      <c r="E22" s="8"/>
      <c r="F22" s="8"/>
      <c r="G22" s="8"/>
      <c r="H22" s="5">
        <f>ABS((Table1[[#This Row],[Volume A]]-Table1[[#This Row],[Volume P]])/Table1[[#This Row],[Volume P]])</f>
        <v>4.824902723735406E-2</v>
      </c>
      <c r="I22" s="8"/>
      <c r="K22" s="68">
        <v>19.8</v>
      </c>
      <c r="L22" s="68">
        <v>15.4</v>
      </c>
      <c r="M22" s="68">
        <v>16.13</v>
      </c>
      <c r="N22" s="3">
        <f t="shared" si="0"/>
        <v>1524.6914759999997</v>
      </c>
      <c r="O22" s="4">
        <f>ABS((N22-Table1[[#This Row],[Volume P]])/Table1[[#This Row],[Volume P]])</f>
        <v>0.15247833463035035</v>
      </c>
      <c r="S22" s="61">
        <v>70</v>
      </c>
      <c r="T22" s="61">
        <v>169</v>
      </c>
      <c r="U22" s="3">
        <f t="shared" si="1"/>
        <v>1502.8687899232236</v>
      </c>
      <c r="V22" s="4">
        <f>ABS(Table1[[#This Row],[Volume P]]-U22)/Table1[[#This Row],[Volume P]]</f>
        <v>0.16460878825835262</v>
      </c>
    </row>
    <row r="23" spans="1:22" ht="16.5">
      <c r="A23" s="13">
        <v>22</v>
      </c>
      <c r="B23" s="8">
        <v>1415.2</v>
      </c>
      <c r="C23" s="8">
        <v>1394.5</v>
      </c>
      <c r="D23" s="8" t="s">
        <v>10</v>
      </c>
      <c r="E23" s="8"/>
      <c r="F23" s="8"/>
      <c r="G23" s="8"/>
      <c r="H23" s="5">
        <f>ABS((Table1[[#This Row],[Volume A]]-Table1[[#This Row],[Volume P]])/Table1[[#This Row],[Volume P]])</f>
        <v>1.4844030118322011E-2</v>
      </c>
      <c r="I23" s="8"/>
      <c r="K23" s="68">
        <v>17.350000000000001</v>
      </c>
      <c r="L23" s="68">
        <v>15.17</v>
      </c>
      <c r="M23" s="68">
        <v>12.43</v>
      </c>
      <c r="N23" s="3">
        <f t="shared" si="0"/>
        <v>1014.1866333500001</v>
      </c>
      <c r="O23" s="4">
        <f>ABS((N23-Table1[[#This Row],[Volume P]])/Table1[[#This Row],[Volume P]])</f>
        <v>0.27272381975618498</v>
      </c>
      <c r="S23" s="61">
        <v>66</v>
      </c>
      <c r="T23" s="61">
        <v>165</v>
      </c>
      <c r="U23" s="3">
        <f t="shared" si="1"/>
        <v>1409.7101782480008</v>
      </c>
      <c r="V23" s="4">
        <f>ABS(Table1[[#This Row],[Volume P]]-U23)/Table1[[#This Row],[Volume P]]</f>
        <v>1.0907262996056528E-2</v>
      </c>
    </row>
    <row r="24" spans="1:22" s="8" customFormat="1" ht="16.5">
      <c r="A24" s="13">
        <v>23</v>
      </c>
      <c r="B24" s="8">
        <v>1057.5</v>
      </c>
      <c r="C24" s="8">
        <v>1033.5</v>
      </c>
      <c r="D24" s="8" t="s">
        <v>10</v>
      </c>
      <c r="H24" s="5">
        <f>ABS((Table1[[#This Row],[Volume A]]-Table1[[#This Row],[Volume P]])/Table1[[#This Row],[Volume P]])</f>
        <v>2.3222060957910014E-2</v>
      </c>
      <c r="K24" s="68">
        <v>14.53</v>
      </c>
      <c r="L24" s="68">
        <v>20.28</v>
      </c>
      <c r="M24" s="68">
        <v>11.04</v>
      </c>
      <c r="N24" s="3">
        <f t="shared" si="0"/>
        <v>1008.47313216</v>
      </c>
      <c r="O24" s="4">
        <f>ABS((N24-Table1[[#This Row],[Volume P]])/Table1[[#This Row],[Volume P]])</f>
        <v>2.4215643773584927E-2</v>
      </c>
      <c r="S24" s="61">
        <v>49</v>
      </c>
      <c r="T24" s="61">
        <v>164</v>
      </c>
      <c r="U24" s="3">
        <f t="shared" si="1"/>
        <v>1098.98529950991</v>
      </c>
      <c r="V24" s="4">
        <f>ABS(Table1[[#This Row],[Volume P]]-U24)/Table1[[#This Row],[Volume P]]</f>
        <v>6.33626507110885E-2</v>
      </c>
    </row>
    <row r="25" spans="1:22" ht="16.5">
      <c r="A25" s="13">
        <v>24</v>
      </c>
      <c r="B25" s="3">
        <v>2002.2</v>
      </c>
      <c r="C25" s="3">
        <v>1941.2</v>
      </c>
      <c r="D25" s="3" t="s">
        <v>8</v>
      </c>
      <c r="H25" s="5">
        <f>ABS((Table1[[#This Row],[Volume A]]-Table1[[#This Row],[Volume P]])/Table1[[#This Row],[Volume P]])</f>
        <v>3.1423861528951165E-2</v>
      </c>
      <c r="K25" s="68">
        <v>15.8</v>
      </c>
      <c r="L25" s="68">
        <v>16.36</v>
      </c>
      <c r="M25" s="68">
        <v>15.86</v>
      </c>
      <c r="N25" s="3">
        <f t="shared" si="0"/>
        <v>1270.8821008</v>
      </c>
      <c r="O25" s="4">
        <f>ABS((N25-Table1[[#This Row],[Volume P]])/Table1[[#This Row],[Volume P]])</f>
        <v>0.34531109581702041</v>
      </c>
      <c r="S25" s="61">
        <v>108</v>
      </c>
      <c r="T25" s="61">
        <v>178</v>
      </c>
      <c r="U25" s="3">
        <f t="shared" si="1"/>
        <v>2134.0763864214905</v>
      </c>
      <c r="V25" s="4">
        <f>ABS(Table1[[#This Row],[Volume P]]-U25)/Table1[[#This Row],[Volume P]]</f>
        <v>9.9359358346121182E-2</v>
      </c>
    </row>
    <row r="26" spans="1:22" s="8" customFormat="1" ht="16.5">
      <c r="A26" s="13">
        <v>25</v>
      </c>
      <c r="B26" s="8">
        <v>1246.4000000000001</v>
      </c>
      <c r="C26" s="8">
        <v>1140.9000000000001</v>
      </c>
      <c r="D26" s="8" t="s">
        <v>10</v>
      </c>
      <c r="H26" s="5">
        <f>ABS((Table1[[#This Row],[Volume A]]-Table1[[#This Row],[Volume P]])/Table1[[#This Row],[Volume P]])</f>
        <v>9.2470856341484789E-2</v>
      </c>
      <c r="K26" s="68">
        <v>8.2799999999999994</v>
      </c>
      <c r="L26" s="68">
        <v>17.29</v>
      </c>
      <c r="M26" s="68">
        <v>15.28</v>
      </c>
      <c r="N26" s="3">
        <f t="shared" si="0"/>
        <v>678.12597215999995</v>
      </c>
      <c r="O26" s="4">
        <f>ABS((N26-Table1[[#This Row],[Volume P]])/Table1[[#This Row],[Volume P]])</f>
        <v>0.40562190186694724</v>
      </c>
      <c r="S26" s="61">
        <v>77</v>
      </c>
      <c r="T26" s="61">
        <v>165</v>
      </c>
      <c r="U26" s="3">
        <f t="shared" si="1"/>
        <v>1586.3118905589681</v>
      </c>
      <c r="V26" s="4">
        <f>ABS(Table1[[#This Row],[Volume P]]-U26)/Table1[[#This Row],[Volume P]]</f>
        <v>0.39040397103950214</v>
      </c>
    </row>
    <row r="27" spans="1:22" s="8" customFormat="1" ht="16.5">
      <c r="A27" s="13">
        <v>26</v>
      </c>
      <c r="B27" s="3">
        <v>1578.2</v>
      </c>
      <c r="C27" s="3">
        <v>1481.1</v>
      </c>
      <c r="D27" s="3" t="s">
        <v>10</v>
      </c>
      <c r="E27" s="3"/>
      <c r="F27" s="3"/>
      <c r="G27" s="3"/>
      <c r="H27" s="5">
        <f>ABS((Table1[[#This Row],[Volume A]]-Table1[[#This Row],[Volume P]])/Table1[[#This Row],[Volume P]])</f>
        <v>6.5559381540746836E-2</v>
      </c>
      <c r="I27" s="3"/>
      <c r="K27" s="67">
        <v>8.77</v>
      </c>
      <c r="L27" s="67">
        <v>18.98</v>
      </c>
      <c r="M27" s="67">
        <v>17.27</v>
      </c>
      <c r="N27" s="3">
        <f t="shared" si="0"/>
        <v>891.14799201999995</v>
      </c>
      <c r="O27" s="4">
        <f>ABS((N27-Table1[[#This Row],[Volume P]])/Table1[[#This Row],[Volume P]])</f>
        <v>0.39832017283100396</v>
      </c>
      <c r="S27" s="61">
        <v>75</v>
      </c>
      <c r="T27" s="61">
        <v>170</v>
      </c>
      <c r="U27" s="3">
        <f t="shared" si="1"/>
        <v>1590.5243183129105</v>
      </c>
      <c r="V27" s="4">
        <f>ABS(Table1[[#This Row],[Volume P]]-U27)/Table1[[#This Row],[Volume P]]</f>
        <v>7.3880439074276286E-2</v>
      </c>
    </row>
    <row r="28" spans="1:22" s="7" customFormat="1" ht="16.5">
      <c r="A28" s="15">
        <v>27</v>
      </c>
      <c r="B28" s="10">
        <v>1167.8</v>
      </c>
      <c r="C28" s="10">
        <v>1186.5</v>
      </c>
      <c r="D28" s="10" t="s">
        <v>8</v>
      </c>
      <c r="E28" s="10"/>
      <c r="F28" s="10"/>
      <c r="G28" s="10"/>
      <c r="H28" s="5">
        <f>ABS((Table1[[#This Row],[Volume A]]-Table1[[#This Row],[Volume P]])/Table1[[#This Row],[Volume P]])</f>
        <v>1.5760640539401641E-2</v>
      </c>
      <c r="I28" s="10" t="s">
        <v>11</v>
      </c>
      <c r="K28" s="69">
        <v>12.7</v>
      </c>
      <c r="L28" s="69">
        <v>13.1</v>
      </c>
      <c r="M28" s="69">
        <v>14.1</v>
      </c>
      <c r="N28" s="3">
        <f t="shared" si="0"/>
        <v>727.20326999999986</v>
      </c>
      <c r="O28" s="4">
        <f>ABS((N28-Table1[[#This Row],[Volume P]])/Table1[[#This Row],[Volume P]])</f>
        <v>0.38710217446270556</v>
      </c>
      <c r="S28" s="61">
        <v>80</v>
      </c>
      <c r="T28" s="61">
        <v>170</v>
      </c>
      <c r="U28" s="3">
        <f t="shared" si="1"/>
        <v>1668.7395724331841</v>
      </c>
      <c r="V28" s="4">
        <f>ABS(Table1[[#This Row],[Volume P]]-U28)/Table1[[#This Row],[Volume P]]</f>
        <v>0.40643874625637094</v>
      </c>
    </row>
    <row r="29" spans="1:22" ht="16.5">
      <c r="A29" s="13">
        <v>28</v>
      </c>
      <c r="B29" s="8">
        <v>2079.8000000000002</v>
      </c>
      <c r="C29" s="8">
        <v>1888.9</v>
      </c>
      <c r="D29" s="8" t="s">
        <v>10</v>
      </c>
      <c r="E29" s="8"/>
      <c r="F29" s="8"/>
      <c r="G29" s="8"/>
      <c r="H29" s="5">
        <f>ABS((Table1[[#This Row],[Volume A]]-Table1[[#This Row],[Volume P]])/Table1[[#This Row],[Volume P]])</f>
        <v>0.10106411138758012</v>
      </c>
      <c r="I29" s="8"/>
      <c r="K29" s="69">
        <v>16.05</v>
      </c>
      <c r="L29" s="69">
        <v>18.61</v>
      </c>
      <c r="M29" s="69">
        <v>17.16</v>
      </c>
      <c r="N29" s="3">
        <f t="shared" si="0"/>
        <v>1588.9139838000003</v>
      </c>
      <c r="O29" s="4">
        <f>ABS((N29-Table1[[#This Row],[Volume P]])/Table1[[#This Row],[Volume P]])</f>
        <v>0.15881519201651742</v>
      </c>
      <c r="S29" s="61">
        <v>88</v>
      </c>
      <c r="T29" s="61">
        <v>165</v>
      </c>
      <c r="U29" s="3">
        <f t="shared" si="1"/>
        <v>1750.6887564755389</v>
      </c>
      <c r="V29" s="4">
        <f>ABS(Table1[[#This Row],[Volume P]]-U29)/Table1[[#This Row],[Volume P]]</f>
        <v>7.3170227923374034E-2</v>
      </c>
    </row>
    <row r="30" spans="1:22" ht="16.5">
      <c r="A30" s="13">
        <v>29</v>
      </c>
      <c r="B30" s="3">
        <v>1309.4000000000001</v>
      </c>
      <c r="C30" s="3">
        <v>1317.3</v>
      </c>
      <c r="D30" s="3" t="s">
        <v>8</v>
      </c>
      <c r="H30" s="5">
        <f>ABS((Table1[[#This Row],[Volume A]]-Table1[[#This Row],[Volume P]])/Table1[[#This Row],[Volume P]])</f>
        <v>5.9971153116221542E-3</v>
      </c>
      <c r="K30" s="69">
        <v>12.7</v>
      </c>
      <c r="L30" s="69">
        <v>16.34</v>
      </c>
      <c r="M30" s="69">
        <v>18.239999999999998</v>
      </c>
      <c r="N30" s="3">
        <f t="shared" si="0"/>
        <v>1173.3897791999998</v>
      </c>
      <c r="O30" s="4">
        <f>ABS((N30-Table1[[#This Row],[Volume P]])/Table1[[#This Row],[Volume P]])</f>
        <v>0.10924635299476214</v>
      </c>
      <c r="S30" s="61">
        <v>64</v>
      </c>
      <c r="T30" s="61">
        <v>170</v>
      </c>
      <c r="U30" s="3">
        <f t="shared" si="1"/>
        <v>1408.6979530840567</v>
      </c>
      <c r="V30" s="4">
        <f>ABS(Table1[[#This Row],[Volume P]]-U30)/Table1[[#This Row],[Volume P]]</f>
        <v>6.9382792897636672E-2</v>
      </c>
    </row>
    <row r="31" spans="1:22" s="8" customFormat="1" ht="16.5">
      <c r="A31" s="13">
        <v>30</v>
      </c>
      <c r="B31" s="3">
        <v>1994.1</v>
      </c>
      <c r="C31" s="3">
        <v>1989.8</v>
      </c>
      <c r="D31" s="3" t="s">
        <v>10</v>
      </c>
      <c r="E31" s="3"/>
      <c r="F31" s="3"/>
      <c r="G31" s="3"/>
      <c r="H31" s="5">
        <f>ABS((Table1[[#This Row],[Volume A]]-Table1[[#This Row],[Volume P]])/Table1[[#This Row],[Volume P]])</f>
        <v>2.1610212081616016E-3</v>
      </c>
      <c r="I31" s="3"/>
      <c r="K31" s="67">
        <v>13.19</v>
      </c>
      <c r="L31" s="67">
        <v>15.2</v>
      </c>
      <c r="M31" s="67">
        <v>17.05</v>
      </c>
      <c r="N31" s="3">
        <f t="shared" si="0"/>
        <v>1059.6793239999997</v>
      </c>
      <c r="O31" s="4">
        <f>ABS((N31-Table1[[#This Row],[Volume P]])/Table1[[#This Row],[Volume P]])</f>
        <v>0.46744430395014586</v>
      </c>
      <c r="S31" s="61">
        <v>81</v>
      </c>
      <c r="T31" s="61">
        <v>173</v>
      </c>
      <c r="U31" s="3">
        <f t="shared" si="1"/>
        <v>1705.8598942858152</v>
      </c>
      <c r="V31" s="4">
        <f>ABS(Table1[[#This Row],[Volume P]]-U31)/Table1[[#This Row],[Volume P]]</f>
        <v>0.14269781169674575</v>
      </c>
    </row>
    <row r="32" spans="1:22" ht="16.5">
      <c r="A32" s="13">
        <v>31</v>
      </c>
      <c r="B32" s="3">
        <v>1453.5</v>
      </c>
      <c r="C32" s="3">
        <v>1511.3</v>
      </c>
      <c r="D32" s="3" t="s">
        <v>8</v>
      </c>
      <c r="H32" s="5">
        <f>ABS((Table1[[#This Row],[Volume A]]-Table1[[#This Row],[Volume P]])/Table1[[#This Row],[Volume P]])</f>
        <v>3.8245219347581523E-2</v>
      </c>
      <c r="K32" s="69">
        <v>15.33</v>
      </c>
      <c r="L32" s="69">
        <v>17.16</v>
      </c>
      <c r="M32" s="69">
        <v>10.78</v>
      </c>
      <c r="N32" s="3">
        <f t="shared" si="0"/>
        <v>879.10326504</v>
      </c>
      <c r="O32" s="4">
        <f>ABS((N32-Table1[[#This Row],[Volume P]])/Table1[[#This Row],[Volume P]])</f>
        <v>0.41831319722093563</v>
      </c>
      <c r="S32" s="61">
        <v>53</v>
      </c>
      <c r="T32" s="61">
        <v>164</v>
      </c>
      <c r="U32" s="3">
        <f t="shared" si="1"/>
        <v>1174.7508348970491</v>
      </c>
      <c r="V32" s="4">
        <f>ABS(Table1[[#This Row],[Volume P]]-U32)/Table1[[#This Row],[Volume P]]</f>
        <v>0.22268852319390647</v>
      </c>
    </row>
    <row r="33" spans="1:22" ht="16.5">
      <c r="A33" s="13">
        <v>32</v>
      </c>
      <c r="B33" s="8">
        <v>1174.7</v>
      </c>
      <c r="C33" s="8">
        <v>1205.5</v>
      </c>
      <c r="D33" s="8" t="s">
        <v>8</v>
      </c>
      <c r="E33" s="8"/>
      <c r="F33" s="8"/>
      <c r="G33" s="8"/>
      <c r="H33" s="5">
        <f>ABS((Table1[[#This Row],[Volume A]]-Table1[[#This Row],[Volume P]])/Table1[[#This Row],[Volume P]])</f>
        <v>2.554956449605969E-2</v>
      </c>
      <c r="I33" s="8"/>
      <c r="K33" s="69">
        <v>14.87</v>
      </c>
      <c r="L33" s="69">
        <v>13.94</v>
      </c>
      <c r="M33" s="69">
        <v>13.88</v>
      </c>
      <c r="N33" s="3">
        <f t="shared" si="0"/>
        <v>891.91794584000002</v>
      </c>
      <c r="O33" s="4">
        <f>ABS((N33-Table1[[#This Row],[Volume P]])/Table1[[#This Row],[Volume P]])</f>
        <v>0.26012613368726667</v>
      </c>
      <c r="S33" s="61">
        <v>52</v>
      </c>
      <c r="T33" s="61">
        <v>156</v>
      </c>
      <c r="U33" s="3">
        <f t="shared" si="1"/>
        <v>1107.9175677604353</v>
      </c>
      <c r="V33" s="4">
        <f>ABS(Table1[[#This Row],[Volume P]]-U33)/Table1[[#This Row],[Volume P]]</f>
        <v>8.0947683317764155E-2</v>
      </c>
    </row>
    <row r="34" spans="1:22" ht="16.5">
      <c r="A34" s="13">
        <v>33</v>
      </c>
      <c r="B34" s="3">
        <v>1499.6</v>
      </c>
      <c r="C34" s="3">
        <v>1556.7</v>
      </c>
      <c r="D34" s="3" t="s">
        <v>8</v>
      </c>
      <c r="H34" s="5">
        <f>ABS((Table1[[#This Row],[Volume A]]-Table1[[#This Row],[Volume P]])/Table1[[#This Row],[Volume P]])</f>
        <v>3.6680156741825745E-2</v>
      </c>
      <c r="K34" s="69">
        <v>14.61</v>
      </c>
      <c r="L34" s="69">
        <v>17.62</v>
      </c>
      <c r="M34" s="69">
        <v>13.23</v>
      </c>
      <c r="N34" s="3">
        <f t="shared" si="0"/>
        <v>1055.79027666</v>
      </c>
      <c r="O34" s="4">
        <f>ABS((N34-Table1[[#This Row],[Volume P]])/Table1[[#This Row],[Volume P]])</f>
        <v>0.32177665789169396</v>
      </c>
      <c r="S34" s="61">
        <v>71</v>
      </c>
      <c r="T34" s="61">
        <v>168</v>
      </c>
      <c r="U34" s="3">
        <f t="shared" si="1"/>
        <v>1512.3645207031686</v>
      </c>
      <c r="V34" s="4">
        <f>ABS(Table1[[#This Row],[Volume P]]-U34)/Table1[[#This Row],[Volume P]]</f>
        <v>2.8480426091624211E-2</v>
      </c>
    </row>
    <row r="35" spans="1:22" s="8" customFormat="1" ht="16.5">
      <c r="A35" s="13">
        <v>34</v>
      </c>
      <c r="B35" s="8">
        <v>1339</v>
      </c>
      <c r="C35" s="8">
        <v>1294.5999999999999</v>
      </c>
      <c r="D35" s="8" t="s">
        <v>10</v>
      </c>
      <c r="H35" s="5">
        <f>ABS((Table1[[#This Row],[Volume A]]-Table1[[#This Row],[Volume P]])/Table1[[#This Row],[Volume P]])</f>
        <v>3.4296307739842498E-2</v>
      </c>
      <c r="K35" s="67">
        <v>13.01</v>
      </c>
      <c r="L35" s="67">
        <v>17.13</v>
      </c>
      <c r="M35" s="67">
        <v>13.84</v>
      </c>
      <c r="N35" s="3">
        <f t="shared" si="0"/>
        <v>956.16412151999998</v>
      </c>
      <c r="O35" s="4">
        <f>ABS((N35-Table1[[#This Row],[Volume P]])/Table1[[#This Row],[Volume P]])</f>
        <v>0.26142119456202684</v>
      </c>
      <c r="S35" s="61">
        <v>84</v>
      </c>
      <c r="T35" s="61">
        <v>182</v>
      </c>
      <c r="U35" s="3">
        <f t="shared" si="1"/>
        <v>1817.1299124919897</v>
      </c>
      <c r="V35" s="4">
        <f>ABS(Table1[[#This Row],[Volume P]]-U35)/Table1[[#This Row],[Volume P]]</f>
        <v>0.40362267302023003</v>
      </c>
    </row>
    <row r="36" spans="1:22" ht="16.5">
      <c r="A36" s="13">
        <v>35</v>
      </c>
      <c r="B36" s="8">
        <v>1049</v>
      </c>
      <c r="C36" s="8">
        <v>1109.0999999999999</v>
      </c>
      <c r="D36" s="8" t="s">
        <v>8</v>
      </c>
      <c r="E36" s="8"/>
      <c r="F36" s="8"/>
      <c r="G36" s="8"/>
      <c r="H36" s="5">
        <f>ABS((Table1[[#This Row],[Volume A]]-Table1[[#This Row],[Volume P]])/Table1[[#This Row],[Volume P]])</f>
        <v>5.4188080425570204E-2</v>
      </c>
      <c r="I36" s="8"/>
      <c r="K36" s="69">
        <v>11.88</v>
      </c>
      <c r="L36" s="69">
        <v>13.5</v>
      </c>
      <c r="M36" s="69">
        <v>12.46</v>
      </c>
      <c r="N36" s="3">
        <f t="shared" si="0"/>
        <v>619.483788</v>
      </c>
      <c r="O36" s="4">
        <f>ABS((N36-Table1[[#This Row],[Volume P]])/Table1[[#This Row],[Volume P]])</f>
        <v>0.44145362185555853</v>
      </c>
      <c r="S36" s="61">
        <v>58</v>
      </c>
      <c r="T36" s="61">
        <v>152</v>
      </c>
      <c r="U36" s="3">
        <f t="shared" si="1"/>
        <v>1188.7471100628636</v>
      </c>
      <c r="V36" s="4">
        <f>ABS(Table1[[#This Row],[Volume P]]-U36)/Table1[[#This Row],[Volume P]]</f>
        <v>7.1812379463406101E-2</v>
      </c>
    </row>
    <row r="37" spans="1:22" ht="16.5">
      <c r="A37" s="13">
        <v>36</v>
      </c>
      <c r="B37" s="8">
        <v>1069</v>
      </c>
      <c r="C37" s="8">
        <v>1062.8</v>
      </c>
      <c r="D37" s="8" t="s">
        <v>10</v>
      </c>
      <c r="E37" s="8"/>
      <c r="F37" s="8"/>
      <c r="G37" s="8"/>
      <c r="H37" s="5">
        <f>ABS((Table1[[#This Row],[Volume A]]-Table1[[#This Row],[Volume P]])/Table1[[#This Row],[Volume P]])</f>
        <v>5.833646970267262E-3</v>
      </c>
      <c r="I37" s="8"/>
      <c r="K37">
        <v>12.09</v>
      </c>
      <c r="L37" s="69">
        <v>15.75</v>
      </c>
      <c r="M37" s="69">
        <v>13.97</v>
      </c>
      <c r="N37" s="3">
        <f t="shared" si="0"/>
        <v>824.64106725000011</v>
      </c>
      <c r="O37" s="4">
        <f>ABS((N37-Table1[[#This Row],[Volume P]])/Table1[[#This Row],[Volume P]])</f>
        <v>0.22408631233534049</v>
      </c>
      <c r="S37" s="61">
        <v>76</v>
      </c>
      <c r="T37" s="61">
        <v>160</v>
      </c>
      <c r="U37" s="3">
        <f t="shared" si="1"/>
        <v>1534.6899070065197</v>
      </c>
      <c r="V37" s="4">
        <f>ABS(Table1[[#This Row],[Volume P]]-U37)/Table1[[#This Row],[Volume P]]</f>
        <v>0.44400631069488117</v>
      </c>
    </row>
    <row r="38" spans="1:22" s="8" customFormat="1" ht="16.5">
      <c r="A38" s="13">
        <v>37</v>
      </c>
      <c r="B38" s="3">
        <v>1717.5</v>
      </c>
      <c r="C38" s="3">
        <v>1624.4</v>
      </c>
      <c r="D38" s="3" t="s">
        <v>10</v>
      </c>
      <c r="E38" s="3"/>
      <c r="F38" s="3"/>
      <c r="G38" s="3"/>
      <c r="H38" s="5">
        <f>ABS((Table1[[#This Row],[Volume A]]-Table1[[#This Row],[Volume P]])/Table1[[#This Row],[Volume P]])</f>
        <v>5.7313469588771176E-2</v>
      </c>
      <c r="I38" s="3"/>
      <c r="K38" s="67">
        <v>13.66</v>
      </c>
      <c r="L38" s="67">
        <v>18.61</v>
      </c>
      <c r="M38" s="67">
        <v>15.27</v>
      </c>
      <c r="N38" s="3">
        <f t="shared" si="0"/>
        <v>1203.36618462</v>
      </c>
      <c r="O38" s="4">
        <f>ABS((N38-Table1[[#This Row],[Volume P]])/Table1[[#This Row],[Volume P]])</f>
        <v>0.25919343473282447</v>
      </c>
      <c r="S38" s="61">
        <v>79</v>
      </c>
      <c r="T38" s="61">
        <v>184</v>
      </c>
      <c r="U38" s="3">
        <f t="shared" si="1"/>
        <v>1752.0906286592153</v>
      </c>
      <c r="V38" s="4">
        <f>ABS(Table1[[#This Row],[Volume P]]-U38)/Table1[[#This Row],[Volume P]]</f>
        <v>7.8607872851031296E-2</v>
      </c>
    </row>
    <row r="39" spans="1:22" ht="16.5">
      <c r="A39" s="13">
        <v>38</v>
      </c>
      <c r="B39" s="3">
        <v>3371.7</v>
      </c>
      <c r="C39" s="3">
        <v>3489.7</v>
      </c>
      <c r="D39" s="3" t="s">
        <v>8</v>
      </c>
      <c r="H39" s="5">
        <f>ABS((Table1[[#This Row],[Volume A]]-Table1[[#This Row],[Volume P]])/Table1[[#This Row],[Volume P]])</f>
        <v>3.3813794882081555E-2</v>
      </c>
      <c r="K39">
        <v>18.38</v>
      </c>
      <c r="L39" s="69">
        <v>22.66</v>
      </c>
      <c r="M39" s="69">
        <v>21.74</v>
      </c>
      <c r="N39" s="3">
        <f t="shared" si="0"/>
        <v>2806.8980975199997</v>
      </c>
      <c r="O39" s="4">
        <f>ABS((N39-Table1[[#This Row],[Volume P]])/Table1[[#This Row],[Volume P]])</f>
        <v>0.19566206335215064</v>
      </c>
      <c r="S39" s="61">
        <v>87</v>
      </c>
      <c r="T39" s="61">
        <v>184</v>
      </c>
      <c r="U39" s="3">
        <f t="shared" si="1"/>
        <v>1877.9186538557842</v>
      </c>
      <c r="V39" s="4">
        <f>ABS(Table1[[#This Row],[Volume P]]-U39)/Table1[[#This Row],[Volume P]]</f>
        <v>0.46186816807869319</v>
      </c>
    </row>
    <row r="40" spans="1:22" ht="16.5">
      <c r="A40" s="13">
        <v>39</v>
      </c>
      <c r="H40" s="5"/>
      <c r="I40" s="3" t="s">
        <v>12</v>
      </c>
      <c r="K40"/>
      <c r="L40"/>
      <c r="M40"/>
      <c r="O40" s="4"/>
      <c r="S40" s="61"/>
      <c r="T40" s="61"/>
      <c r="V40" s="4"/>
    </row>
    <row r="41" spans="1:22" s="8" customFormat="1" ht="16.5">
      <c r="A41" s="13">
        <v>40</v>
      </c>
      <c r="B41" s="3">
        <v>1266</v>
      </c>
      <c r="C41" s="3">
        <v>1176.0999999999999</v>
      </c>
      <c r="D41" s="3" t="s">
        <v>10</v>
      </c>
      <c r="E41" s="3"/>
      <c r="F41" s="3"/>
      <c r="G41" s="3"/>
      <c r="H41" s="5">
        <f>ABS((Table1[[#This Row],[Volume A]]-Table1[[#This Row],[Volume P]])/Table1[[#This Row],[Volume P]])</f>
        <v>7.6439078309667632E-2</v>
      </c>
      <c r="I41" s="3"/>
      <c r="K41">
        <v>12.28</v>
      </c>
      <c r="L41" s="69">
        <v>22.95</v>
      </c>
      <c r="M41" s="69">
        <v>13.42</v>
      </c>
      <c r="N41" s="3">
        <f t="shared" si="0"/>
        <v>1172.4525251999999</v>
      </c>
      <c r="O41" s="4">
        <f>ABS((N41-Table1[[#This Row],[Volume P]])/Table1[[#This Row],[Volume P]])</f>
        <v>3.1013304991072653E-3</v>
      </c>
      <c r="S41" s="61">
        <v>59</v>
      </c>
      <c r="T41" s="61">
        <v>170</v>
      </c>
      <c r="U41" s="3">
        <f t="shared" si="1"/>
        <v>1320.8891607408896</v>
      </c>
      <c r="V41" s="4">
        <f>ABS(Table1[[#This Row],[Volume P]]-U41)/Table1[[#This Row],[Volume P]]</f>
        <v>0.12310956614309129</v>
      </c>
    </row>
    <row r="42" spans="1:22" s="8" customFormat="1" ht="16.5">
      <c r="A42" s="13">
        <v>41</v>
      </c>
      <c r="B42" s="8">
        <v>2609.6999999999998</v>
      </c>
      <c r="C42" s="8">
        <v>2513.1</v>
      </c>
      <c r="D42" s="8" t="s">
        <v>10</v>
      </c>
      <c r="H42" s="5">
        <f>ABS((Table1[[#This Row],[Volume A]]-Table1[[#This Row],[Volume P]])/Table1[[#This Row],[Volume P]])</f>
        <v>3.8438581831204452E-2</v>
      </c>
      <c r="K42" s="67">
        <v>22.26</v>
      </c>
      <c r="L42" s="67">
        <v>17.43</v>
      </c>
      <c r="M42" s="67">
        <v>17.43</v>
      </c>
      <c r="N42" s="3">
        <f t="shared" si="0"/>
        <v>2096.43609294</v>
      </c>
      <c r="O42" s="4">
        <f>ABS((N42-Table1[[#This Row],[Volume P]])/Table1[[#This Row],[Volume P]])</f>
        <v>0.16579678765667899</v>
      </c>
      <c r="S42" s="61">
        <v>100</v>
      </c>
      <c r="T42" s="61">
        <v>177</v>
      </c>
      <c r="U42" s="3">
        <f t="shared" si="1"/>
        <v>2015.6006361839036</v>
      </c>
      <c r="V42" s="4">
        <f>ABS(Table1[[#This Row],[Volume P]]-U42)/Table1[[#This Row],[Volume P]]</f>
        <v>0.19796242243289019</v>
      </c>
    </row>
    <row r="43" spans="1:22" s="8" customFormat="1" ht="60.75">
      <c r="A43" s="13">
        <v>42</v>
      </c>
      <c r="B43" s="3">
        <v>2962.4</v>
      </c>
      <c r="C43" s="3">
        <v>2818.8</v>
      </c>
      <c r="D43" s="3" t="s">
        <v>10</v>
      </c>
      <c r="E43" s="3"/>
      <c r="F43" s="75" t="s">
        <v>74</v>
      </c>
      <c r="G43" s="3"/>
      <c r="H43" s="5">
        <f>ABS((Table1[[#This Row],[Volume A]]-Table1[[#This Row],[Volume P]])/Table1[[#This Row],[Volume P]])</f>
        <v>5.094366397048386E-2</v>
      </c>
      <c r="I43" s="3"/>
      <c r="K43" s="67">
        <v>16.190000000000001</v>
      </c>
      <c r="L43" s="67">
        <v>20.63</v>
      </c>
      <c r="M43" s="67">
        <v>19.52</v>
      </c>
      <c r="N43" s="3">
        <f t="shared" si="0"/>
        <v>2021.09898464</v>
      </c>
      <c r="O43" s="4">
        <f>ABS((N43-Table1[[#This Row],[Volume P]])/Table1[[#This Row],[Volume P]])</f>
        <v>0.28299312308783886</v>
      </c>
      <c r="S43" s="61">
        <v>72</v>
      </c>
      <c r="T43" s="61">
        <v>189</v>
      </c>
      <c r="U43" s="3">
        <f t="shared" si="1"/>
        <v>1669.4639216834939</v>
      </c>
      <c r="V43" s="4">
        <f>ABS(Table1[[#This Row],[Volume P]]-U43)/Table1[[#This Row],[Volume P]]</f>
        <v>0.40773949138516608</v>
      </c>
    </row>
    <row r="44" spans="1:22" s="8" customFormat="1" ht="16.5">
      <c r="A44" s="13">
        <v>43</v>
      </c>
      <c r="B44" s="3">
        <v>3499.1</v>
      </c>
      <c r="C44" s="3">
        <v>3648.8</v>
      </c>
      <c r="D44" s="3" t="s">
        <v>8</v>
      </c>
      <c r="E44" s="3"/>
      <c r="F44" s="3"/>
      <c r="G44" s="3"/>
      <c r="H44" s="5">
        <f>ABS((Table1[[#This Row],[Volume A]]-Table1[[#This Row],[Volume P]])/Table1[[#This Row],[Volume P]])</f>
        <v>4.1027187020390335E-2</v>
      </c>
      <c r="I44" s="3"/>
      <c r="K44" s="67">
        <v>26.3</v>
      </c>
      <c r="L44" s="67">
        <v>18.89</v>
      </c>
      <c r="M44" s="67">
        <v>18.989999999999998</v>
      </c>
      <c r="N44" s="3">
        <f t="shared" si="0"/>
        <v>2924.6531282999999</v>
      </c>
      <c r="O44" s="4">
        <f>ABS((N44-Table1[[#This Row],[Volume P]])/Table1[[#This Row],[Volume P]])</f>
        <v>0.19846165087151946</v>
      </c>
      <c r="S44" s="61">
        <v>80</v>
      </c>
      <c r="T44" s="61">
        <v>186</v>
      </c>
      <c r="U44" s="3">
        <f t="shared" si="1"/>
        <v>1782.0463920340926</v>
      </c>
      <c r="V44" s="4">
        <f>ABS(Table1[[#This Row],[Volume P]]-U44)/Table1[[#This Row],[Volume P]]</f>
        <v>0.51160754438881484</v>
      </c>
    </row>
    <row r="45" spans="1:22" ht="16.5">
      <c r="A45" s="13">
        <v>44</v>
      </c>
      <c r="B45" s="3">
        <v>2536</v>
      </c>
      <c r="C45" s="3">
        <v>2262.6999999999998</v>
      </c>
      <c r="D45" s="3" t="s">
        <v>10</v>
      </c>
      <c r="E45" s="3" t="s">
        <v>13</v>
      </c>
      <c r="H45" s="5">
        <f>ABS((Table1[[#This Row],[Volume A]]-Table1[[#This Row],[Volume P]])/Table1[[#This Row],[Volume P]])</f>
        <v>0.1207849029920008</v>
      </c>
      <c r="K45" s="67">
        <v>23.89</v>
      </c>
      <c r="L45" s="67">
        <v>22.39</v>
      </c>
      <c r="M45" s="67">
        <v>13.63</v>
      </c>
      <c r="N45" s="3">
        <f t="shared" si="0"/>
        <v>2260.1007166300001</v>
      </c>
      <c r="O45" s="4">
        <f>ABS((N45-Table1[[#This Row],[Volume P]])/Table1[[#This Row],[Volume P]])</f>
        <v>1.1487529809518448E-3</v>
      </c>
      <c r="S45" s="61">
        <v>42</v>
      </c>
      <c r="T45" s="61">
        <v>167</v>
      </c>
      <c r="U45" s="3">
        <f t="shared" si="1"/>
        <v>974.49378555458259</v>
      </c>
      <c r="V45" s="4">
        <f>ABS(Table1[[#This Row],[Volume P]]-U45)/Table1[[#This Row],[Volume P]]</f>
        <v>0.569322585603667</v>
      </c>
    </row>
    <row r="46" spans="1:22" ht="16.5">
      <c r="A46" s="13">
        <v>45</v>
      </c>
      <c r="B46" s="8">
        <v>1298.8</v>
      </c>
      <c r="C46" s="8">
        <v>1299.3</v>
      </c>
      <c r="D46" s="8" t="s">
        <v>8</v>
      </c>
      <c r="E46" s="8"/>
      <c r="F46" s="8"/>
      <c r="G46" s="8"/>
      <c r="H46" s="5">
        <f>ABS((Table1[[#This Row],[Volume A]]-Table1[[#This Row],[Volume P]])/Table1[[#This Row],[Volume P]])</f>
        <v>3.8482259678288309E-4</v>
      </c>
      <c r="I46" s="8"/>
      <c r="K46" s="67">
        <v>13.72</v>
      </c>
      <c r="L46" s="67">
        <v>12.34</v>
      </c>
      <c r="M46" s="67">
        <v>8.1999999999999993</v>
      </c>
      <c r="N46" s="3">
        <f t="shared" si="0"/>
        <v>430.3728016</v>
      </c>
      <c r="O46" s="4">
        <f>ABS((N46-Table1[[#This Row],[Volume P]])/Table1[[#This Row],[Volume P]])</f>
        <v>0.66876564180712694</v>
      </c>
      <c r="S46" s="61">
        <v>52</v>
      </c>
      <c r="T46" s="61">
        <v>165</v>
      </c>
      <c r="U46" s="3">
        <f t="shared" si="1"/>
        <v>1162.0229768365011</v>
      </c>
      <c r="V46" s="4">
        <f>ABS(Table1[[#This Row],[Volume P]]-U46)/Table1[[#This Row],[Volume P]]</f>
        <v>0.10565460106480322</v>
      </c>
    </row>
    <row r="47" spans="1:22" ht="16.5">
      <c r="A47" s="13">
        <v>46</v>
      </c>
      <c r="B47" s="3">
        <v>1318.9</v>
      </c>
      <c r="C47" s="3">
        <v>1182.5999999999999</v>
      </c>
      <c r="D47" s="3" t="s">
        <v>10</v>
      </c>
      <c r="H47" s="5">
        <f>ABS((Table1[[#This Row],[Volume A]]-Table1[[#This Row],[Volume P]])/Table1[[#This Row],[Volume P]])</f>
        <v>0.11525452393032318</v>
      </c>
      <c r="K47">
        <v>11.27</v>
      </c>
      <c r="L47" s="67">
        <v>13.42</v>
      </c>
      <c r="M47" s="67">
        <v>15.86</v>
      </c>
      <c r="N47" s="3">
        <f t="shared" si="0"/>
        <v>743.60330044</v>
      </c>
      <c r="O47" s="4">
        <f>ABS((N47-Table1[[#This Row],[Volume P]])/Table1[[#This Row],[Volume P]])</f>
        <v>0.37121317398951459</v>
      </c>
      <c r="S47" s="61">
        <v>67</v>
      </c>
      <c r="T47" s="61">
        <v>168</v>
      </c>
      <c r="U47" s="3">
        <f t="shared" si="1"/>
        <v>1446.4430260440254</v>
      </c>
      <c r="V47" s="4">
        <f>ABS(Table1[[#This Row],[Volume P]]-U47)/Table1[[#This Row],[Volume P]]</f>
        <v>0.22310419925928082</v>
      </c>
    </row>
    <row r="48" spans="1:22" s="8" customFormat="1" ht="16.5">
      <c r="A48" s="13">
        <v>47</v>
      </c>
      <c r="B48" s="3">
        <v>1316.5</v>
      </c>
      <c r="C48" s="3">
        <v>1298.4000000000001</v>
      </c>
      <c r="D48" s="3" t="s">
        <v>8</v>
      </c>
      <c r="E48" s="3"/>
      <c r="F48" s="3"/>
      <c r="G48" s="3"/>
      <c r="H48" s="5">
        <f>ABS((Table1[[#This Row],[Volume A]]-Table1[[#This Row],[Volume P]])/Table1[[#This Row],[Volume P]])</f>
        <v>1.3940234134319092E-2</v>
      </c>
      <c r="I48" s="3"/>
      <c r="K48" s="67">
        <v>12.07</v>
      </c>
      <c r="L48" s="67">
        <v>13.95</v>
      </c>
      <c r="M48" s="67">
        <v>15.45</v>
      </c>
      <c r="N48" s="3">
        <f t="shared" si="0"/>
        <v>806.43924674999982</v>
      </c>
      <c r="O48" s="4">
        <f>ABS((N48-Table1[[#This Row],[Volume P]])/Table1[[#This Row],[Volume P]])</f>
        <v>0.37889768426524972</v>
      </c>
      <c r="S48" s="61">
        <v>78</v>
      </c>
      <c r="T48" s="61">
        <v>167</v>
      </c>
      <c r="U48" s="3">
        <f t="shared" si="1"/>
        <v>1616.1995208219296</v>
      </c>
      <c r="V48" s="4">
        <f>ABS(Table1[[#This Row],[Volume P]]-U48)/Table1[[#This Row],[Volume P]]</f>
        <v>0.24476241591337761</v>
      </c>
    </row>
    <row r="49" spans="1:22" ht="16.5">
      <c r="A49" s="13">
        <v>48</v>
      </c>
      <c r="B49" s="8">
        <v>1340.9</v>
      </c>
      <c r="C49" s="8">
        <v>1361.1</v>
      </c>
      <c r="D49" s="8" t="s">
        <v>8</v>
      </c>
      <c r="E49" s="8"/>
      <c r="F49" s="8"/>
      <c r="G49" s="8"/>
      <c r="H49" s="5">
        <f>ABS((Table1[[#This Row],[Volume A]]-Table1[[#This Row],[Volume P]])/Table1[[#This Row],[Volume P]])</f>
        <v>1.4840937477040496E-2</v>
      </c>
      <c r="I49" s="8"/>
      <c r="K49" s="67">
        <v>14.48</v>
      </c>
      <c r="L49">
        <v>17.940000000000001</v>
      </c>
      <c r="M49" s="67">
        <v>13.67</v>
      </c>
      <c r="N49" s="3">
        <f t="shared" si="0"/>
        <v>1100.8324142400002</v>
      </c>
      <c r="O49" s="4">
        <f>ABS((N49-Table1[[#This Row],[Volume P]])/Table1[[#This Row],[Volume P]])</f>
        <v>0.19121856275071616</v>
      </c>
      <c r="S49" s="61">
        <v>62</v>
      </c>
      <c r="T49" s="61">
        <v>168</v>
      </c>
      <c r="U49" s="3">
        <f t="shared" si="1"/>
        <v>1361.2080733231323</v>
      </c>
      <c r="V49" s="4">
        <f>ABS(Table1[[#This Row],[Volume P]]-U49)/Table1[[#This Row],[Volume P]]</f>
        <v>7.9401457007148807E-5</v>
      </c>
    </row>
    <row r="50" spans="1:22" s="8" customFormat="1" ht="16.5">
      <c r="A50" s="13">
        <v>49</v>
      </c>
      <c r="B50" s="3">
        <v>1291.5999999999999</v>
      </c>
      <c r="C50" s="3">
        <v>1260.3</v>
      </c>
      <c r="D50" s="3" t="s">
        <v>10</v>
      </c>
      <c r="E50" s="3"/>
      <c r="F50" s="3"/>
      <c r="G50" s="3"/>
      <c r="H50" s="5">
        <f>ABS((Table1[[#This Row],[Volume A]]-Table1[[#This Row],[Volume P]])/Table1[[#This Row],[Volume P]])</f>
        <v>2.4835356661112397E-2</v>
      </c>
      <c r="I50" s="3"/>
      <c r="K50" s="67">
        <v>11.79</v>
      </c>
      <c r="L50" s="67">
        <v>24.09</v>
      </c>
      <c r="M50" s="67">
        <v>15.05</v>
      </c>
      <c r="N50" s="3">
        <f t="shared" si="0"/>
        <v>1325.1004420499999</v>
      </c>
      <c r="O50" s="4">
        <f>ABS((N50-Table1[[#This Row],[Volume P]])/Table1[[#This Row],[Volume P]])</f>
        <v>5.1416680195191543E-2</v>
      </c>
      <c r="S50" s="61">
        <v>0</v>
      </c>
      <c r="T50" s="61">
        <v>0</v>
      </c>
      <c r="U50" s="3">
        <f t="shared" si="1"/>
        <v>-794.41</v>
      </c>
      <c r="V50" s="4">
        <f>ABS(Table1[[#This Row],[Volume P]]-U50)/Table1[[#This Row],[Volume P]]</f>
        <v>1.6303340474490202</v>
      </c>
    </row>
    <row r="51" spans="1:22" s="8" customFormat="1" ht="16.5">
      <c r="A51" s="13">
        <v>50</v>
      </c>
      <c r="B51" s="3">
        <v>1526</v>
      </c>
      <c r="C51" s="3">
        <v>1461.1</v>
      </c>
      <c r="D51" s="3" t="s">
        <v>10</v>
      </c>
      <c r="E51" s="3"/>
      <c r="F51" s="3"/>
      <c r="G51" s="3"/>
      <c r="H51" s="5">
        <f>ABS((Table1[[#This Row],[Volume A]]-Table1[[#This Row],[Volume P]])/Table1[[#This Row],[Volume P]])</f>
        <v>4.4418588734515159E-2</v>
      </c>
      <c r="I51" s="3"/>
      <c r="K51" s="67">
        <v>13.84</v>
      </c>
      <c r="L51" s="67">
        <v>16.16</v>
      </c>
      <c r="M51" s="67">
        <v>15.24</v>
      </c>
      <c r="N51" s="3">
        <f t="shared" si="0"/>
        <v>1056.6328473600001</v>
      </c>
      <c r="O51" s="4">
        <f>ABS((N51-Table1[[#This Row],[Volume P]])/Table1[[#This Row],[Volume P]])</f>
        <v>0.27682373050441433</v>
      </c>
      <c r="S51" s="61">
        <v>0</v>
      </c>
      <c r="T51" s="61">
        <v>0</v>
      </c>
      <c r="U51" s="3">
        <f t="shared" si="1"/>
        <v>-794.41</v>
      </c>
      <c r="V51" s="4">
        <f>ABS(Table1[[#This Row],[Volume P]]-U51)/Table1[[#This Row],[Volume P]]</f>
        <v>1.5437067962494011</v>
      </c>
    </row>
    <row r="52" spans="1:22" ht="45.75">
      <c r="A52" s="13">
        <v>51</v>
      </c>
      <c r="B52" s="8">
        <v>1494.2</v>
      </c>
      <c r="C52" s="8">
        <v>1521</v>
      </c>
      <c r="D52" s="8" t="s">
        <v>8</v>
      </c>
      <c r="E52" s="8"/>
      <c r="F52" s="75" t="s">
        <v>67</v>
      </c>
      <c r="G52" s="8"/>
      <c r="H52" s="5">
        <f>ABS((Table1[[#This Row],[Volume A]]-Table1[[#This Row],[Volume P]])/Table1[[#This Row],[Volume P]])</f>
        <v>1.7619986850756053E-2</v>
      </c>
      <c r="I52" s="8"/>
      <c r="K52" s="67">
        <v>14.16</v>
      </c>
      <c r="L52" s="67">
        <v>15.79</v>
      </c>
      <c r="M52" s="67">
        <v>15.44</v>
      </c>
      <c r="N52" s="3">
        <f t="shared" si="0"/>
        <v>1070.17394496</v>
      </c>
      <c r="O52" s="4">
        <f>ABS((N52-Table1[[#This Row],[Volume P]])/Table1[[#This Row],[Volume P]])</f>
        <v>0.29640108812623278</v>
      </c>
      <c r="S52" s="61">
        <v>75</v>
      </c>
      <c r="T52" s="61">
        <v>163</v>
      </c>
      <c r="U52" s="3">
        <f t="shared" si="1"/>
        <v>1540.9065896154925</v>
      </c>
      <c r="V52" s="4">
        <f>ABS(Table1[[#This Row],[Volume P]]-U52)/Table1[[#This Row],[Volume P]]</f>
        <v>1.308783012195432E-2</v>
      </c>
    </row>
    <row r="53" spans="1:22" ht="16.5">
      <c r="A53" s="14">
        <v>52</v>
      </c>
      <c r="B53" s="11">
        <v>2111.6999999999998</v>
      </c>
      <c r="C53" s="11">
        <v>2069.1</v>
      </c>
      <c r="D53" s="11" t="s">
        <v>8</v>
      </c>
      <c r="E53" s="11"/>
      <c r="F53" s="11" t="s">
        <v>68</v>
      </c>
      <c r="G53" s="11"/>
      <c r="H53" s="6">
        <f>ABS((Table1[[#This Row],[Volume A]]-Table1[[#This Row],[Volume P]])/Table1[[#This Row],[Volume P]])</f>
        <v>2.0588661736987052E-2</v>
      </c>
      <c r="I53" s="11"/>
      <c r="K53" s="67">
        <v>11.5</v>
      </c>
      <c r="L53" s="67">
        <v>18.98</v>
      </c>
      <c r="M53" s="67">
        <v>14.96</v>
      </c>
      <c r="N53" s="3">
        <f t="shared" si="0"/>
        <v>1012.248952</v>
      </c>
      <c r="O53" s="4">
        <f>ABS((N53-Table1[[#This Row],[Volume P]])/Table1[[#This Row],[Volume P]])</f>
        <v>0.51077813928761295</v>
      </c>
      <c r="S53" s="61">
        <v>0</v>
      </c>
      <c r="T53" s="61">
        <v>0</v>
      </c>
      <c r="U53" s="3">
        <f t="shared" si="1"/>
        <v>-794.41</v>
      </c>
      <c r="V53" s="4">
        <f>ABS(Table1[[#This Row],[Volume P]]-U53)/Table1[[#This Row],[Volume P]]</f>
        <v>1.3839398772413125</v>
      </c>
    </row>
    <row r="54" spans="1:22" ht="16.5">
      <c r="A54" s="13">
        <v>53</v>
      </c>
      <c r="B54" s="3">
        <v>2898.1</v>
      </c>
      <c r="C54" s="3">
        <v>3021.9</v>
      </c>
      <c r="D54" s="3" t="s">
        <v>8</v>
      </c>
      <c r="H54" s="5">
        <f>ABS((Table1[[#This Row],[Volume A]]-Table1[[#This Row],[Volume P]])/Table1[[#This Row],[Volume P]])</f>
        <v>4.0967603163572647E-2</v>
      </c>
      <c r="K54" s="67">
        <v>21.55</v>
      </c>
      <c r="L54" s="67">
        <v>17.11</v>
      </c>
      <c r="M54" s="67">
        <v>18.52</v>
      </c>
      <c r="N54" s="3">
        <f t="shared" si="0"/>
        <v>2116.8981346</v>
      </c>
      <c r="O54" s="4">
        <f>ABS((N54-Table1[[#This Row],[Volume P]])/Table1[[#This Row],[Volume P]])</f>
        <v>0.29948107660743239</v>
      </c>
      <c r="S54" s="61">
        <v>96</v>
      </c>
      <c r="T54" s="61">
        <v>188</v>
      </c>
      <c r="U54" s="3">
        <f t="shared" si="1"/>
        <v>2043.0900099815567</v>
      </c>
      <c r="V54" s="4">
        <f>ABS(Table1[[#This Row],[Volume P]]-U54)/Table1[[#This Row],[Volume P]]</f>
        <v>0.32390548662048491</v>
      </c>
    </row>
    <row r="55" spans="1:22" ht="16.5">
      <c r="A55" s="13">
        <v>54</v>
      </c>
      <c r="B55" s="3">
        <v>2171.6999999999998</v>
      </c>
      <c r="C55" s="3">
        <v>2208.3000000000002</v>
      </c>
      <c r="D55" s="3" t="s">
        <v>8</v>
      </c>
      <c r="H55" s="5">
        <f>ABS((Table1[[#This Row],[Volume A]]-Table1[[#This Row],[Volume P]])/Table1[[#This Row],[Volume P]])</f>
        <v>1.6573835076756038E-2</v>
      </c>
      <c r="K55" s="67">
        <v>16.329999999999998</v>
      </c>
      <c r="L55" s="67">
        <v>16.329999999999998</v>
      </c>
      <c r="M55" s="67">
        <v>18.239999999999998</v>
      </c>
      <c r="N55" s="3">
        <f t="shared" si="0"/>
        <v>1507.8526281599998</v>
      </c>
      <c r="O55" s="4">
        <f>ABS((N55-Table1[[#This Row],[Volume P]])/Table1[[#This Row],[Volume P]])</f>
        <v>0.31718850330118209</v>
      </c>
      <c r="S55" s="61">
        <v>56</v>
      </c>
      <c r="T55" s="61">
        <v>165</v>
      </c>
      <c r="U55" s="3">
        <f t="shared" si="1"/>
        <v>1235.8764500426209</v>
      </c>
      <c r="V55" s="4">
        <f>ABS(Table1[[#This Row],[Volume P]]-U55)/Table1[[#This Row],[Volume P]]</f>
        <v>0.44034938638653226</v>
      </c>
    </row>
    <row r="56" spans="1:22" s="8" customFormat="1" ht="16.5">
      <c r="A56" s="13">
        <v>55</v>
      </c>
      <c r="B56" s="3">
        <v>2052.6999999999998</v>
      </c>
      <c r="C56" s="3">
        <v>2070.5</v>
      </c>
      <c r="D56" s="3" t="s">
        <v>10</v>
      </c>
      <c r="E56" s="3"/>
      <c r="F56" s="3"/>
      <c r="G56" s="3"/>
      <c r="H56" s="5">
        <f>ABS((Table1[[#This Row],[Volume A]]-Table1[[#This Row],[Volume P]])/Table1[[#This Row],[Volume P]])</f>
        <v>8.5969572567013673E-3</v>
      </c>
      <c r="I56" s="3"/>
      <c r="K56" s="67">
        <v>14.46</v>
      </c>
      <c r="L56" s="67">
        <v>14.95</v>
      </c>
      <c r="M56" s="67">
        <v>17.07</v>
      </c>
      <c r="N56" s="3">
        <f t="shared" si="0"/>
        <v>1143.9438309</v>
      </c>
      <c r="O56" s="4">
        <f>ABS((N56-Table1[[#This Row],[Volume P]])/Table1[[#This Row],[Volume P]])</f>
        <v>0.44750358324076311</v>
      </c>
      <c r="S56" s="61">
        <v>95</v>
      </c>
      <c r="T56" s="61">
        <v>162</v>
      </c>
      <c r="U56" s="3">
        <f t="shared" si="1"/>
        <v>1825.827395382335</v>
      </c>
      <c r="V56" s="4">
        <f>ABS(Table1[[#This Row],[Volume P]]-U56)/Table1[[#This Row],[Volume P]]</f>
        <v>0.11817078223504709</v>
      </c>
    </row>
    <row r="57" spans="1:22" s="8" customFormat="1" ht="16.5">
      <c r="A57" s="13">
        <v>56</v>
      </c>
      <c r="B57" s="3">
        <v>1983.6</v>
      </c>
      <c r="C57" s="3">
        <v>1946.3</v>
      </c>
      <c r="D57" s="3" t="s">
        <v>10</v>
      </c>
      <c r="E57" s="3"/>
      <c r="F57" s="3"/>
      <c r="G57" s="3"/>
      <c r="H57" s="5">
        <f>ABS((Table1[[#This Row],[Volume A]]-Table1[[#This Row],[Volume P]])/Table1[[#This Row],[Volume P]])</f>
        <v>1.9164568668756078E-2</v>
      </c>
      <c r="I57" s="3"/>
      <c r="K57" s="67">
        <v>13.64</v>
      </c>
      <c r="L57" s="67">
        <v>24.48</v>
      </c>
      <c r="M57" s="67">
        <v>17.55</v>
      </c>
      <c r="N57" s="3">
        <f t="shared" si="0"/>
        <v>1816.6221216000004</v>
      </c>
      <c r="O57" s="4">
        <f>ABS((N57-Table1[[#This Row],[Volume P]])/Table1[[#This Row],[Volume P]])</f>
        <v>6.6627898268509275E-2</v>
      </c>
      <c r="S57" s="61">
        <v>110</v>
      </c>
      <c r="T57" s="61">
        <v>182</v>
      </c>
      <c r="U57" s="3">
        <f t="shared" si="1"/>
        <v>2194.0907361536838</v>
      </c>
      <c r="V57" s="4">
        <f>ABS(Table1[[#This Row],[Volume P]]-U57)/Table1[[#This Row],[Volume P]]</f>
        <v>0.12731374205090881</v>
      </c>
    </row>
    <row r="58" spans="1:22" s="8" customFormat="1" ht="16.5">
      <c r="A58" s="13">
        <v>57</v>
      </c>
      <c r="B58" s="8">
        <v>1606</v>
      </c>
      <c r="C58" s="8">
        <v>1566.8</v>
      </c>
      <c r="D58" s="8" t="s">
        <v>8</v>
      </c>
      <c r="H58" s="5">
        <f>ABS((Table1[[#This Row],[Volume A]]-Table1[[#This Row],[Volume P]])/Table1[[#This Row],[Volume P]])</f>
        <v>2.5019147306612234E-2</v>
      </c>
      <c r="K58" s="8">
        <v>15.44</v>
      </c>
      <c r="L58" s="8">
        <v>19.02</v>
      </c>
      <c r="M58" s="8">
        <v>16.34</v>
      </c>
      <c r="N58" s="3">
        <f t="shared" si="0"/>
        <v>1487.54993952</v>
      </c>
      <c r="O58" s="4">
        <f>ABS((N58-Table1[[#This Row],[Volume P]])/Table1[[#This Row],[Volume P]])</f>
        <v>5.0580840234873629E-2</v>
      </c>
      <c r="S58" s="61">
        <v>70</v>
      </c>
      <c r="T58" s="61">
        <v>172</v>
      </c>
      <c r="U58" s="3">
        <f t="shared" si="1"/>
        <v>1523.1691443237587</v>
      </c>
      <c r="V58" s="4">
        <f>ABS(Table1[[#This Row],[Volume P]]-U58)/Table1[[#This Row],[Volume P]]</f>
        <v>2.7847112379525949E-2</v>
      </c>
    </row>
    <row r="59" spans="1:22" s="8" customFormat="1" ht="16.5">
      <c r="A59" s="13">
        <v>58</v>
      </c>
      <c r="B59" s="3">
        <v>1708.3</v>
      </c>
      <c r="C59" s="3">
        <v>1748.6</v>
      </c>
      <c r="D59" s="3" t="s">
        <v>8</v>
      </c>
      <c r="E59" s="3"/>
      <c r="F59" s="3"/>
      <c r="G59" s="3"/>
      <c r="H59" s="5">
        <f>ABS((Table1[[#This Row],[Volume A]]-Table1[[#This Row],[Volume P]])/Table1[[#This Row],[Volume P]])</f>
        <v>2.3047009035800044E-2</v>
      </c>
      <c r="I59" s="3"/>
      <c r="K59" s="8">
        <v>14.72</v>
      </c>
      <c r="L59" s="8">
        <v>16.84</v>
      </c>
      <c r="M59" s="8">
        <v>15.37</v>
      </c>
      <c r="N59" s="3">
        <f t="shared" si="0"/>
        <v>1181.0967065599998</v>
      </c>
      <c r="O59" s="4">
        <f>ABS((N59-Table1[[#This Row],[Volume P]])/Table1[[#This Row],[Volume P]])</f>
        <v>0.32454723403865959</v>
      </c>
      <c r="S59" s="61">
        <v>65</v>
      </c>
      <c r="T59" s="61">
        <v>173</v>
      </c>
      <c r="U59" s="3">
        <f t="shared" si="1"/>
        <v>1445.3478142270451</v>
      </c>
      <c r="V59" s="4">
        <f>ABS(Table1[[#This Row],[Volume P]]-U59)/Table1[[#This Row],[Volume P]]</f>
        <v>0.17342570386192088</v>
      </c>
    </row>
    <row r="60" spans="1:22" ht="16.5">
      <c r="A60" s="13">
        <v>59</v>
      </c>
      <c r="B60" s="3">
        <v>1474.3</v>
      </c>
      <c r="C60" s="3">
        <v>1504.3</v>
      </c>
      <c r="D60" s="3" t="s">
        <v>8</v>
      </c>
      <c r="H60" s="5">
        <f>ABS((Table1[[#This Row],[Volume A]]-Table1[[#This Row],[Volume P]])/Table1[[#This Row],[Volume P]])</f>
        <v>1.9942830552416406E-2</v>
      </c>
      <c r="K60" s="3">
        <v>15.05</v>
      </c>
      <c r="L60" s="3">
        <v>15.18</v>
      </c>
      <c r="M60" s="3">
        <v>17.73</v>
      </c>
      <c r="N60" s="3">
        <f t="shared" si="0"/>
        <v>1255.6792017</v>
      </c>
      <c r="O60" s="4">
        <f>ABS((N60-Table1[[#This Row],[Volume P]])/Table1[[#This Row],[Volume P]])</f>
        <v>0.16527341507677987</v>
      </c>
      <c r="S60" s="61">
        <v>74</v>
      </c>
      <c r="T60" s="61">
        <v>180</v>
      </c>
      <c r="U60" s="3">
        <f t="shared" si="1"/>
        <v>1643.2517513674866</v>
      </c>
      <c r="V60" s="4">
        <f>ABS(Table1[[#This Row],[Volume P]]-U60)/Table1[[#This Row],[Volume P]]</f>
        <v>9.2369707749442684E-2</v>
      </c>
    </row>
    <row r="61" spans="1:22" s="8" customFormat="1" ht="30.75">
      <c r="A61" s="13">
        <v>60</v>
      </c>
      <c r="B61" s="3">
        <v>6568.9</v>
      </c>
      <c r="C61" s="3">
        <v>6702.5</v>
      </c>
      <c r="D61" s="3" t="s">
        <v>8</v>
      </c>
      <c r="E61" s="3"/>
      <c r="F61" s="75" t="s">
        <v>69</v>
      </c>
      <c r="G61" s="3"/>
      <c r="H61" s="5">
        <f>ABS((Table1[[#This Row],[Volume A]]-Table1[[#This Row],[Volume P]])/Table1[[#This Row],[Volume P]])</f>
        <v>1.9932860872808707E-2</v>
      </c>
      <c r="I61" s="3"/>
      <c r="K61" s="8">
        <v>25.46</v>
      </c>
      <c r="L61" s="8">
        <v>24.31</v>
      </c>
      <c r="M61" s="8">
        <v>19.36</v>
      </c>
      <c r="N61" s="3">
        <f t="shared" si="0"/>
        <v>3714.5858921599997</v>
      </c>
      <c r="O61" s="4">
        <f>ABS((N61-Table1[[#This Row],[Volume P]])/Table1[[#This Row],[Volume P]])</f>
        <v>0.44579098960686314</v>
      </c>
      <c r="S61" s="61">
        <v>73</v>
      </c>
      <c r="T61" s="61">
        <v>176</v>
      </c>
      <c r="U61" s="3">
        <f t="shared" si="1"/>
        <v>1599.672403218588</v>
      </c>
      <c r="V61" s="4">
        <f>ABS(Table1[[#This Row],[Volume P]]-U61)/Table1[[#This Row],[Volume P]]</f>
        <v>0.76133198012404502</v>
      </c>
    </row>
    <row r="62" spans="1:22" ht="16.5">
      <c r="A62" s="13">
        <v>61</v>
      </c>
      <c r="B62" s="8">
        <v>1663.3</v>
      </c>
      <c r="C62" s="8">
        <v>1557.1</v>
      </c>
      <c r="D62" s="8" t="s">
        <v>8</v>
      </c>
      <c r="E62" s="8"/>
      <c r="F62" s="8"/>
      <c r="G62" s="8"/>
      <c r="H62" s="5">
        <f>ABS((Table1[[#This Row],[Volume A]]-Table1[[#This Row],[Volume P]])/Table1[[#This Row],[Volume P]])</f>
        <v>6.8203712028771471E-2</v>
      </c>
      <c r="I62" s="8"/>
      <c r="K62" s="3">
        <v>12.99</v>
      </c>
      <c r="L62" s="3">
        <v>14.83</v>
      </c>
      <c r="M62" s="3">
        <v>14.88</v>
      </c>
      <c r="N62" s="3">
        <f t="shared" si="0"/>
        <v>888.6176337600001</v>
      </c>
      <c r="O62" s="4">
        <f>ABS((N62-Table1[[#This Row],[Volume P]])/Table1[[#This Row],[Volume P]])</f>
        <v>0.42931241811059012</v>
      </c>
      <c r="S62" s="61">
        <v>72</v>
      </c>
      <c r="T62" s="61">
        <v>180</v>
      </c>
      <c r="U62" s="3">
        <f t="shared" si="1"/>
        <v>1610.0847399069103</v>
      </c>
      <c r="V62" s="4">
        <f>ABS(Table1[[#This Row],[Volume P]]-U62)/Table1[[#This Row],[Volume P]]</f>
        <v>3.4027833733806669E-2</v>
      </c>
    </row>
    <row r="63" spans="1:22" s="8" customFormat="1" ht="16.5">
      <c r="A63" s="13">
        <v>62</v>
      </c>
      <c r="B63" s="3">
        <v>1768.6</v>
      </c>
      <c r="C63" s="3">
        <v>1662.8</v>
      </c>
      <c r="D63" s="3" t="s">
        <v>10</v>
      </c>
      <c r="E63" s="3"/>
      <c r="F63" s="3"/>
      <c r="G63" s="3"/>
      <c r="H63" s="5">
        <f>ABS((Table1[[#This Row],[Volume A]]-Table1[[#This Row],[Volume P]])/Table1[[#This Row],[Volume P]])</f>
        <v>6.3627616069280704E-2</v>
      </c>
      <c r="I63" s="3" t="s">
        <v>14</v>
      </c>
      <c r="K63" s="8">
        <v>12.57</v>
      </c>
      <c r="L63" s="8">
        <v>18.34</v>
      </c>
      <c r="M63" s="8">
        <v>16.260000000000002</v>
      </c>
      <c r="N63" s="3">
        <f t="shared" si="0"/>
        <v>1162.0286722800001</v>
      </c>
      <c r="O63" s="4">
        <f>ABS((N63-Table1[[#This Row],[Volume P]])/Table1[[#This Row],[Volume P]])</f>
        <v>0.30116149129179687</v>
      </c>
      <c r="S63" s="61">
        <v>67</v>
      </c>
      <c r="T63" s="61">
        <v>167</v>
      </c>
      <c r="U63" s="3">
        <f t="shared" si="1"/>
        <v>1439.7638665492345</v>
      </c>
      <c r="V63" s="4">
        <f>ABS(Table1[[#This Row],[Volume P]]-U63)/Table1[[#This Row],[Volume P]]</f>
        <v>0.1341328683249732</v>
      </c>
    </row>
    <row r="64" spans="1:22" s="8" customFormat="1" ht="16.5">
      <c r="A64" s="13">
        <v>63</v>
      </c>
      <c r="B64" s="3">
        <v>1697.4</v>
      </c>
      <c r="C64" s="3">
        <v>1639.9</v>
      </c>
      <c r="D64" s="3" t="s">
        <v>8</v>
      </c>
      <c r="E64" s="3"/>
      <c r="F64" s="3"/>
      <c r="G64" s="3"/>
      <c r="H64" s="5">
        <f>ABS((Table1[[#This Row],[Volume A]]-Table1[[#This Row],[Volume P]])/Table1[[#This Row],[Volume P]])</f>
        <v>3.5063113604488078E-2</v>
      </c>
      <c r="I64" s="3"/>
      <c r="K64" s="8">
        <v>16.86</v>
      </c>
      <c r="L64" s="8">
        <v>23.35</v>
      </c>
      <c r="M64" s="8">
        <v>12.61</v>
      </c>
      <c r="N64" s="3">
        <f t="shared" si="0"/>
        <v>1538.9383971</v>
      </c>
      <c r="O64" s="4">
        <f>ABS((N64-Table1[[#This Row],[Volume P]])/Table1[[#This Row],[Volume P]])</f>
        <v>6.1565706994328992E-2</v>
      </c>
      <c r="S64" s="61">
        <v>53</v>
      </c>
      <c r="T64" s="61">
        <v>158</v>
      </c>
      <c r="U64" s="3">
        <f t="shared" si="1"/>
        <v>1138.3939694100154</v>
      </c>
      <c r="V64" s="4">
        <f>ABS(Table1[[#This Row],[Volume P]]-U64)/Table1[[#This Row],[Volume P]]</f>
        <v>0.30581500737239137</v>
      </c>
    </row>
    <row r="65" spans="1:22" ht="60.75">
      <c r="A65" s="13">
        <v>64</v>
      </c>
      <c r="B65" s="3">
        <v>2427.6999999999998</v>
      </c>
      <c r="C65" s="3">
        <v>2413.9</v>
      </c>
      <c r="D65" s="3" t="s">
        <v>8</v>
      </c>
      <c r="F65" s="75" t="s">
        <v>72</v>
      </c>
      <c r="G65" s="3" t="s">
        <v>73</v>
      </c>
      <c r="H65" s="5">
        <f>ABS((Table1[[#This Row],[Volume A]]-Table1[[#This Row],[Volume P]])/Table1[[#This Row],[Volume P]])</f>
        <v>5.716889680599746E-3</v>
      </c>
      <c r="K65" s="3">
        <v>12.65</v>
      </c>
      <c r="L65" s="3">
        <v>20.34</v>
      </c>
      <c r="M65" s="3">
        <v>18.57</v>
      </c>
      <c r="N65" s="3">
        <f t="shared" si="0"/>
        <v>1481.2046667</v>
      </c>
      <c r="O65" s="4">
        <f>ABS((N65-Table1[[#This Row],[Volume P]])/Table1[[#This Row],[Volume P]])</f>
        <v>0.38638524102075483</v>
      </c>
      <c r="S65" s="61">
        <v>101</v>
      </c>
      <c r="T65" s="61">
        <v>172</v>
      </c>
      <c r="U65" s="3">
        <f t="shared" si="1"/>
        <v>1989.4426287724996</v>
      </c>
      <c r="V65" s="4">
        <f>ABS(Table1[[#This Row],[Volume P]]-U65)/Table1[[#This Row],[Volume P]]</f>
        <v>0.17583883807427836</v>
      </c>
    </row>
    <row r="66" spans="1:22" ht="16.5">
      <c r="A66" s="13">
        <v>65</v>
      </c>
      <c r="B66" s="8">
        <v>1426.1</v>
      </c>
      <c r="C66" s="8">
        <v>1520.4</v>
      </c>
      <c r="D66" s="8" t="s">
        <v>8</v>
      </c>
      <c r="E66" s="8"/>
      <c r="F66" s="8"/>
      <c r="G66" s="8"/>
      <c r="H66" s="5">
        <f>ABS((Table1[[#This Row],[Volume A]]-Table1[[#This Row],[Volume P]])/Table1[[#This Row],[Volume P]])</f>
        <v>6.2023151802157443E-2</v>
      </c>
      <c r="I66" s="8"/>
      <c r="K66" s="3">
        <v>13.31</v>
      </c>
      <c r="L66" s="3">
        <v>16.36</v>
      </c>
      <c r="M66" s="3">
        <v>15.4</v>
      </c>
      <c r="N66" s="3">
        <f t="shared" si="0"/>
        <v>1039.5461384</v>
      </c>
      <c r="O66" s="4">
        <f>ABS((N66-Table1[[#This Row],[Volume P]])/Table1[[#This Row],[Volume P]])</f>
        <v>0.31626799631675878</v>
      </c>
      <c r="S66" s="61">
        <v>68</v>
      </c>
      <c r="T66" s="61">
        <v>165</v>
      </c>
      <c r="U66" s="3">
        <f t="shared" si="1"/>
        <v>1442.8567025517245</v>
      </c>
      <c r="V66" s="4">
        <f>ABS(Table1[[#This Row],[Volume P]]-U66)/Table1[[#This Row],[Volume P]]</f>
        <v>5.1001905714466951E-2</v>
      </c>
    </row>
    <row r="67" spans="1:22" s="8" customFormat="1" ht="16.5">
      <c r="A67" s="13">
        <v>66</v>
      </c>
      <c r="B67" s="3">
        <v>2647.4</v>
      </c>
      <c r="C67" s="3">
        <v>2494.6</v>
      </c>
      <c r="D67" s="3" t="s">
        <v>10</v>
      </c>
      <c r="E67" s="3"/>
      <c r="F67" s="3"/>
      <c r="G67" s="3"/>
      <c r="H67" s="5">
        <f>ABS((Table1[[#This Row],[Volume A]]-Table1[[#This Row],[Volume P]])/Table1[[#This Row],[Volume P]])</f>
        <v>6.1252304978754182E-2</v>
      </c>
      <c r="I67" s="3"/>
      <c r="K67" s="8">
        <v>13.71</v>
      </c>
      <c r="L67" s="8">
        <v>17.73</v>
      </c>
      <c r="M67" s="8">
        <v>21.3</v>
      </c>
      <c r="N67" s="3">
        <f t="shared" ref="N67:N104" si="2">0.31*M67*L67*K67</f>
        <v>1605.0460149</v>
      </c>
      <c r="O67" s="4">
        <f>ABS((N67-Table1[[#This Row],[Volume P]])/Table1[[#This Row],[Volume P]])</f>
        <v>0.35659183239797959</v>
      </c>
      <c r="S67" s="61">
        <v>103</v>
      </c>
      <c r="T67" s="61">
        <v>179</v>
      </c>
      <c r="U67" s="3">
        <f t="shared" ref="U67:U104" si="3">1267.28 * SQRT(S67*T67/3600)-794.41</f>
        <v>2073.5062082280037</v>
      </c>
      <c r="V67" s="4">
        <f>ABS(Table1[[#This Row],[Volume P]]-U67)/Table1[[#This Row],[Volume P]]</f>
        <v>0.16880212930810398</v>
      </c>
    </row>
    <row r="68" spans="1:22" ht="16.5">
      <c r="A68" s="13">
        <v>67</v>
      </c>
      <c r="B68" s="3">
        <v>1233.7</v>
      </c>
      <c r="C68" s="3">
        <v>1174.3</v>
      </c>
      <c r="D68" s="3" t="s">
        <v>10</v>
      </c>
      <c r="H68" s="5">
        <f>ABS((Table1[[#This Row],[Volume A]]-Table1[[#This Row],[Volume P]])/Table1[[#This Row],[Volume P]])</f>
        <v>5.0583326236907172E-2</v>
      </c>
      <c r="K68" s="3">
        <v>8.41</v>
      </c>
      <c r="L68" s="3">
        <v>16.440000000000001</v>
      </c>
      <c r="M68" s="3">
        <v>11.88</v>
      </c>
      <c r="N68" s="3">
        <f t="shared" si="2"/>
        <v>509.18540112000011</v>
      </c>
      <c r="O68" s="4">
        <f>ABS((N68-Table1[[#This Row],[Volume P]])/Table1[[#This Row],[Volume P]])</f>
        <v>0.56639240303159322</v>
      </c>
      <c r="S68" s="61">
        <v>73</v>
      </c>
      <c r="T68" s="61">
        <v>165</v>
      </c>
      <c r="U68" s="3">
        <f t="shared" si="3"/>
        <v>1523.6503192784553</v>
      </c>
      <c r="V68" s="4">
        <f>ABS(Table1[[#This Row],[Volume P]]-U68)/Table1[[#This Row],[Volume P]]</f>
        <v>0.29749665271093872</v>
      </c>
    </row>
    <row r="69" spans="1:22" ht="16.5">
      <c r="A69" s="13">
        <v>68</v>
      </c>
      <c r="B69" s="3">
        <v>2397.4</v>
      </c>
      <c r="C69" s="3">
        <v>2448.1999999999998</v>
      </c>
      <c r="D69" s="3" t="s">
        <v>8</v>
      </c>
      <c r="H69" s="5">
        <f>ABS((Table1[[#This Row],[Volume A]]-Table1[[#This Row],[Volume P]])/Table1[[#This Row],[Volume P]])</f>
        <v>2.0749938730495764E-2</v>
      </c>
      <c r="K69" s="3">
        <v>15.79</v>
      </c>
      <c r="L69" s="3">
        <v>19.420000000000002</v>
      </c>
      <c r="M69" s="3">
        <v>18.29</v>
      </c>
      <c r="N69" s="3">
        <f t="shared" si="2"/>
        <v>1738.6283418199998</v>
      </c>
      <c r="O69" s="4">
        <f>ABS((N69-Table1[[#This Row],[Volume P]])/Table1[[#This Row],[Volume P]])</f>
        <v>0.2898340242545544</v>
      </c>
      <c r="S69" s="61">
        <v>71</v>
      </c>
      <c r="T69" s="61">
        <v>160</v>
      </c>
      <c r="U69" s="3">
        <f t="shared" si="3"/>
        <v>1456.7714230300398</v>
      </c>
      <c r="V69" s="4">
        <f>ABS(Table1[[#This Row],[Volume P]]-U69)/Table1[[#This Row],[Volume P]]</f>
        <v>0.40496224857853119</v>
      </c>
    </row>
    <row r="70" spans="1:22" ht="16.5">
      <c r="A70" s="13">
        <v>69</v>
      </c>
      <c r="B70" s="3">
        <v>1954.2</v>
      </c>
      <c r="C70" s="3">
        <v>1835.2</v>
      </c>
      <c r="D70" s="3" t="s">
        <v>10</v>
      </c>
      <c r="H70" s="5">
        <f>ABS((Table1[[#This Row],[Volume A]]-Table1[[#This Row],[Volume P]])/Table1[[#This Row],[Volume P]])</f>
        <v>6.484306887532694E-2</v>
      </c>
      <c r="K70" s="3">
        <v>10.29</v>
      </c>
      <c r="L70" s="3">
        <v>17.28</v>
      </c>
      <c r="M70" s="3">
        <v>17.170000000000002</v>
      </c>
      <c r="N70" s="3">
        <f t="shared" si="2"/>
        <v>946.43567424000003</v>
      </c>
      <c r="O70" s="4">
        <f>ABS((N70-Table1[[#This Row],[Volume P]])/Table1[[#This Row],[Volume P]])</f>
        <v>0.48428744864864864</v>
      </c>
      <c r="S70" s="61">
        <v>105</v>
      </c>
      <c r="T70" s="61">
        <v>183</v>
      </c>
      <c r="U70" s="3">
        <f t="shared" si="3"/>
        <v>2133.3907990572038</v>
      </c>
      <c r="V70" s="4">
        <f>ABS(Table1[[#This Row],[Volume P]]-U70)/Table1[[#This Row],[Volume P]]</f>
        <v>0.16248408841390791</v>
      </c>
    </row>
    <row r="71" spans="1:22" ht="16.5">
      <c r="A71" s="13">
        <v>70</v>
      </c>
      <c r="B71" s="3">
        <v>2792.5</v>
      </c>
      <c r="C71" s="3">
        <v>2720.7</v>
      </c>
      <c r="D71" s="3" t="s">
        <v>10</v>
      </c>
      <c r="H71" s="5">
        <f>ABS((Table1[[#This Row],[Volume A]]-Table1[[#This Row],[Volume P]])/Table1[[#This Row],[Volume P]])</f>
        <v>2.6390267210644389E-2</v>
      </c>
      <c r="K71" s="3">
        <v>18.64</v>
      </c>
      <c r="L71" s="3">
        <v>20.83</v>
      </c>
      <c r="M71" s="3">
        <v>16.79</v>
      </c>
      <c r="N71" s="3">
        <f t="shared" si="2"/>
        <v>2020.9127688799997</v>
      </c>
      <c r="O71" s="4">
        <f>ABS((N71-Table1[[#This Row],[Volume P]])/Table1[[#This Row],[Volume P]])</f>
        <v>0.25720852395339439</v>
      </c>
      <c r="S71" s="61">
        <v>78</v>
      </c>
      <c r="T71" s="61">
        <v>165</v>
      </c>
      <c r="U71" s="3">
        <f t="shared" si="3"/>
        <v>1601.7212546018845</v>
      </c>
      <c r="V71" s="4">
        <f>ABS(Table1[[#This Row],[Volume P]]-U71)/Table1[[#This Row],[Volume P]]</f>
        <v>0.41128339963910587</v>
      </c>
    </row>
    <row r="72" spans="1:22" ht="16.5">
      <c r="A72" s="13">
        <v>71</v>
      </c>
      <c r="B72" s="3">
        <v>2313.1999999999998</v>
      </c>
      <c r="C72" s="3">
        <v>2136.1999999999998</v>
      </c>
      <c r="D72" s="3" t="s">
        <v>10</v>
      </c>
      <c r="G72" s="3">
        <v>1</v>
      </c>
      <c r="H72" s="5">
        <f>ABS((Table1[[#This Row],[Volume A]]-Table1[[#This Row],[Volume P]])/Table1[[#This Row],[Volume P]])</f>
        <v>8.2857410354835695E-2</v>
      </c>
      <c r="K72" s="3">
        <v>16.690000000000001</v>
      </c>
      <c r="L72" s="3">
        <v>20.53</v>
      </c>
      <c r="M72" s="3">
        <v>17</v>
      </c>
      <c r="N72" s="3">
        <f t="shared" si="2"/>
        <v>1805.7428390000002</v>
      </c>
      <c r="O72" s="4">
        <f>ABS((N72-Table1[[#This Row],[Volume P]])/Table1[[#This Row],[Volume P]])</f>
        <v>0.15469392425802808</v>
      </c>
      <c r="S72" s="61">
        <v>73</v>
      </c>
      <c r="T72" s="61">
        <v>176</v>
      </c>
      <c r="U72" s="3">
        <f t="shared" si="3"/>
        <v>1599.672403218588</v>
      </c>
      <c r="V72" s="4">
        <f>ABS(Table1[[#This Row],[Volume P]]-U72)/Table1[[#This Row],[Volume P]]</f>
        <v>0.25115981498989415</v>
      </c>
    </row>
    <row r="73" spans="1:22" ht="16.5">
      <c r="A73" s="13">
        <v>72</v>
      </c>
      <c r="B73" s="3">
        <v>1887.8</v>
      </c>
      <c r="C73" s="3">
        <v>1944</v>
      </c>
      <c r="D73" s="3" t="s">
        <v>8</v>
      </c>
      <c r="G73" s="3">
        <v>1</v>
      </c>
      <c r="H73" s="5">
        <f>ABS((Table1[[#This Row],[Volume A]]-Table1[[#This Row],[Volume P]])/Table1[[#This Row],[Volume P]])</f>
        <v>2.8909465020576154E-2</v>
      </c>
      <c r="K73" s="3">
        <v>19.21</v>
      </c>
      <c r="L73" s="3">
        <v>17.93</v>
      </c>
      <c r="M73" s="3">
        <v>15.51</v>
      </c>
      <c r="N73" s="3">
        <f t="shared" si="2"/>
        <v>1656.07936593</v>
      </c>
      <c r="O73" s="4">
        <f>ABS((N73-Table1[[#This Row],[Volume P]])/Table1[[#This Row],[Volume P]])</f>
        <v>0.14810732205246913</v>
      </c>
      <c r="S73" s="61">
        <v>55</v>
      </c>
      <c r="T73" s="61">
        <v>160</v>
      </c>
      <c r="U73" s="3">
        <f t="shared" si="3"/>
        <v>1186.9466947030119</v>
      </c>
      <c r="V73" s="4">
        <f>ABS(Table1[[#This Row],[Volume P]]-U73)/Table1[[#This Row],[Volume P]]</f>
        <v>0.38943071260133133</v>
      </c>
    </row>
    <row r="74" spans="1:22" ht="16.5">
      <c r="A74" s="13">
        <v>73</v>
      </c>
      <c r="B74" s="8">
        <v>1541.2</v>
      </c>
      <c r="C74" s="8">
        <v>1532.7</v>
      </c>
      <c r="D74" s="8" t="s">
        <v>8</v>
      </c>
      <c r="E74" s="8"/>
      <c r="F74" s="8"/>
      <c r="G74" s="8" t="s">
        <v>15</v>
      </c>
      <c r="H74" s="5">
        <f>ABS((Table1[[#This Row],[Volume A]]-Table1[[#This Row],[Volume P]])/Table1[[#This Row],[Volume P]])</f>
        <v>5.5457689045475302E-3</v>
      </c>
      <c r="I74" s="8"/>
      <c r="K74" s="3">
        <v>13.45</v>
      </c>
      <c r="L74" s="3">
        <v>17.38</v>
      </c>
      <c r="M74" s="3">
        <v>15.65</v>
      </c>
      <c r="N74" s="3">
        <f t="shared" si="2"/>
        <v>1134.0914914999998</v>
      </c>
      <c r="O74" s="4">
        <f>ABS((N74-Table1[[#This Row],[Volume P]])/Table1[[#This Row],[Volume P]])</f>
        <v>0.26006949076792601</v>
      </c>
      <c r="S74" s="61">
        <v>70</v>
      </c>
      <c r="T74" s="61">
        <v>162</v>
      </c>
      <c r="U74" s="3">
        <f t="shared" si="3"/>
        <v>1454.7888762579446</v>
      </c>
      <c r="V74" s="4">
        <f>ABS(Table1[[#This Row],[Volume P]]-U74)/Table1[[#This Row],[Volume P]]</f>
        <v>5.0832598513770109E-2</v>
      </c>
    </row>
    <row r="75" spans="1:22" ht="39.75">
      <c r="A75" s="78">
        <v>74</v>
      </c>
      <c r="B75" s="76">
        <v>1431.2</v>
      </c>
      <c r="C75" s="76">
        <v>1141.8</v>
      </c>
      <c r="D75" s="76" t="s">
        <v>10</v>
      </c>
      <c r="E75" s="76"/>
      <c r="F75" s="77" t="s">
        <v>71</v>
      </c>
      <c r="G75" s="76"/>
      <c r="H75" s="6">
        <f>ABS((Table1[[#This Row],[Volume A]]-Table1[[#This Row],[Volume P]])/Table1[[#This Row],[Volume P]])</f>
        <v>0.25345944999124198</v>
      </c>
      <c r="I75" s="76"/>
      <c r="K75" s="3">
        <v>14.19</v>
      </c>
      <c r="L75" s="3">
        <v>14.97</v>
      </c>
      <c r="M75" s="3">
        <v>11.4</v>
      </c>
      <c r="N75" s="3">
        <f t="shared" si="2"/>
        <v>750.70747620000009</v>
      </c>
      <c r="O75" s="4">
        <f>ABS((N75-Table1[[#This Row],[Volume P]])/Table1[[#This Row],[Volume P]])</f>
        <v>0.34252279190751433</v>
      </c>
      <c r="S75" s="61">
        <v>40</v>
      </c>
      <c r="T75" s="61">
        <v>162</v>
      </c>
      <c r="U75" s="3">
        <f t="shared" si="3"/>
        <v>905.8245359155602</v>
      </c>
      <c r="V75" s="4">
        <f>ABS(Table1[[#This Row],[Volume P]]-U75)/Table1[[#This Row],[Volume P]]</f>
        <v>0.20666970054689066</v>
      </c>
    </row>
    <row r="76" spans="1:22" ht="16.5">
      <c r="A76" s="13">
        <v>75</v>
      </c>
      <c r="B76" s="3">
        <v>1582.6</v>
      </c>
      <c r="C76" s="3">
        <v>1485.8</v>
      </c>
      <c r="D76" s="3" t="s">
        <v>10</v>
      </c>
      <c r="G76" s="3">
        <v>1</v>
      </c>
      <c r="H76" s="5">
        <f>ABS((Table1[[#This Row],[Volume A]]-Table1[[#This Row],[Volume P]])/Table1[[#This Row],[Volume P]])</f>
        <v>6.5150087494952186E-2</v>
      </c>
      <c r="K76" s="3">
        <v>13.26</v>
      </c>
      <c r="L76" s="3">
        <v>16.989999999999998</v>
      </c>
      <c r="M76" s="3">
        <v>14.3</v>
      </c>
      <c r="N76" s="3">
        <f t="shared" si="2"/>
        <v>998.69904419999978</v>
      </c>
      <c r="O76" s="4">
        <f>ABS((N76-Table1[[#This Row],[Volume P]])/Table1[[#This Row],[Volume P]])</f>
        <v>0.32783749885583535</v>
      </c>
      <c r="S76" s="61">
        <v>72</v>
      </c>
      <c r="T76" s="61">
        <v>170</v>
      </c>
      <c r="U76" s="3">
        <f t="shared" si="3"/>
        <v>1542.3388599676264</v>
      </c>
      <c r="V76" s="4">
        <f>ABS(Table1[[#This Row],[Volume P]]-U76)/Table1[[#This Row],[Volume P]]</f>
        <v>3.8052806547063146E-2</v>
      </c>
    </row>
    <row r="77" spans="1:22" ht="16.5">
      <c r="A77" s="13">
        <v>76</v>
      </c>
      <c r="B77" s="8">
        <v>1685.2</v>
      </c>
      <c r="C77" s="8">
        <v>1593.1</v>
      </c>
      <c r="D77" s="8" t="s">
        <v>8</v>
      </c>
      <c r="E77" s="8"/>
      <c r="F77" s="8"/>
      <c r="G77" s="8">
        <v>1</v>
      </c>
      <c r="H77" s="5">
        <f>ABS((Table1[[#This Row],[Volume A]]-Table1[[#This Row],[Volume P]])/Table1[[#This Row],[Volume P]])</f>
        <v>5.7811813445483737E-2</v>
      </c>
      <c r="I77" s="8"/>
      <c r="K77" s="3">
        <v>15.4</v>
      </c>
      <c r="L77" s="3">
        <v>18.04</v>
      </c>
      <c r="M77" s="3">
        <v>16.37</v>
      </c>
      <c r="N77" s="3">
        <f t="shared" si="2"/>
        <v>1409.8328551999998</v>
      </c>
      <c r="O77" s="4">
        <f>ABS((N77-Table1[[#This Row],[Volume P]])/Table1[[#This Row],[Volume P]])</f>
        <v>0.11503806716464761</v>
      </c>
      <c r="S77" s="61">
        <v>69</v>
      </c>
      <c r="T77" s="61">
        <v>179</v>
      </c>
      <c r="U77" s="3">
        <f t="shared" si="3"/>
        <v>1552.9104989258144</v>
      </c>
      <c r="V77" s="4">
        <f>ABS(Table1[[#This Row],[Volume P]]-U77)/Table1[[#This Row],[Volume P]]</f>
        <v>2.5227230603342855E-2</v>
      </c>
    </row>
    <row r="78" spans="1:22" ht="16.5">
      <c r="A78" s="13">
        <v>77</v>
      </c>
      <c r="B78" s="8">
        <v>2114.9</v>
      </c>
      <c r="C78" s="8">
        <v>2074.1</v>
      </c>
      <c r="D78" s="8" t="s">
        <v>8</v>
      </c>
      <c r="E78" s="8"/>
      <c r="F78" s="8"/>
      <c r="G78" s="8"/>
      <c r="H78" s="5">
        <f>ABS((Table1[[#This Row],[Volume A]]-Table1[[#This Row],[Volume P]])/Table1[[#This Row],[Volume P]])</f>
        <v>1.9671182681645139E-2</v>
      </c>
      <c r="I78" s="8"/>
      <c r="K78" s="3">
        <v>18.09</v>
      </c>
      <c r="L78" s="3">
        <v>19.739999999999998</v>
      </c>
      <c r="M78" s="3">
        <v>14.73</v>
      </c>
      <c r="N78" s="3">
        <f t="shared" si="2"/>
        <v>1630.6102045800001</v>
      </c>
      <c r="O78" s="4">
        <f>ABS((N78-Table1[[#This Row],[Volume P]])/Table1[[#This Row],[Volume P]])</f>
        <v>0.21382276429294628</v>
      </c>
      <c r="S78" s="61">
        <v>55</v>
      </c>
      <c r="T78" s="61">
        <v>160</v>
      </c>
      <c r="U78" s="3">
        <f t="shared" si="3"/>
        <v>1186.9466947030119</v>
      </c>
      <c r="V78" s="4">
        <f>ABS(Table1[[#This Row],[Volume P]]-U78)/Table1[[#This Row],[Volume P]]</f>
        <v>0.42772928272358518</v>
      </c>
    </row>
    <row r="79" spans="1:22" ht="16.5">
      <c r="A79" s="13">
        <v>78</v>
      </c>
      <c r="B79" s="3">
        <v>2091.1</v>
      </c>
      <c r="C79" s="3">
        <v>1951.7</v>
      </c>
      <c r="D79" s="3" t="s">
        <v>10</v>
      </c>
      <c r="G79" s="3">
        <v>1</v>
      </c>
      <c r="H79" s="5">
        <f>ABS((Table1[[#This Row],[Volume A]]-Table1[[#This Row],[Volume P]])/Table1[[#This Row],[Volume P]])</f>
        <v>7.1424911615514605E-2</v>
      </c>
      <c r="K79" s="3">
        <v>20.52</v>
      </c>
      <c r="L79" s="3">
        <v>17.489999999999998</v>
      </c>
      <c r="M79" s="3">
        <v>15.08</v>
      </c>
      <c r="N79" s="3">
        <f t="shared" si="2"/>
        <v>1677.76141104</v>
      </c>
      <c r="O79" s="4">
        <f>ABS((N79-Table1[[#This Row],[Volume P]])/Table1[[#This Row],[Volume P]])</f>
        <v>0.14035896344725116</v>
      </c>
      <c r="S79" s="61">
        <v>65</v>
      </c>
      <c r="T79" s="61">
        <v>167</v>
      </c>
      <c r="U79" s="3">
        <f t="shared" si="3"/>
        <v>1406.1653531514839</v>
      </c>
      <c r="V79" s="4">
        <f>ABS(Table1[[#This Row],[Volume P]]-U79)/Table1[[#This Row],[Volume P]]</f>
        <v>0.27951767528232624</v>
      </c>
    </row>
    <row r="80" spans="1:22" ht="16.5">
      <c r="A80" s="13">
        <v>79</v>
      </c>
      <c r="B80" s="3">
        <v>2330.1</v>
      </c>
      <c r="C80" s="3">
        <v>2142.6999999999998</v>
      </c>
      <c r="D80" s="3" t="s">
        <v>10</v>
      </c>
      <c r="G80" s="3">
        <v>1</v>
      </c>
      <c r="H80" s="5">
        <f>ABS((Table1[[#This Row],[Volume A]]-Table1[[#This Row],[Volume P]])/Table1[[#This Row],[Volume P]])</f>
        <v>8.7459747048116918E-2</v>
      </c>
      <c r="K80" s="3">
        <v>19.510000000000002</v>
      </c>
      <c r="L80" s="3">
        <v>18</v>
      </c>
      <c r="M80" s="3">
        <v>16.2</v>
      </c>
      <c r="N80" s="3">
        <f t="shared" si="2"/>
        <v>1763.6259599999998</v>
      </c>
      <c r="O80" s="4">
        <f>ABS((N80-Table1[[#This Row],[Volume P]])/Table1[[#This Row],[Volume P]])</f>
        <v>0.17691419237410744</v>
      </c>
      <c r="S80" s="61">
        <v>97</v>
      </c>
      <c r="T80" s="61">
        <v>187</v>
      </c>
      <c r="U80" s="3">
        <f t="shared" si="3"/>
        <v>2050.234508954873</v>
      </c>
      <c r="V80" s="4">
        <f>ABS(Table1[[#This Row],[Volume P]]-U80)/Table1[[#This Row],[Volume P]]</f>
        <v>4.3153727094379424E-2</v>
      </c>
    </row>
    <row r="81" spans="1:22" s="7" customFormat="1" ht="16.5">
      <c r="A81" s="15">
        <v>80</v>
      </c>
      <c r="B81" s="7">
        <v>1821.3</v>
      </c>
      <c r="C81" s="7">
        <v>1644.7</v>
      </c>
      <c r="D81" s="7" t="s">
        <v>10</v>
      </c>
      <c r="H81" s="5">
        <f>ABS((Table1[[#This Row],[Volume A]]-Table1[[#This Row],[Volume P]])/Table1[[#This Row],[Volume P]])</f>
        <v>0.10737520520459652</v>
      </c>
      <c r="I81" s="7" t="s">
        <v>16</v>
      </c>
      <c r="K81" s="7">
        <v>9.82</v>
      </c>
      <c r="L81" s="7">
        <v>23.19</v>
      </c>
      <c r="M81" s="7">
        <v>11.14</v>
      </c>
      <c r="N81" s="3">
        <f t="shared" si="2"/>
        <v>786.4282777200001</v>
      </c>
      <c r="O81" s="4">
        <f>ABS((N81-Table1[[#This Row],[Volume P]])/Table1[[#This Row],[Volume P]])</f>
        <v>0.5218408963823189</v>
      </c>
      <c r="S81" s="61">
        <v>84</v>
      </c>
      <c r="T81" s="61">
        <v>171</v>
      </c>
      <c r="U81" s="3">
        <f t="shared" si="3"/>
        <v>1736.9798173959698</v>
      </c>
      <c r="V81" s="4">
        <f>ABS(Table1[[#This Row],[Volume P]]-U81)/Table1[[#This Row],[Volume P]]</f>
        <v>5.6107385782191134E-2</v>
      </c>
    </row>
    <row r="82" spans="1:22" ht="16.5">
      <c r="A82" s="13">
        <v>81</v>
      </c>
      <c r="B82" s="3">
        <v>1446.8</v>
      </c>
      <c r="C82" s="3">
        <v>1284.0999999999999</v>
      </c>
      <c r="D82" s="3" t="s">
        <v>10</v>
      </c>
      <c r="H82" s="5">
        <f>ABS((Table1[[#This Row],[Volume A]]-Table1[[#This Row],[Volume P]])/Table1[[#This Row],[Volume P]])</f>
        <v>0.12670352776263535</v>
      </c>
      <c r="K82" s="3">
        <v>19.329999999999998</v>
      </c>
      <c r="L82" s="3">
        <v>20.18</v>
      </c>
      <c r="M82" s="3">
        <v>11.67</v>
      </c>
      <c r="N82" s="3">
        <f t="shared" si="2"/>
        <v>1411.1902453799999</v>
      </c>
      <c r="O82" s="4">
        <f>ABS((N82-Table1[[#This Row],[Volume P]])/Table1[[#This Row],[Volume P]])</f>
        <v>9.8972233766840556E-2</v>
      </c>
      <c r="S82" s="61">
        <v>60</v>
      </c>
      <c r="T82" s="61">
        <v>162</v>
      </c>
      <c r="U82" s="3">
        <f t="shared" si="3"/>
        <v>1287.9435280254411</v>
      </c>
      <c r="V82" s="4">
        <f>ABS(Table1[[#This Row],[Volume P]]-U82)/Table1[[#This Row],[Volume P]]</f>
        <v>2.9931687761398443E-3</v>
      </c>
    </row>
    <row r="83" spans="1:22" ht="16.5">
      <c r="A83" s="13">
        <v>82</v>
      </c>
      <c r="B83" s="3">
        <v>1431.1</v>
      </c>
      <c r="C83" s="3">
        <v>1268.3</v>
      </c>
      <c r="D83" s="3" t="s">
        <v>10</v>
      </c>
      <c r="H83" s="5">
        <f>ABS((Table1[[#This Row],[Volume A]]-Table1[[#This Row],[Volume P]])/Table1[[#This Row],[Volume P]])</f>
        <v>0.12836079791847352</v>
      </c>
      <c r="K83" s="3">
        <v>15.9</v>
      </c>
      <c r="L83" s="3">
        <v>19.05</v>
      </c>
      <c r="M83" s="3">
        <v>13.85</v>
      </c>
      <c r="N83" s="3">
        <f t="shared" si="2"/>
        <v>1300.4796824999999</v>
      </c>
      <c r="O83" s="4">
        <f>ABS((N83-Table1[[#This Row],[Volume P]])/Table1[[#This Row],[Volume P]])</f>
        <v>2.5372295592525348E-2</v>
      </c>
      <c r="S83" s="61">
        <v>62</v>
      </c>
      <c r="T83" s="61">
        <v>158</v>
      </c>
      <c r="U83" s="3">
        <f t="shared" si="3"/>
        <v>1296.0685649547117</v>
      </c>
      <c r="V83" s="4">
        <f>ABS(Table1[[#This Row],[Volume P]]-U83)/Table1[[#This Row],[Volume P]]</f>
        <v>2.1894319131681616E-2</v>
      </c>
    </row>
    <row r="84" spans="1:22" ht="16.5">
      <c r="A84" s="13">
        <v>83</v>
      </c>
      <c r="B84" s="3">
        <v>1990.3</v>
      </c>
      <c r="C84" s="3">
        <v>1954.3</v>
      </c>
      <c r="D84" s="3" t="s">
        <v>10</v>
      </c>
      <c r="G84" s="3">
        <v>1</v>
      </c>
      <c r="H84" s="5">
        <f>ABS((Table1[[#This Row],[Volume A]]-Table1[[#This Row],[Volume P]])/Table1[[#This Row],[Volume P]])</f>
        <v>1.8420917975745792E-2</v>
      </c>
      <c r="K84" s="3">
        <v>12.4</v>
      </c>
      <c r="L84" s="3">
        <v>21.33</v>
      </c>
      <c r="M84" s="3">
        <v>17.14</v>
      </c>
      <c r="N84" s="3">
        <f t="shared" si="2"/>
        <v>1405.3517928000001</v>
      </c>
      <c r="O84" s="4">
        <f>ABS((N84-Table1[[#This Row],[Volume P]])/Table1[[#This Row],[Volume P]])</f>
        <v>0.28089249716010839</v>
      </c>
      <c r="S84" s="61">
        <v>55</v>
      </c>
      <c r="T84" s="61">
        <v>164</v>
      </c>
      <c r="U84" s="3">
        <f t="shared" si="3"/>
        <v>1211.5607650999195</v>
      </c>
      <c r="V84" s="4">
        <f>ABS(Table1[[#This Row],[Volume P]]-U84)/Table1[[#This Row],[Volume P]]</f>
        <v>0.38005384787396018</v>
      </c>
    </row>
    <row r="85" spans="1:22" ht="16.5">
      <c r="A85" s="13">
        <v>84</v>
      </c>
      <c r="B85" s="8">
        <v>2076.1</v>
      </c>
      <c r="C85" s="8">
        <v>2063.5</v>
      </c>
      <c r="D85" s="8" t="s">
        <v>8</v>
      </c>
      <c r="E85" s="8"/>
      <c r="F85" s="8"/>
      <c r="G85" s="8"/>
      <c r="H85" s="5">
        <f>ABS((Table1[[#This Row],[Volume A]]-Table1[[#This Row],[Volume P]])/Table1[[#This Row],[Volume P]])</f>
        <v>6.1061303610370288E-3</v>
      </c>
      <c r="I85" s="8"/>
      <c r="K85" s="3">
        <v>19.88</v>
      </c>
      <c r="L85" s="3">
        <v>22.5</v>
      </c>
      <c r="M85" s="3">
        <v>14.02</v>
      </c>
      <c r="N85" s="3">
        <f t="shared" si="2"/>
        <v>1944.0552599999996</v>
      </c>
      <c r="O85" s="4">
        <f>ABS((N85-Table1[[#This Row],[Volume P]])/Table1[[#This Row],[Volume P]])</f>
        <v>5.7884535982554088E-2</v>
      </c>
      <c r="S85" s="61">
        <v>48</v>
      </c>
      <c r="T85" s="61">
        <v>163</v>
      </c>
      <c r="U85" s="3">
        <f t="shared" si="3"/>
        <v>1073.8432716923935</v>
      </c>
      <c r="V85" s="4">
        <f>ABS(Table1[[#This Row],[Volume P]]-U85)/Table1[[#This Row],[Volume P]]</f>
        <v>0.47960103140664234</v>
      </c>
    </row>
    <row r="86" spans="1:22" ht="16.5">
      <c r="A86" s="13">
        <v>85</v>
      </c>
      <c r="D86" s="3" t="s">
        <v>8</v>
      </c>
      <c r="H86" s="5"/>
      <c r="I86" s="3" t="s">
        <v>17</v>
      </c>
      <c r="O86" s="4"/>
      <c r="S86" s="61">
        <v>71</v>
      </c>
      <c r="T86" s="61">
        <v>168</v>
      </c>
      <c r="U86" s="3">
        <f t="shared" si="3"/>
        <v>1512.3645207031686</v>
      </c>
      <c r="V86" s="4"/>
    </row>
    <row r="87" spans="1:22" ht="16.5">
      <c r="A87" s="13">
        <v>86</v>
      </c>
      <c r="B87" s="3">
        <v>2489.8000000000002</v>
      </c>
      <c r="C87" s="3">
        <v>2330.6</v>
      </c>
      <c r="D87" s="3" t="s">
        <v>10</v>
      </c>
      <c r="G87" s="3">
        <v>1</v>
      </c>
      <c r="H87" s="5">
        <f>ABS((Table1[[#This Row],[Volume A]]-Table1[[#This Row],[Volume P]])/Table1[[#This Row],[Volume P]])</f>
        <v>6.8308590062644933E-2</v>
      </c>
      <c r="K87" s="3">
        <v>16.8</v>
      </c>
      <c r="L87" s="3">
        <v>18.510000000000002</v>
      </c>
      <c r="M87" s="3">
        <v>21.74</v>
      </c>
      <c r="N87" s="3">
        <f t="shared" si="2"/>
        <v>2095.7377392000003</v>
      </c>
      <c r="O87" s="4">
        <f>ABS((N87-Table1[[#This Row],[Volume P]])/Table1[[#This Row],[Volume P]])</f>
        <v>0.10077330335535897</v>
      </c>
      <c r="S87" s="61">
        <v>104</v>
      </c>
      <c r="T87" s="61">
        <v>170</v>
      </c>
      <c r="U87" s="3">
        <f t="shared" si="3"/>
        <v>2014.0126108317659</v>
      </c>
      <c r="V87" s="4">
        <f>ABS(Table1[[#This Row],[Volume P]]-U87)/Table1[[#This Row],[Volume P]]</f>
        <v>0.13583943583979835</v>
      </c>
    </row>
    <row r="88" spans="1:22" ht="16.5">
      <c r="A88" s="13">
        <v>87</v>
      </c>
      <c r="B88" s="3">
        <v>882.2</v>
      </c>
      <c r="C88" s="3">
        <v>852</v>
      </c>
      <c r="D88" s="3" t="s">
        <v>8</v>
      </c>
      <c r="H88" s="5">
        <f>ABS((Table1[[#This Row],[Volume A]]-Table1[[#This Row],[Volume P]])/Table1[[#This Row],[Volume P]])</f>
        <v>3.5446009389671414E-2</v>
      </c>
      <c r="K88" s="3">
        <v>9.27</v>
      </c>
      <c r="L88" s="3">
        <v>13.5</v>
      </c>
      <c r="M88" s="3">
        <v>13.39</v>
      </c>
      <c r="N88" s="3">
        <f t="shared" si="2"/>
        <v>519.46438049999995</v>
      </c>
      <c r="O88" s="4">
        <f>ABS((N88-Table1[[#This Row],[Volume P]])/Table1[[#This Row],[Volume P]])</f>
        <v>0.39030002288732402</v>
      </c>
      <c r="S88" s="61">
        <v>68</v>
      </c>
      <c r="T88" s="61">
        <v>171</v>
      </c>
      <c r="U88" s="3">
        <f t="shared" si="3"/>
        <v>1483.1710573571254</v>
      </c>
      <c r="V88" s="4">
        <f>ABS(Table1[[#This Row],[Volume P]]-U88)/Table1[[#This Row],[Volume P]]</f>
        <v>0.74081110018441942</v>
      </c>
    </row>
    <row r="89" spans="1:22" ht="16.5">
      <c r="A89" s="13">
        <v>88</v>
      </c>
      <c r="B89" s="3">
        <v>3200.9</v>
      </c>
      <c r="C89" s="3">
        <v>2785.2</v>
      </c>
      <c r="D89" s="3" t="s">
        <v>10</v>
      </c>
      <c r="H89" s="5">
        <f>ABS((Table1[[#This Row],[Volume A]]-Table1[[#This Row],[Volume P]])/Table1[[#This Row],[Volume P]])</f>
        <v>0.14925319546172638</v>
      </c>
      <c r="K89" s="3">
        <v>15.5</v>
      </c>
      <c r="L89" s="3">
        <v>20.46</v>
      </c>
      <c r="M89" s="3">
        <v>17.73</v>
      </c>
      <c r="N89" s="3">
        <f t="shared" si="2"/>
        <v>1743.0416189999999</v>
      </c>
      <c r="O89" s="4">
        <f>ABS((N89-Table1[[#This Row],[Volume P]])/Table1[[#This Row],[Volume P]])</f>
        <v>0.37417721563981043</v>
      </c>
      <c r="S89" s="61">
        <v>101</v>
      </c>
      <c r="T89" s="61">
        <v>176</v>
      </c>
      <c r="U89" s="3">
        <f t="shared" si="3"/>
        <v>2021.6269653684908</v>
      </c>
      <c r="V89" s="4">
        <f>ABS(Table1[[#This Row],[Volume P]]-U89)/Table1[[#This Row],[Volume P]]</f>
        <v>0.27415375363762351</v>
      </c>
    </row>
    <row r="90" spans="1:22" ht="16.5">
      <c r="A90" s="13">
        <v>89</v>
      </c>
      <c r="B90" s="3">
        <v>1116.3</v>
      </c>
      <c r="C90" s="3">
        <v>1035.0999999999999</v>
      </c>
      <c r="D90" s="3" t="s">
        <v>8</v>
      </c>
      <c r="H90" s="5">
        <f>ABS((Table1[[#This Row],[Volume A]]-Table1[[#This Row],[Volume P]])/Table1[[#This Row],[Volume P]])</f>
        <v>7.8446526905613032E-2</v>
      </c>
      <c r="K90" s="3">
        <v>12.24</v>
      </c>
      <c r="L90" s="3">
        <v>19.09</v>
      </c>
      <c r="M90" s="3">
        <v>11.37</v>
      </c>
      <c r="N90" s="3">
        <f t="shared" si="2"/>
        <v>823.58704151999984</v>
      </c>
      <c r="O90" s="4">
        <f>ABS((N90-Table1[[#This Row],[Volume P]])/Table1[[#This Row],[Volume P]])</f>
        <v>0.20434060330402867</v>
      </c>
      <c r="S90" s="61">
        <v>60</v>
      </c>
      <c r="T90" s="61">
        <v>169</v>
      </c>
      <c r="U90" s="3">
        <f t="shared" si="3"/>
        <v>1332.4568784920853</v>
      </c>
      <c r="V90" s="4">
        <f>ABS(Table1[[#This Row],[Volume P]]-U90)/Table1[[#This Row],[Volume P]]</f>
        <v>0.28727357597535058</v>
      </c>
    </row>
    <row r="91" spans="1:22" ht="16.5">
      <c r="A91" s="13">
        <v>90</v>
      </c>
      <c r="B91" s="3">
        <v>4059.3</v>
      </c>
      <c r="C91" s="3">
        <v>3808.3</v>
      </c>
      <c r="D91" s="3" t="s">
        <v>10</v>
      </c>
      <c r="H91" s="5">
        <f>ABS((Table1[[#This Row],[Volume A]]-Table1[[#This Row],[Volume P]])/Table1[[#This Row],[Volume P]])</f>
        <v>6.5908673161253054E-2</v>
      </c>
      <c r="K91" s="3">
        <v>16.22</v>
      </c>
      <c r="L91" s="3">
        <v>25.25</v>
      </c>
      <c r="M91" s="3">
        <v>19.600000000000001</v>
      </c>
      <c r="N91" s="3">
        <f t="shared" si="2"/>
        <v>2488.4561800000001</v>
      </c>
      <c r="O91" s="4">
        <f>ABS((N91-Table1[[#This Row],[Volume P]])/Table1[[#This Row],[Volume P]])</f>
        <v>0.34657033847123386</v>
      </c>
      <c r="S91" s="61">
        <v>116</v>
      </c>
      <c r="T91" s="61">
        <v>181</v>
      </c>
      <c r="U91" s="3">
        <f t="shared" si="3"/>
        <v>2266.0704711754365</v>
      </c>
      <c r="V91" s="4">
        <f>ABS(Table1[[#This Row],[Volume P]]-U91)/Table1[[#This Row],[Volume P]]</f>
        <v>0.40496534643398985</v>
      </c>
    </row>
    <row r="92" spans="1:22" ht="16.5">
      <c r="A92" s="13">
        <v>91</v>
      </c>
      <c r="B92" s="3">
        <v>2365</v>
      </c>
      <c r="C92" s="3">
        <v>2383.3000000000002</v>
      </c>
      <c r="D92" s="3" t="s">
        <v>10</v>
      </c>
      <c r="G92" s="3">
        <v>1</v>
      </c>
      <c r="H92" s="5">
        <f>ABS((Table1[[#This Row],[Volume A]]-Table1[[#This Row],[Volume P]])/Table1[[#This Row],[Volume P]])</f>
        <v>7.6784290689381031E-3</v>
      </c>
      <c r="K92" s="3">
        <v>11.46</v>
      </c>
      <c r="L92" s="3">
        <v>20.97</v>
      </c>
      <c r="M92" s="3">
        <v>17.86</v>
      </c>
      <c r="N92" s="3">
        <f t="shared" si="2"/>
        <v>1330.53467292</v>
      </c>
      <c r="O92" s="4">
        <f>ABS((N92-Table1[[#This Row],[Volume P]])/Table1[[#This Row],[Volume P]])</f>
        <v>0.44172589564049847</v>
      </c>
      <c r="S92" s="61">
        <v>79</v>
      </c>
      <c r="T92" s="61">
        <v>169</v>
      </c>
      <c r="U92" s="3">
        <f t="shared" si="3"/>
        <v>1646.086721254735</v>
      </c>
      <c r="V92" s="4">
        <f>ABS(Table1[[#This Row],[Volume P]]-U92)/Table1[[#This Row],[Volume P]]</f>
        <v>0.30932458303413968</v>
      </c>
    </row>
    <row r="93" spans="1:22" ht="16.5">
      <c r="A93" s="13">
        <v>92</v>
      </c>
      <c r="B93" s="3">
        <v>2052.1999999999998</v>
      </c>
      <c r="C93" s="3">
        <v>1903.7</v>
      </c>
      <c r="D93" s="3" t="s">
        <v>10</v>
      </c>
      <c r="G93" s="3">
        <v>1</v>
      </c>
      <c r="H93" s="5">
        <f>ABS((Table1[[#This Row],[Volume A]]-Table1[[#This Row],[Volume P]])/Table1[[#This Row],[Volume P]])</f>
        <v>7.8005988338498589E-2</v>
      </c>
      <c r="K93" s="3">
        <v>15.71</v>
      </c>
      <c r="L93" s="3">
        <v>16.57</v>
      </c>
      <c r="M93" s="3">
        <v>16.57</v>
      </c>
      <c r="N93" s="3">
        <f t="shared" si="2"/>
        <v>1337.1585194900001</v>
      </c>
      <c r="O93" s="4">
        <f>ABS((N93-Table1[[#This Row],[Volume P]])/Table1[[#This Row],[Volume P]])</f>
        <v>0.29760018937332561</v>
      </c>
      <c r="S93" s="61">
        <v>67</v>
      </c>
      <c r="T93" s="61">
        <v>169</v>
      </c>
      <c r="U93" s="3">
        <f t="shared" si="3"/>
        <v>1453.1023364933458</v>
      </c>
      <c r="V93" s="4">
        <f>ABS(Table1[[#This Row],[Volume P]]-U93)/Table1[[#This Row],[Volume P]]</f>
        <v>0.23669573121114371</v>
      </c>
    </row>
    <row r="94" spans="1:22" ht="16.5">
      <c r="A94" s="13">
        <v>93</v>
      </c>
      <c r="B94" s="3">
        <v>1525</v>
      </c>
      <c r="C94" s="3">
        <v>1343.9</v>
      </c>
      <c r="D94" s="3" t="s">
        <v>10</v>
      </c>
      <c r="G94" s="3">
        <v>1</v>
      </c>
      <c r="H94" s="5">
        <f>ABS((Table1[[#This Row],[Volume A]]-Table1[[#This Row],[Volume P]])/Table1[[#This Row],[Volume P]])</f>
        <v>0.13475705037577193</v>
      </c>
      <c r="K94" s="3">
        <v>13.84</v>
      </c>
      <c r="L94" s="3">
        <v>14.59</v>
      </c>
      <c r="M94" s="3">
        <v>15.49</v>
      </c>
      <c r="N94" s="3">
        <f t="shared" si="2"/>
        <v>969.62653863999992</v>
      </c>
      <c r="O94" s="4">
        <f>ABS((N94-Table1[[#This Row],[Volume P]])/Table1[[#This Row],[Volume P]])</f>
        <v>0.27849799937495362</v>
      </c>
      <c r="S94" s="61">
        <v>53</v>
      </c>
      <c r="T94" s="61">
        <v>167</v>
      </c>
      <c r="U94" s="3">
        <f t="shared" si="3"/>
        <v>1192.6798315011101</v>
      </c>
      <c r="V94" s="4">
        <f>ABS(Table1[[#This Row],[Volume P]]-U94)/Table1[[#This Row],[Volume P]]</f>
        <v>0.11252337859877219</v>
      </c>
    </row>
    <row r="95" spans="1:22" ht="16.5">
      <c r="A95" s="13">
        <v>94</v>
      </c>
      <c r="B95" s="3">
        <v>2403.6999999999998</v>
      </c>
      <c r="C95" s="3">
        <v>2247.1</v>
      </c>
      <c r="D95" s="3" t="s">
        <v>10</v>
      </c>
      <c r="G95" s="3">
        <v>1</v>
      </c>
      <c r="H95" s="5">
        <f>ABS((Table1[[#This Row],[Volume A]]-Table1[[#This Row],[Volume P]])/Table1[[#This Row],[Volume P]])</f>
        <v>6.9689822437808691E-2</v>
      </c>
      <c r="K95" s="3">
        <v>20.079999999999998</v>
      </c>
      <c r="L95" s="3">
        <v>20</v>
      </c>
      <c r="M95" s="3">
        <v>16.39</v>
      </c>
      <c r="N95" s="3">
        <f t="shared" si="2"/>
        <v>2040.4894399999998</v>
      </c>
      <c r="O95" s="4">
        <f>ABS((N95-Table1[[#This Row],[Volume P]])/Table1[[#This Row],[Volume P]])</f>
        <v>9.1945422989631112E-2</v>
      </c>
      <c r="S95" s="61">
        <v>87</v>
      </c>
      <c r="T95" s="61">
        <v>175</v>
      </c>
      <c r="U95" s="3">
        <f t="shared" si="3"/>
        <v>1811.7434373606375</v>
      </c>
      <c r="V95" s="4">
        <f>ABS(Table1[[#This Row],[Volume P]]-U95)/Table1[[#This Row],[Volume P]]</f>
        <v>0.19374151690595098</v>
      </c>
    </row>
    <row r="96" spans="1:22" ht="16.5">
      <c r="A96" s="13">
        <v>95</v>
      </c>
      <c r="B96" s="3">
        <v>2865.4</v>
      </c>
      <c r="C96" s="3">
        <v>2579.6999999999998</v>
      </c>
      <c r="D96" s="3" t="s">
        <v>10</v>
      </c>
      <c r="G96" s="3">
        <v>1</v>
      </c>
      <c r="H96" s="5">
        <f>ABS((Table1[[#This Row],[Volume A]]-Table1[[#This Row],[Volume P]])/Table1[[#This Row],[Volume P]])</f>
        <v>0.11074931193549649</v>
      </c>
      <c r="K96" s="3">
        <v>16.09</v>
      </c>
      <c r="L96" s="3">
        <v>19.920000000000002</v>
      </c>
      <c r="M96" s="3">
        <v>21.1</v>
      </c>
      <c r="N96" s="3">
        <f t="shared" si="2"/>
        <v>2096.4742248000002</v>
      </c>
      <c r="O96" s="4">
        <f>ABS((N96-Table1[[#This Row],[Volume P]])/Table1[[#This Row],[Volume P]])</f>
        <v>0.18731859332480508</v>
      </c>
      <c r="S96" s="61">
        <v>95</v>
      </c>
      <c r="T96" s="61">
        <v>171</v>
      </c>
      <c r="U96" s="3">
        <f t="shared" si="3"/>
        <v>1897.628015199637</v>
      </c>
      <c r="V96" s="4">
        <f>ABS(Table1[[#This Row],[Volume P]]-U96)/Table1[[#This Row],[Volume P]]</f>
        <v>0.26439973051144039</v>
      </c>
    </row>
    <row r="97" spans="1:22" ht="16.5">
      <c r="A97" s="13">
        <v>96</v>
      </c>
      <c r="B97" s="3">
        <v>1994.9</v>
      </c>
      <c r="C97" s="3">
        <v>1868.8</v>
      </c>
      <c r="D97" s="3" t="s">
        <v>10</v>
      </c>
      <c r="H97" s="5">
        <f>ABS((Table1[[#This Row],[Volume A]]-Table1[[#This Row],[Volume P]])/Table1[[#This Row],[Volume P]])</f>
        <v>6.7476455479452135E-2</v>
      </c>
      <c r="K97" s="3">
        <v>19.14</v>
      </c>
      <c r="L97" s="3">
        <v>18.25</v>
      </c>
      <c r="M97" s="3">
        <v>13.99</v>
      </c>
      <c r="N97" s="3">
        <f t="shared" si="2"/>
        <v>1514.9008545000002</v>
      </c>
      <c r="O97" s="4">
        <f>ABS((N97-Table1[[#This Row],[Volume P]])/Table1[[#This Row],[Volume P]])</f>
        <v>0.18937240234374991</v>
      </c>
      <c r="S97" s="61">
        <v>64</v>
      </c>
      <c r="T97" s="61">
        <v>177</v>
      </c>
      <c r="U97" s="3">
        <f t="shared" si="3"/>
        <v>1453.5985089471228</v>
      </c>
      <c r="V97" s="4">
        <f>ABS(Table1[[#This Row],[Volume P]]-U97)/Table1[[#This Row],[Volume P]]</f>
        <v>0.22217545540072622</v>
      </c>
    </row>
    <row r="98" spans="1:22" s="7" customFormat="1" ht="16.5">
      <c r="A98" s="15">
        <v>97</v>
      </c>
      <c r="B98" s="7">
        <v>2088.6999999999998</v>
      </c>
      <c r="C98" s="7">
        <v>1907</v>
      </c>
      <c r="D98" s="7" t="s">
        <v>10</v>
      </c>
      <c r="G98" s="7">
        <v>1</v>
      </c>
      <c r="H98" s="5">
        <f>ABS((Table1[[#This Row],[Volume A]]-Table1[[#This Row],[Volume P]])/Table1[[#This Row],[Volume P]])</f>
        <v>9.5280545359202842E-2</v>
      </c>
      <c r="K98" s="7">
        <v>12.41</v>
      </c>
      <c r="L98" s="7">
        <v>18.12</v>
      </c>
      <c r="M98" s="7">
        <v>17.52</v>
      </c>
      <c r="N98" s="3">
        <f t="shared" si="2"/>
        <v>1221.30959904</v>
      </c>
      <c r="O98" s="4">
        <f>ABS((N98-Table1[[#This Row],[Volume P]])/Table1[[#This Row],[Volume P]])</f>
        <v>0.35956497166229684</v>
      </c>
      <c r="S98" s="61">
        <v>93</v>
      </c>
      <c r="T98" s="61">
        <v>175</v>
      </c>
      <c r="U98" s="3">
        <f t="shared" si="3"/>
        <v>1900.1125916539154</v>
      </c>
      <c r="V98" s="4">
        <f>ABS(Table1[[#This Row],[Volume P]]-U98)/Table1[[#This Row],[Volume P]]</f>
        <v>3.6116456979992722E-3</v>
      </c>
    </row>
    <row r="99" spans="1:22" ht="16.5">
      <c r="A99" s="14">
        <v>98</v>
      </c>
      <c r="B99" s="11">
        <v>1510.4</v>
      </c>
      <c r="C99" s="11">
        <v>1289.7</v>
      </c>
      <c r="D99" s="11" t="s">
        <v>10</v>
      </c>
      <c r="E99" s="11"/>
      <c r="F99" s="11"/>
      <c r="G99" s="11">
        <v>1</v>
      </c>
      <c r="H99" s="6">
        <f>ABS((Table1[[#This Row],[Volume A]]-Table1[[#This Row],[Volume P]])/Table1[[#This Row],[Volume P]])</f>
        <v>0.17112506784523535</v>
      </c>
      <c r="I99" s="11"/>
      <c r="K99" s="3">
        <v>10.68</v>
      </c>
      <c r="L99" s="3">
        <v>19.48</v>
      </c>
      <c r="M99" s="3">
        <v>15.42</v>
      </c>
      <c r="N99" s="3">
        <f t="shared" si="2"/>
        <v>994.50340127999993</v>
      </c>
      <c r="O99" s="4">
        <f>ABS((N99-Table1[[#This Row],[Volume P]])/Table1[[#This Row],[Volume P]])</f>
        <v>0.22888780237264489</v>
      </c>
      <c r="S99" s="61">
        <v>78</v>
      </c>
      <c r="T99" s="61">
        <v>175</v>
      </c>
      <c r="U99" s="3">
        <f t="shared" si="3"/>
        <v>1673.2632669189952</v>
      </c>
      <c r="V99" s="4">
        <f>ABS(Table1[[#This Row],[Volume P]]-U99)/Table1[[#This Row],[Volume P]]</f>
        <v>0.2974050297890945</v>
      </c>
    </row>
    <row r="100" spans="1:22" ht="16.5">
      <c r="A100" s="13">
        <v>99</v>
      </c>
      <c r="B100" s="3">
        <v>2365.5</v>
      </c>
      <c r="C100" s="3">
        <v>2259.8000000000002</v>
      </c>
      <c r="D100" s="3" t="s">
        <v>10</v>
      </c>
      <c r="G100" s="3">
        <v>1</v>
      </c>
      <c r="H100" s="5">
        <f>ABS((Table1[[#This Row],[Volume A]]-Table1[[#This Row],[Volume P]])/Table1[[#This Row],[Volume P]])</f>
        <v>4.6774050800955751E-2</v>
      </c>
      <c r="K100" s="3">
        <v>13.15</v>
      </c>
      <c r="L100" s="3">
        <v>16.07</v>
      </c>
      <c r="M100" s="3">
        <v>19.760000000000002</v>
      </c>
      <c r="N100" s="3">
        <f t="shared" si="2"/>
        <v>1294.4648548000002</v>
      </c>
      <c r="O100" s="4">
        <f>ABS((N100-Table1[[#This Row],[Volume P]])/Table1[[#This Row],[Volume P]])</f>
        <v>0.42717724807505081</v>
      </c>
      <c r="S100" s="61">
        <v>78</v>
      </c>
      <c r="T100" s="61">
        <v>170</v>
      </c>
      <c r="U100" s="3">
        <f t="shared" si="3"/>
        <v>1637.7553255429275</v>
      </c>
      <c r="V100" s="4">
        <f>ABS(Table1[[#This Row],[Volume P]]-U100)/Table1[[#This Row],[Volume P]]</f>
        <v>0.27526536616385194</v>
      </c>
    </row>
    <row r="101" spans="1:22" ht="16.5">
      <c r="A101" s="13">
        <v>100</v>
      </c>
      <c r="B101" s="3">
        <v>1516.6</v>
      </c>
      <c r="C101" s="3">
        <v>1516.6</v>
      </c>
      <c r="D101" s="3" t="s">
        <v>10</v>
      </c>
      <c r="G101" s="3">
        <v>1</v>
      </c>
      <c r="H101" s="5">
        <f>ABS((Table1[[#This Row],[Volume A]]-Table1[[#This Row],[Volume P]])/Table1[[#This Row],[Volume P]])</f>
        <v>0</v>
      </c>
      <c r="K101" s="3">
        <v>11.66</v>
      </c>
      <c r="L101" s="3">
        <v>18.600000000000001</v>
      </c>
      <c r="M101" s="3">
        <v>15.59</v>
      </c>
      <c r="N101" s="3">
        <f t="shared" si="2"/>
        <v>1048.1400203999999</v>
      </c>
      <c r="O101" s="4">
        <f>ABS((N101-Table1[[#This Row],[Volume P]])/Table1[[#This Row],[Volume P]])</f>
        <v>0.30888828933139922</v>
      </c>
      <c r="S101" s="61">
        <v>71</v>
      </c>
      <c r="T101" s="61">
        <v>177</v>
      </c>
      <c r="U101" s="3">
        <f t="shared" si="3"/>
        <v>1573.3470484704153</v>
      </c>
      <c r="V101" s="4">
        <f>ABS(Table1[[#This Row],[Volume P]]-U101)/Table1[[#This Row],[Volume P]]</f>
        <v>3.7417281069771463E-2</v>
      </c>
    </row>
    <row r="102" spans="1:22" ht="16.5">
      <c r="A102" s="13">
        <v>101</v>
      </c>
      <c r="B102" s="8">
        <v>3683.1</v>
      </c>
      <c r="C102" s="8">
        <v>3679.8</v>
      </c>
      <c r="D102" s="8" t="s">
        <v>8</v>
      </c>
      <c r="E102" s="8"/>
      <c r="F102" s="8"/>
      <c r="G102" s="8"/>
      <c r="H102" s="5">
        <f>ABS((Table1[[#This Row],[Volume A]]-Table1[[#This Row],[Volume P]])/Table1[[#This Row],[Volume P]])</f>
        <v>8.9678786890584465E-4</v>
      </c>
      <c r="I102" s="8"/>
      <c r="K102" s="3">
        <v>26.46</v>
      </c>
      <c r="L102" s="3">
        <v>19.190000000000001</v>
      </c>
      <c r="M102" s="3">
        <v>18.149999999999999</v>
      </c>
      <c r="N102" s="3">
        <f t="shared" si="2"/>
        <v>2856.9532761</v>
      </c>
      <c r="O102" s="4">
        <f>ABS((N102-Table1[[#This Row],[Volume P]])/Table1[[#This Row],[Volume P]])</f>
        <v>0.22361180604924183</v>
      </c>
      <c r="S102" s="61">
        <v>86</v>
      </c>
      <c r="T102" s="61">
        <v>180</v>
      </c>
      <c r="U102" s="3">
        <f t="shared" si="3"/>
        <v>1833.4777398245151</v>
      </c>
      <c r="V102" s="4">
        <f>ABS(Table1[[#This Row],[Volume P]]-U102)/Table1[[#This Row],[Volume P]]</f>
        <v>0.50174527424737347</v>
      </c>
    </row>
    <row r="103" spans="1:22" ht="75.75">
      <c r="A103" s="13">
        <v>102</v>
      </c>
      <c r="B103" s="3">
        <v>1452.8</v>
      </c>
      <c r="C103" s="3">
        <v>1456.5</v>
      </c>
      <c r="D103" s="3" t="s">
        <v>10</v>
      </c>
      <c r="F103" s="75" t="s">
        <v>70</v>
      </c>
      <c r="G103" s="3">
        <v>1</v>
      </c>
      <c r="H103" s="5">
        <f>ABS((Table1[[#This Row],[Volume A]]-Table1[[#This Row],[Volume P]])/Table1[[#This Row],[Volume P]])</f>
        <v>2.5403364229317168E-3</v>
      </c>
      <c r="K103" s="3">
        <v>11.46</v>
      </c>
      <c r="L103" s="3">
        <v>18.54</v>
      </c>
      <c r="M103" s="3">
        <v>11.67</v>
      </c>
      <c r="N103" s="3">
        <f t="shared" si="2"/>
        <v>768.64693068000008</v>
      </c>
      <c r="O103" s="4">
        <f>ABS((N103-Table1[[#This Row],[Volume P]])/Table1[[#This Row],[Volume P]])</f>
        <v>0.47226437989701331</v>
      </c>
      <c r="S103" s="61">
        <v>80</v>
      </c>
      <c r="T103" s="61">
        <v>180</v>
      </c>
      <c r="U103" s="3">
        <f t="shared" si="3"/>
        <v>1740.15</v>
      </c>
      <c r="V103" s="4">
        <f>ABS(Table1[[#This Row],[Volume P]]-U103)/Table1[[#This Row],[Volume P]]</f>
        <v>0.19474768280123589</v>
      </c>
    </row>
    <row r="104" spans="1:22" ht="16.5">
      <c r="A104" s="13">
        <v>103</v>
      </c>
      <c r="B104" s="3">
        <v>1923.1</v>
      </c>
      <c r="C104" s="3">
        <v>1737.8</v>
      </c>
      <c r="D104" s="3" t="s">
        <v>10</v>
      </c>
      <c r="H104" s="5">
        <f>ABS((Table1[[#This Row],[Volume A]]-Table1[[#This Row],[Volume P]])/Table1[[#This Row],[Volume P]])</f>
        <v>0.10662907123949819</v>
      </c>
      <c r="K104" s="3">
        <v>20.2</v>
      </c>
      <c r="L104" s="3">
        <v>17.62</v>
      </c>
      <c r="M104" s="3">
        <v>14.9</v>
      </c>
      <c r="N104" s="3">
        <f t="shared" si="2"/>
        <v>1644.012956</v>
      </c>
      <c r="O104" s="4">
        <f>ABS((N104-Table1[[#This Row],[Volume P]])/Table1[[#This Row],[Volume P]])</f>
        <v>5.3968836459891777E-2</v>
      </c>
      <c r="S104" s="61">
        <v>70</v>
      </c>
      <c r="T104" s="61">
        <v>165</v>
      </c>
      <c r="U104" s="3">
        <f t="shared" si="3"/>
        <v>1475.5192580460152</v>
      </c>
      <c r="V104" s="4">
        <f>ABS(Table1[[#This Row],[Volume P]]-U104)/Table1[[#This Row],[Volume P]]</f>
        <v>0.15092688569109491</v>
      </c>
    </row>
    <row r="105" spans="1:22">
      <c r="O105" s="4"/>
    </row>
    <row r="106" spans="1:22">
      <c r="O106" s="4"/>
    </row>
    <row r="107" spans="1:22">
      <c r="O107" s="4"/>
    </row>
    <row r="108" spans="1:22">
      <c r="G108" s="3" t="s">
        <v>64</v>
      </c>
      <c r="H108" s="12">
        <f>AVERAGE(H2:H104)</f>
        <v>5.4609484606977121E-2</v>
      </c>
      <c r="M108" s="3" t="s">
        <v>59</v>
      </c>
      <c r="O108" s="12">
        <f>AVERAGE(O2:O104)</f>
        <v>0.29629445321599474</v>
      </c>
      <c r="U108" s="3" t="s">
        <v>61</v>
      </c>
      <c r="V108" s="12">
        <f>AVERAGE(V2:V104)</f>
        <v>0.25278736438880534</v>
      </c>
    </row>
    <row r="109" spans="1:22">
      <c r="G109" s="3" t="s">
        <v>65</v>
      </c>
      <c r="H109" s="5">
        <f>STDEV(H2:H104)</f>
        <v>5.9130128182140945E-2</v>
      </c>
      <c r="M109" s="3" t="s">
        <v>60</v>
      </c>
      <c r="O109" s="5">
        <f>STDEV(O2:O104)</f>
        <v>0.15765175354936004</v>
      </c>
      <c r="U109" s="3" t="s">
        <v>62</v>
      </c>
      <c r="V109" s="5">
        <f>STDEV(V2:V104)</f>
        <v>0.27789532928069843</v>
      </c>
    </row>
    <row r="110" spans="1:22">
      <c r="O110" s="4"/>
    </row>
  </sheetData>
  <conditionalFormatting sqref="H1:H89 H91:H1048576">
    <cfRule type="colorScale" priority="3">
      <colorScale>
        <cfvo type="min"/>
        <cfvo type="max"/>
        <color rgb="FFFCFCFF"/>
        <color rgb="FFF8696B"/>
      </colorScale>
    </cfRule>
  </conditionalFormatting>
  <conditionalFormatting sqref="H90">
    <cfRule type="colorScale" priority="2">
      <colorScale>
        <cfvo type="min"/>
        <cfvo type="max"/>
        <color rgb="FFFCFCFF"/>
        <color rgb="FFF8696B"/>
      </colorScale>
    </cfRule>
  </conditionalFormatting>
  <conditionalFormatting sqref="H1:H1048576">
    <cfRule type="colorScale" priority="1">
      <colorScale>
        <cfvo type="min"/>
        <cfvo type="max"/>
        <color rgb="FFFCFCFF"/>
        <color rgb="FFF8696B"/>
      </colorScale>
    </cfRule>
  </conditionalFormatting>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2"/>
  <sheetViews>
    <sheetView zoomScaleNormal="100" workbookViewId="0">
      <pane xSplit="1" topLeftCell="B1" activePane="topRight" state="frozen"/>
      <selection pane="topRight" activeCell="W26" sqref="W26"/>
    </sheetView>
  </sheetViews>
  <sheetFormatPr defaultColWidth="9.140625" defaultRowHeight="15.75"/>
  <cols>
    <col min="1" max="1" width="4.42578125" style="40" bestFit="1" customWidth="1"/>
    <col min="2" max="2" width="9.5703125" style="27" bestFit="1" customWidth="1"/>
    <col min="3" max="3" width="9" style="28" bestFit="1" customWidth="1"/>
    <col min="4" max="4" width="9" style="27" customWidth="1"/>
    <col min="5" max="5" width="12.85546875" style="52" customWidth="1"/>
    <col min="6" max="6" width="9.140625" style="3"/>
    <col min="7" max="7" width="10" style="53" customWidth="1"/>
    <col min="8" max="8" width="6.140625" style="16" customWidth="1"/>
    <col min="9" max="9" width="12.85546875" style="52" customWidth="1"/>
    <col min="10" max="10" width="8.7109375" style="54" customWidth="1"/>
    <col min="11" max="11" width="10" style="53" customWidth="1"/>
    <col min="12" max="12" width="4.7109375" style="16" customWidth="1"/>
    <col min="13" max="13" width="10.28515625" style="23" customWidth="1"/>
    <col min="14" max="14" width="10.28515625" style="27" customWidth="1"/>
    <col min="15" max="15" width="9.42578125" style="42" customWidth="1"/>
    <col min="16" max="16" width="4.85546875" style="16" customWidth="1"/>
    <col min="17" max="17" width="14.5703125" style="44" customWidth="1"/>
    <col min="18" max="18" width="10.5703125" style="81" customWidth="1"/>
    <col min="19" max="19" width="9.140625" style="84"/>
    <col min="20" max="20" width="24.28515625" style="16" customWidth="1"/>
    <col min="21" max="21" width="9.140625" style="16"/>
    <col min="22" max="22" width="22" style="31" bestFit="1" customWidth="1"/>
    <col min="23" max="23" width="12" style="31" customWidth="1"/>
    <col min="24" max="24" width="9.140625" style="16"/>
    <col min="25" max="25" width="18.28515625" style="16" customWidth="1"/>
    <col min="26" max="26" width="43.5703125" style="16" customWidth="1"/>
    <col min="27" max="16384" width="9.140625" style="16"/>
  </cols>
  <sheetData>
    <row r="1" spans="1:26" s="18" customFormat="1">
      <c r="A1" s="39" t="s">
        <v>0</v>
      </c>
      <c r="B1" s="25" t="s">
        <v>2</v>
      </c>
      <c r="C1" s="26" t="s">
        <v>4</v>
      </c>
      <c r="D1" s="72"/>
      <c r="E1" s="47" t="s">
        <v>1</v>
      </c>
      <c r="F1" s="3" t="s">
        <v>18</v>
      </c>
      <c r="G1" s="49" t="s">
        <v>38</v>
      </c>
      <c r="H1" s="17"/>
      <c r="I1" s="47" t="s">
        <v>42</v>
      </c>
      <c r="J1" s="48" t="s">
        <v>32</v>
      </c>
      <c r="K1" s="49" t="s">
        <v>38</v>
      </c>
      <c r="L1" s="17"/>
      <c r="M1" s="24" t="s">
        <v>43</v>
      </c>
      <c r="N1" s="25" t="s">
        <v>32</v>
      </c>
      <c r="O1" s="43" t="s">
        <v>38</v>
      </c>
      <c r="P1" s="17"/>
      <c r="Q1" s="45" t="s">
        <v>37</v>
      </c>
      <c r="R1" s="80" t="s">
        <v>32</v>
      </c>
      <c r="S1" s="83" t="s">
        <v>38</v>
      </c>
      <c r="T1" s="18" t="s">
        <v>29</v>
      </c>
      <c r="V1" s="30"/>
      <c r="W1" s="30"/>
    </row>
    <row r="2" spans="1:26">
      <c r="A2" s="40">
        <f>+kri!A2</f>
        <v>1</v>
      </c>
      <c r="B2" s="27">
        <f>+Table1[[#This Row],[Volume P]]</f>
        <v>1665.6</v>
      </c>
      <c r="C2" s="41" t="str">
        <f>+Table1[[#This Row],[Modality]]</f>
        <v>ct</v>
      </c>
      <c r="D2" s="73"/>
      <c r="E2" s="50">
        <f>+Table1[[#This Row],[Volume A]]</f>
        <v>1801.8</v>
      </c>
      <c r="F2" s="5">
        <f>ABS((Table1[[#This Row],[Volume A]]-Table1[[#This Row],[Volume P]])/Table1[[#This Row],[Volume P]])</f>
        <v>8.177233429394816E-2</v>
      </c>
      <c r="G2" s="79">
        <v>0.89500000000000002</v>
      </c>
      <c r="H2" s="3"/>
      <c r="I2" s="50">
        <v>1487.85</v>
      </c>
      <c r="J2" s="51">
        <f>+ABS((B2-I2)/B2)</f>
        <v>0.10671829971181557</v>
      </c>
      <c r="K2" s="55">
        <v>0.89539999999999997</v>
      </c>
      <c r="L2" s="3"/>
      <c r="N2" s="36"/>
      <c r="P2" s="3"/>
      <c r="Q2" s="44">
        <v>1574.15</v>
      </c>
      <c r="R2" s="81">
        <f t="shared" ref="R2:R39" si="0">+ABS((Q2-B2)/B2)</f>
        <v>5.490513928914495E-2</v>
      </c>
    </row>
    <row r="3" spans="1:26" ht="16.5" thickBot="1">
      <c r="A3" s="40">
        <f>+kri!A3</f>
        <v>2</v>
      </c>
      <c r="B3" s="27">
        <f>+Table1[[#This Row],[Volume P]]</f>
        <v>1172.5999999999999</v>
      </c>
      <c r="C3" s="41" t="str">
        <f>+Table1[[#This Row],[Modality]]</f>
        <v>ct</v>
      </c>
      <c r="D3" s="73"/>
      <c r="E3" s="52">
        <f>+Table1[[#This Row],[Volume A]]</f>
        <v>1714.7</v>
      </c>
      <c r="F3" s="6">
        <f>ABS((Table1[[#This Row],[Volume A]]-Table1[[#This Row],[Volume P]])/Table1[[#This Row],[Volume P]])</f>
        <v>0.46230598669623074</v>
      </c>
      <c r="G3" s="79">
        <v>0.70700000000000007</v>
      </c>
      <c r="H3" s="3"/>
      <c r="I3" s="52">
        <v>430.29</v>
      </c>
      <c r="J3" s="51">
        <f>+ABS((B3-I3)/B3)</f>
        <v>0.63304622207061234</v>
      </c>
      <c r="K3" s="55">
        <v>0.47183000000000003</v>
      </c>
      <c r="N3" s="36"/>
      <c r="Q3" s="46">
        <v>2308.64</v>
      </c>
      <c r="R3" s="81">
        <f t="shared" si="0"/>
        <v>0.96882142247995906</v>
      </c>
    </row>
    <row r="4" spans="1:26" ht="15.75" customHeight="1">
      <c r="A4" s="40">
        <f>+kri!A4</f>
        <v>3</v>
      </c>
      <c r="B4" s="27">
        <f>+Table1[[#This Row],[Volume P]]</f>
        <v>2073</v>
      </c>
      <c r="C4" s="41" t="str">
        <f>+Table1[[#This Row],[Modality]]</f>
        <v>ct</v>
      </c>
      <c r="D4" s="73"/>
      <c r="E4" s="52">
        <f>+Table1[[#This Row],[Volume A]]</f>
        <v>2263.6</v>
      </c>
      <c r="F4" s="5">
        <f>ABS((Table1[[#This Row],[Volume A]]-Table1[[#This Row],[Volume P]])/Table1[[#This Row],[Volume P]])</f>
        <v>9.1944042450554708E-2</v>
      </c>
      <c r="G4" s="79">
        <v>0.86799999999999999</v>
      </c>
      <c r="H4" s="3"/>
      <c r="I4" s="52">
        <v>2068.66</v>
      </c>
      <c r="J4" s="51">
        <f>+ABS((B4-I4)/B4)</f>
        <v>2.0935841775205719E-3</v>
      </c>
      <c r="K4" s="55">
        <v>0.87870000000000004</v>
      </c>
      <c r="N4" s="36"/>
      <c r="Q4" s="44">
        <v>1385.37</v>
      </c>
      <c r="R4" s="81">
        <f t="shared" si="0"/>
        <v>0.33170767004341539</v>
      </c>
      <c r="T4" s="16" t="s">
        <v>48</v>
      </c>
      <c r="V4" s="120" t="s">
        <v>42</v>
      </c>
      <c r="W4" s="120"/>
      <c r="Y4" s="129" t="s">
        <v>49</v>
      </c>
      <c r="Z4" s="130"/>
    </row>
    <row r="5" spans="1:26">
      <c r="A5" s="40">
        <f>+kri!A5</f>
        <v>4</v>
      </c>
      <c r="B5" s="27">
        <f>+Table1[[#This Row],[Volume P]]</f>
        <v>1798</v>
      </c>
      <c r="C5" s="41" t="str">
        <f>+Table1[[#This Row],[Modality]]</f>
        <v>ct</v>
      </c>
      <c r="D5" s="73"/>
      <c r="E5" s="52">
        <f>+Table1[[#This Row],[Volume A]]</f>
        <v>1739.5</v>
      </c>
      <c r="F5" s="5">
        <f>ABS((Table1[[#This Row],[Volume A]]-Table1[[#This Row],[Volume P]])/Table1[[#This Row],[Volume P]])</f>
        <v>3.2536151279199108E-2</v>
      </c>
      <c r="G5" s="79">
        <v>0.92299999999999993</v>
      </c>
      <c r="H5" s="3"/>
      <c r="I5" s="52">
        <v>1813.23</v>
      </c>
      <c r="J5" s="51">
        <f>+ABS((B5-I5)/B5)</f>
        <v>8.4705228031145812E-3</v>
      </c>
      <c r="K5" s="55">
        <v>0.92969999999999997</v>
      </c>
      <c r="N5" s="36"/>
      <c r="Q5" s="44">
        <v>1831.56</v>
      </c>
      <c r="R5" s="81">
        <f t="shared" si="0"/>
        <v>1.8665183537263597E-2</v>
      </c>
      <c r="V5" s="38" t="s">
        <v>41</v>
      </c>
      <c r="W5" s="32">
        <f>AVERAGEIFS(J2:J104,J2:J104,"&lt;&gt;0",J2:J104,"&lt;30%")</f>
        <v>6.1360471801096397E-2</v>
      </c>
      <c r="Y5" s="131"/>
      <c r="Z5" s="132"/>
    </row>
    <row r="6" spans="1:26">
      <c r="A6" s="40">
        <f>+kri!A6</f>
        <v>5</v>
      </c>
      <c r="B6" s="27">
        <f>+Table1[[#This Row],[Volume P]]</f>
        <v>1775.9</v>
      </c>
      <c r="C6" s="41" t="str">
        <f>+Table1[[#This Row],[Modality]]</f>
        <v>ct</v>
      </c>
      <c r="D6" s="73"/>
      <c r="E6" s="52">
        <f>+Table1[[#This Row],[Volume A]]</f>
        <v>1941.7</v>
      </c>
      <c r="F6" s="5">
        <f>ABS((Table1[[#This Row],[Volume A]]-Table1[[#This Row],[Volume P]])/Table1[[#This Row],[Volume P]])</f>
        <v>9.3361112675263216E-2</v>
      </c>
      <c r="G6" s="79">
        <v>0.79200000000000004</v>
      </c>
      <c r="H6" s="3"/>
      <c r="I6" s="52">
        <v>1676.44</v>
      </c>
      <c r="J6" s="51">
        <f>+ABS((B6-I6)/B6)</f>
        <v>5.6005405709780971E-2</v>
      </c>
      <c r="K6" s="55">
        <v>0.9073</v>
      </c>
      <c r="N6" s="36"/>
      <c r="Q6" s="44">
        <v>2310.2399999999998</v>
      </c>
      <c r="R6" s="81">
        <f t="shared" si="0"/>
        <v>0.30088405878709368</v>
      </c>
      <c r="V6" s="38" t="s">
        <v>40</v>
      </c>
      <c r="W6" s="32">
        <f>STDEV(J2:J104)</f>
        <v>0.20924830775224526</v>
      </c>
      <c r="Y6" s="131"/>
      <c r="Z6" s="132"/>
    </row>
    <row r="7" spans="1:26">
      <c r="A7" s="40">
        <f>+kri!A7</f>
        <v>6</v>
      </c>
      <c r="B7" s="27">
        <f>+Table1[[#This Row],[Volume P]]</f>
        <v>1515.4</v>
      </c>
      <c r="C7" s="41" t="str">
        <f>+Table1[[#This Row],[Modality]]</f>
        <v>mr</v>
      </c>
      <c r="D7" s="73"/>
      <c r="E7" s="52">
        <f>+Table1[[#This Row],[Volume A]]</f>
        <v>1526.8</v>
      </c>
      <c r="F7" s="5">
        <f>ABS((Table1[[#This Row],[Volume A]]-Table1[[#This Row],[Volume P]])/Table1[[#This Row],[Volume P]])</f>
        <v>7.5227662663322308E-3</v>
      </c>
      <c r="G7" s="79">
        <v>0.96499999999999997</v>
      </c>
      <c r="H7" s="3"/>
      <c r="J7" s="51"/>
      <c r="K7" s="56"/>
      <c r="M7" s="23">
        <v>1533.96</v>
      </c>
      <c r="N7" s="36">
        <f t="shared" ref="N7:N63" si="1">+ABS((B7-M7)/B7)</f>
        <v>1.2247591395011182E-2</v>
      </c>
      <c r="O7" s="42">
        <v>0.94766400000000006</v>
      </c>
      <c r="Q7" s="44">
        <v>1426.42</v>
      </c>
      <c r="R7" s="81">
        <f t="shared" si="0"/>
        <v>5.8717170384057021E-2</v>
      </c>
      <c r="V7" s="38" t="s">
        <v>44</v>
      </c>
      <c r="W7" s="32">
        <f>AVERAGEIF(K4:K106,"&lt;&gt;0")</f>
        <v>0.86287045454545463</v>
      </c>
      <c r="Y7" s="131"/>
      <c r="Z7" s="132"/>
    </row>
    <row r="8" spans="1:26" ht="16.5" thickBot="1">
      <c r="A8" s="40">
        <f>+kri!A8</f>
        <v>7</v>
      </c>
      <c r="B8" s="27">
        <f>+Table1[[#This Row],[Volume P]]</f>
        <v>1328.6</v>
      </c>
      <c r="C8" s="41" t="str">
        <f>+Table1[[#This Row],[Modality]]</f>
        <v>mr</v>
      </c>
      <c r="D8" s="73"/>
      <c r="E8" s="52">
        <f>+Table1[[#This Row],[Volume A]]</f>
        <v>1313.8</v>
      </c>
      <c r="F8" s="5">
        <f>ABS((Table1[[#This Row],[Volume A]]-Table1[[#This Row],[Volume P]])/Table1[[#This Row],[Volume P]])</f>
        <v>1.1139545386120695E-2</v>
      </c>
      <c r="G8" s="79">
        <v>0.94700000000000006</v>
      </c>
      <c r="H8" s="3"/>
      <c r="J8" s="51"/>
      <c r="K8" s="56"/>
      <c r="M8" s="23">
        <v>1512.47</v>
      </c>
      <c r="N8" s="36">
        <f t="shared" si="1"/>
        <v>0.13839379798283918</v>
      </c>
      <c r="O8" s="42">
        <v>0.869174</v>
      </c>
      <c r="Q8" s="44">
        <v>880.64200000000005</v>
      </c>
      <c r="R8" s="81">
        <f t="shared" si="0"/>
        <v>0.33716543730242354</v>
      </c>
      <c r="T8" s="16" t="s">
        <v>36</v>
      </c>
      <c r="V8" s="60" t="s">
        <v>63</v>
      </c>
      <c r="W8" s="32">
        <f>STDEV(K4:K106)</f>
        <v>0.14896194079173225</v>
      </c>
      <c r="Y8" s="133"/>
      <c r="Z8" s="134"/>
    </row>
    <row r="9" spans="1:26">
      <c r="A9" s="40">
        <f>+kri!A9</f>
        <v>8</v>
      </c>
      <c r="B9" s="27">
        <f>+Table1[[#This Row],[Volume P]]</f>
        <v>1243</v>
      </c>
      <c r="C9" s="41" t="str">
        <f>+Table1[[#This Row],[Modality]]</f>
        <v>mr</v>
      </c>
      <c r="D9" s="73"/>
      <c r="E9" s="52">
        <f>+Table1[[#This Row],[Volume A]]</f>
        <v>1304.0999999999999</v>
      </c>
      <c r="F9" s="5">
        <f>ABS((Table1[[#This Row],[Volume A]]-Table1[[#This Row],[Volume P]])/Table1[[#This Row],[Volume P]])</f>
        <v>4.9155269509251739E-2</v>
      </c>
      <c r="G9" s="79">
        <v>0.94900000000000007</v>
      </c>
      <c r="H9" s="3"/>
      <c r="J9" s="51"/>
      <c r="K9" s="56"/>
      <c r="M9" s="23">
        <v>1277.24</v>
      </c>
      <c r="N9" s="36">
        <f t="shared" si="1"/>
        <v>2.7546259050683836E-2</v>
      </c>
      <c r="O9" s="42">
        <v>0.88927000000000012</v>
      </c>
      <c r="Q9" s="44">
        <v>1430.88</v>
      </c>
      <c r="R9" s="81">
        <f t="shared" si="0"/>
        <v>0.15115044247787621</v>
      </c>
      <c r="V9" s="57" t="s">
        <v>54</v>
      </c>
      <c r="W9" s="57">
        <f>COUNTIF(C2:C104,"=ct")</f>
        <v>46</v>
      </c>
      <c r="Y9" s="19" t="s">
        <v>1</v>
      </c>
      <c r="Z9" s="20" t="s">
        <v>31</v>
      </c>
    </row>
    <row r="10" spans="1:26">
      <c r="A10" s="40">
        <f>+kri!A10</f>
        <v>9</v>
      </c>
      <c r="B10" s="27">
        <f>+Table1[[#This Row],[Volume P]]</f>
        <v>1516.3</v>
      </c>
      <c r="C10" s="41" t="str">
        <f>+Table1[[#This Row],[Modality]]</f>
        <v>ct</v>
      </c>
      <c r="D10" s="73"/>
      <c r="E10" s="52">
        <f>+Table1[[#This Row],[Volume A]]</f>
        <v>1620.4</v>
      </c>
      <c r="F10" s="5">
        <f>ABS((Table1[[#This Row],[Volume A]]-Table1[[#This Row],[Volume P]])/Table1[[#This Row],[Volume P]])</f>
        <v>6.8653960298094133E-2</v>
      </c>
      <c r="G10" s="79">
        <v>0.85699999999999998</v>
      </c>
      <c r="H10" s="3"/>
      <c r="I10" s="52">
        <v>1390.57</v>
      </c>
      <c r="J10" s="51">
        <f t="shared" ref="J10:J69" si="2">+ABS((B10-I10)/B10)</f>
        <v>8.291894743784213E-2</v>
      </c>
      <c r="K10" s="56">
        <v>0.92300000000000004</v>
      </c>
      <c r="N10" s="36"/>
      <c r="Q10" s="44">
        <v>1519.63</v>
      </c>
      <c r="R10" s="81">
        <f t="shared" si="0"/>
        <v>2.1961353294204016E-3</v>
      </c>
      <c r="Y10" s="21" t="s">
        <v>2</v>
      </c>
      <c r="Z10" s="22" t="s">
        <v>30</v>
      </c>
    </row>
    <row r="11" spans="1:26">
      <c r="A11" s="40">
        <f>+kri!A11</f>
        <v>10</v>
      </c>
      <c r="B11" s="27">
        <f>+Table1[[#This Row],[Volume P]]</f>
        <v>1330</v>
      </c>
      <c r="C11" s="41" t="str">
        <f>+Table1[[#This Row],[Modality]]</f>
        <v>mr</v>
      </c>
      <c r="D11" s="73"/>
      <c r="E11" s="52">
        <f>+Table1[[#This Row],[Volume A]]</f>
        <v>1357.2</v>
      </c>
      <c r="F11" s="5">
        <f>ABS((Table1[[#This Row],[Volume A]]-Table1[[#This Row],[Volume P]])/Table1[[#This Row],[Volume P]])</f>
        <v>2.0451127819548907E-2</v>
      </c>
      <c r="G11" s="79">
        <v>0.88700000000000001</v>
      </c>
      <c r="H11" s="3"/>
      <c r="J11" s="51"/>
      <c r="K11" s="56"/>
      <c r="M11" s="23">
        <v>1338.03</v>
      </c>
      <c r="N11" s="36">
        <f t="shared" si="1"/>
        <v>6.0375939849623859E-3</v>
      </c>
      <c r="O11" s="42">
        <v>0.93800700000000004</v>
      </c>
      <c r="Q11" s="44">
        <v>1364.79</v>
      </c>
      <c r="R11" s="81">
        <f t="shared" si="0"/>
        <v>2.6157894736842078E-2</v>
      </c>
      <c r="V11" s="120" t="s">
        <v>39</v>
      </c>
      <c r="W11" s="120"/>
      <c r="Y11" s="121" t="s">
        <v>28</v>
      </c>
      <c r="Z11" s="124" t="s">
        <v>52</v>
      </c>
    </row>
    <row r="12" spans="1:26">
      <c r="A12" s="40">
        <f>+kri!A12</f>
        <v>11</v>
      </c>
      <c r="B12" s="27">
        <f>+Table1[[#This Row],[Volume P]]</f>
        <v>1549.1</v>
      </c>
      <c r="C12" s="41" t="str">
        <f>+Table1[[#This Row],[Modality]]</f>
        <v>mr</v>
      </c>
      <c r="D12" s="73"/>
      <c r="E12" s="52">
        <f>+Table1[[#This Row],[Volume A]]</f>
        <v>1566.9</v>
      </c>
      <c r="F12" s="5">
        <f>ABS((Table1[[#This Row],[Volume A]]-Table1[[#This Row],[Volume P]])/Table1[[#This Row],[Volume P]])</f>
        <v>1.1490542895875143E-2</v>
      </c>
      <c r="G12" s="79">
        <v>0.91799999999999993</v>
      </c>
      <c r="H12" s="3"/>
      <c r="J12" s="51"/>
      <c r="K12" s="56"/>
      <c r="M12" s="23">
        <v>1494.06</v>
      </c>
      <c r="N12" s="36">
        <f t="shared" si="1"/>
        <v>3.5530307920728144E-2</v>
      </c>
      <c r="O12" s="42">
        <v>0.92682699999999996</v>
      </c>
      <c r="Q12" s="44">
        <v>1398.73</v>
      </c>
      <c r="R12" s="81">
        <f t="shared" si="0"/>
        <v>9.7069266025434059E-2</v>
      </c>
      <c r="V12" s="38" t="s">
        <v>41</v>
      </c>
      <c r="W12" s="32">
        <f>AVERAGEIFS(N2:N104,N2:N104,"&lt;&gt;0",N2:N104,"&lt;30%")</f>
        <v>4.8256464188720156E-2</v>
      </c>
      <c r="Y12" s="122"/>
      <c r="Z12" s="125"/>
    </row>
    <row r="13" spans="1:26">
      <c r="A13" s="40">
        <f>+kri!A13</f>
        <v>12</v>
      </c>
      <c r="B13" s="27">
        <f>+Table1[[#This Row],[Volume P]]</f>
        <v>1466.1</v>
      </c>
      <c r="C13" s="41" t="str">
        <f>+Table1[[#This Row],[Modality]]</f>
        <v>ct</v>
      </c>
      <c r="D13" s="73"/>
      <c r="E13" s="52">
        <f>+Table1[[#This Row],[Volume A]]</f>
        <v>1460.6</v>
      </c>
      <c r="F13" s="5">
        <f>ABS((Table1[[#This Row],[Volume A]]-Table1[[#This Row],[Volume P]])/Table1[[#This Row],[Volume P]])</f>
        <v>3.7514494236409526E-3</v>
      </c>
      <c r="G13" s="79">
        <v>1</v>
      </c>
      <c r="H13" s="3"/>
      <c r="I13" s="52">
        <v>1374.88</v>
      </c>
      <c r="J13" s="51">
        <f t="shared" si="2"/>
        <v>6.221949389536853E-2</v>
      </c>
      <c r="K13" s="55">
        <v>0.89029999999999998</v>
      </c>
      <c r="N13" s="36"/>
      <c r="Q13" s="44">
        <v>1702.24</v>
      </c>
      <c r="R13" s="81">
        <f t="shared" si="0"/>
        <v>0.16106677579974088</v>
      </c>
      <c r="V13" s="57" t="s">
        <v>40</v>
      </c>
      <c r="W13" s="32">
        <f>STDEV(N2:N104)</f>
        <v>5.7811178142867757E-2</v>
      </c>
      <c r="Y13" s="122"/>
      <c r="Z13" s="125"/>
    </row>
    <row r="14" spans="1:26" ht="15" customHeight="1">
      <c r="A14" s="40">
        <f>+kri!A14</f>
        <v>13</v>
      </c>
      <c r="B14" s="27">
        <f>+Table1[[#This Row],[Volume P]]</f>
        <v>1557.7</v>
      </c>
      <c r="C14" s="41" t="str">
        <f>+Table1[[#This Row],[Modality]]</f>
        <v>mr</v>
      </c>
      <c r="D14" s="73"/>
      <c r="E14" s="52">
        <f>+Table1[[#This Row],[Volume A]]</f>
        <v>1633.4</v>
      </c>
      <c r="F14" s="5">
        <f>ABS((Table1[[#This Row],[Volume A]]-Table1[[#This Row],[Volume P]])/Table1[[#This Row],[Volume P]])</f>
        <v>4.8597290877575944E-2</v>
      </c>
      <c r="G14" s="79">
        <v>0.93599999999999994</v>
      </c>
      <c r="H14" s="3"/>
      <c r="J14" s="51"/>
      <c r="K14" s="56"/>
      <c r="M14" s="23">
        <v>1700.27</v>
      </c>
      <c r="N14" s="36">
        <f t="shared" si="1"/>
        <v>9.1525967772998609E-2</v>
      </c>
      <c r="O14" s="42">
        <v>0.87819199999999997</v>
      </c>
      <c r="Q14" s="44">
        <v>1526.97</v>
      </c>
      <c r="R14" s="81">
        <f t="shared" si="0"/>
        <v>1.9727803813314512E-2</v>
      </c>
      <c r="V14" s="57" t="s">
        <v>44</v>
      </c>
      <c r="W14" s="32">
        <f>AVERAGEIF(O4:O106,"&lt;&gt;0")</f>
        <v>0.91756951851851853</v>
      </c>
      <c r="Y14" s="122"/>
      <c r="Z14" s="125"/>
    </row>
    <row r="15" spans="1:26">
      <c r="A15" s="40">
        <f>+kri!A15</f>
        <v>14</v>
      </c>
      <c r="B15" s="27">
        <f>+Table1[[#This Row],[Volume P]]</f>
        <v>1781.4</v>
      </c>
      <c r="C15" s="41" t="str">
        <f>+Table1[[#This Row],[Modality]]</f>
        <v>ct</v>
      </c>
      <c r="D15" s="73"/>
      <c r="E15" s="52">
        <f>+Table1[[#This Row],[Volume A]]</f>
        <v>1737.8</v>
      </c>
      <c r="F15" s="5">
        <f>ABS((Table1[[#This Row],[Volume A]]-Table1[[#This Row],[Volume P]])/Table1[[#This Row],[Volume P]])</f>
        <v>2.4475131918715691E-2</v>
      </c>
      <c r="G15" s="79">
        <v>0.95200000000000007</v>
      </c>
      <c r="H15" s="3"/>
      <c r="I15" s="52">
        <v>1544.65</v>
      </c>
      <c r="J15" s="51">
        <f t="shared" si="2"/>
        <v>0.13290108903109912</v>
      </c>
      <c r="K15" s="55">
        <v>0.91269999999999996</v>
      </c>
      <c r="N15" s="36"/>
      <c r="Q15" s="44">
        <v>1670.41</v>
      </c>
      <c r="R15" s="81">
        <f t="shared" si="0"/>
        <v>6.2304928707757945E-2</v>
      </c>
      <c r="V15" s="60" t="s">
        <v>63</v>
      </c>
      <c r="W15" s="32">
        <f>STDEV(O4:O106)</f>
        <v>3.0622341582416859E-2</v>
      </c>
      <c r="Y15" s="127"/>
      <c r="Z15" s="128"/>
    </row>
    <row r="16" spans="1:26">
      <c r="A16" s="40">
        <f>+kri!A16</f>
        <v>15</v>
      </c>
      <c r="B16" s="27">
        <f>+Table1[[#This Row],[Volume P]]</f>
        <v>2274</v>
      </c>
      <c r="C16" s="41" t="str">
        <f>+Table1[[#This Row],[Modality]]</f>
        <v>ct</v>
      </c>
      <c r="D16" s="73"/>
      <c r="E16" s="52">
        <f>+Table1[[#This Row],[Volume A]]</f>
        <v>2186.1</v>
      </c>
      <c r="F16" s="5">
        <f>ABS((Table1[[#This Row],[Volume A]]-Table1[[#This Row],[Volume P]])/Table1[[#This Row],[Volume P]])</f>
        <v>3.865435356200532E-2</v>
      </c>
      <c r="G16" s="79">
        <v>0.95900000000000007</v>
      </c>
      <c r="H16" s="3"/>
      <c r="I16" s="52">
        <v>2029.93</v>
      </c>
      <c r="J16" s="51">
        <f t="shared" si="2"/>
        <v>0.10733069481090586</v>
      </c>
      <c r="K16" s="55">
        <v>0.91539999999999999</v>
      </c>
      <c r="N16" s="36"/>
      <c r="Q16" s="44">
        <v>2333.04</v>
      </c>
      <c r="R16" s="81">
        <f t="shared" si="0"/>
        <v>2.5963060686015817E-2</v>
      </c>
      <c r="V16" s="57" t="s">
        <v>54</v>
      </c>
      <c r="W16" s="57">
        <f>COUNTIF(C2:C104,"=mr")</f>
        <v>55</v>
      </c>
      <c r="Y16" s="121" t="s">
        <v>45</v>
      </c>
      <c r="Z16" s="124" t="s">
        <v>53</v>
      </c>
    </row>
    <row r="17" spans="1:26">
      <c r="A17" s="40">
        <f>+kri!A17</f>
        <v>16</v>
      </c>
      <c r="B17" s="27">
        <f>+Table1[[#This Row],[Volume P]]</f>
        <v>1807.1</v>
      </c>
      <c r="C17" s="41" t="str">
        <f>+Table1[[#This Row],[Modality]]</f>
        <v>ct</v>
      </c>
      <c r="D17" s="73"/>
      <c r="E17" s="52">
        <f>+Table1[[#This Row],[Volume A]]</f>
        <v>1714.3</v>
      </c>
      <c r="F17" s="5">
        <f>ABS((Table1[[#This Row],[Volume A]]-Table1[[#This Row],[Volume P]])/Table1[[#This Row],[Volume P]])</f>
        <v>5.1352996513751289E-2</v>
      </c>
      <c r="G17" s="79">
        <v>0.93700000000000006</v>
      </c>
      <c r="H17" s="3"/>
      <c r="I17" s="52">
        <v>1818.16</v>
      </c>
      <c r="J17" s="51">
        <f t="shared" si="2"/>
        <v>6.1203032482984743E-3</v>
      </c>
      <c r="K17" s="55">
        <v>0.88680000000000003</v>
      </c>
      <c r="N17" s="36"/>
      <c r="Q17" s="44">
        <v>1798.79</v>
      </c>
      <c r="R17" s="81">
        <f t="shared" si="0"/>
        <v>4.5985280283326576E-3</v>
      </c>
      <c r="Y17" s="122"/>
      <c r="Z17" s="125"/>
    </row>
    <row r="18" spans="1:26">
      <c r="A18" s="40">
        <f>+kri!A18</f>
        <v>17</v>
      </c>
      <c r="B18" s="27">
        <f>+Table1[[#This Row],[Volume P]]</f>
        <v>1506.5</v>
      </c>
      <c r="C18" s="41" t="str">
        <f>+Table1[[#This Row],[Modality]]</f>
        <v>ct</v>
      </c>
      <c r="D18" s="73"/>
      <c r="E18" s="52">
        <f>+Table1[[#This Row],[Volume A]]</f>
        <v>1512.3</v>
      </c>
      <c r="F18" s="5">
        <f>ABS((Table1[[#This Row],[Volume A]]-Table1[[#This Row],[Volume P]])/Table1[[#This Row],[Volume P]])</f>
        <v>3.8499834052439126E-3</v>
      </c>
      <c r="G18" s="79">
        <v>0.96499999999999997</v>
      </c>
      <c r="H18" s="3"/>
      <c r="I18" s="52">
        <v>360.16</v>
      </c>
      <c r="J18" s="51">
        <f t="shared" si="2"/>
        <v>0.76092930633919675</v>
      </c>
      <c r="K18" s="55">
        <v>0.38640000000000002</v>
      </c>
      <c r="N18" s="36"/>
      <c r="Q18" s="44">
        <v>1321.49</v>
      </c>
      <c r="R18" s="81">
        <f t="shared" si="0"/>
        <v>0.12280783272485894</v>
      </c>
      <c r="V18" s="120" t="s">
        <v>75</v>
      </c>
      <c r="W18" s="120"/>
      <c r="Y18" s="122"/>
      <c r="Z18" s="125"/>
    </row>
    <row r="19" spans="1:26">
      <c r="A19" s="40">
        <f>+kri!A19</f>
        <v>18</v>
      </c>
      <c r="B19" s="27">
        <f>+Table1[[#This Row],[Volume P]]</f>
        <v>2019.5</v>
      </c>
      <c r="C19" s="41" t="str">
        <f>+Table1[[#This Row],[Modality]]</f>
        <v>ct</v>
      </c>
      <c r="D19" s="73"/>
      <c r="E19" s="52">
        <f>+Table1[[#This Row],[Volume A]]</f>
        <v>1967.4</v>
      </c>
      <c r="F19" s="5">
        <f>ABS((Table1[[#This Row],[Volume A]]-Table1[[#This Row],[Volume P]])/Table1[[#This Row],[Volume P]])</f>
        <v>2.579846496657584E-2</v>
      </c>
      <c r="G19" s="79">
        <v>0.86499999999999999</v>
      </c>
      <c r="H19" s="3"/>
      <c r="I19" s="52">
        <v>2042.57</v>
      </c>
      <c r="J19" s="51">
        <f t="shared" si="2"/>
        <v>1.1423619707848446E-2</v>
      </c>
      <c r="K19" s="55">
        <v>0.91</v>
      </c>
      <c r="N19" s="36"/>
      <c r="Q19" s="44">
        <v>1644.36</v>
      </c>
      <c r="R19" s="81">
        <f t="shared" si="0"/>
        <v>0.18575885120079233</v>
      </c>
      <c r="V19" s="60" t="s">
        <v>41</v>
      </c>
      <c r="W19" s="32">
        <f>AVERAGEIFS(F2:F104,E2:E104,"&lt;&gt;0",N9:N111,"&lt;30%")</f>
        <v>5.0557286225219024E-2</v>
      </c>
      <c r="Y19" s="122"/>
      <c r="Z19" s="125"/>
    </row>
    <row r="20" spans="1:26">
      <c r="A20" s="40">
        <f>+kri!A20</f>
        <v>19</v>
      </c>
      <c r="B20" s="27">
        <f>+Table1[[#This Row],[Volume P]]</f>
        <v>1613</v>
      </c>
      <c r="C20" s="41" t="str">
        <f>+Table1[[#This Row],[Modality]]</f>
        <v>ct</v>
      </c>
      <c r="D20" s="73"/>
      <c r="E20" s="52">
        <f>+Table1[[#This Row],[Volume A]]</f>
        <v>1742.9</v>
      </c>
      <c r="F20" s="5">
        <f>ABS((Table1[[#This Row],[Volume A]]-Table1[[#This Row],[Volume P]])/Table1[[#This Row],[Volume P]])</f>
        <v>8.0533168009919456E-2</v>
      </c>
      <c r="G20" s="79">
        <v>0.89700000000000002</v>
      </c>
      <c r="H20" s="3"/>
      <c r="I20" s="52">
        <v>1505.96</v>
      </c>
      <c r="J20" s="51">
        <f t="shared" si="2"/>
        <v>6.6360818350898923E-2</v>
      </c>
      <c r="K20" s="55">
        <v>0.87139999999999995</v>
      </c>
      <c r="N20" s="36"/>
      <c r="Q20" s="44">
        <v>1327.65</v>
      </c>
      <c r="R20" s="81">
        <f t="shared" si="0"/>
        <v>0.17690638561686292</v>
      </c>
      <c r="V20" s="60" t="s">
        <v>40</v>
      </c>
      <c r="W20" s="32">
        <f>STDEV(F2:F104)</f>
        <v>5.9130128182140945E-2</v>
      </c>
      <c r="Y20" s="127"/>
      <c r="Z20" s="128"/>
    </row>
    <row r="21" spans="1:26">
      <c r="A21" s="40">
        <f>+kri!A21</f>
        <v>20</v>
      </c>
      <c r="B21" s="27">
        <f>+Table1[[#This Row],[Volume P]]</f>
        <v>1668.2</v>
      </c>
      <c r="C21" s="41" t="str">
        <f>+Table1[[#This Row],[Modality]]</f>
        <v>mr</v>
      </c>
      <c r="D21" s="73"/>
      <c r="E21" s="52">
        <f>+Table1[[#This Row],[Volume A]]</f>
        <v>1771.8</v>
      </c>
      <c r="F21" s="5">
        <f>ABS((Table1[[#This Row],[Volume A]]-Table1[[#This Row],[Volume P]])/Table1[[#This Row],[Volume P]])</f>
        <v>6.2102865363865188E-2</v>
      </c>
      <c r="G21" s="79">
        <v>0.91</v>
      </c>
      <c r="H21" s="3"/>
      <c r="J21" s="51"/>
      <c r="K21" s="56"/>
      <c r="M21" s="23">
        <v>1681.62</v>
      </c>
      <c r="N21" s="36">
        <f t="shared" ref="N21" si="3">+ABS((B21-M21)/B21)</f>
        <v>8.0445989689484736E-3</v>
      </c>
      <c r="O21" s="42">
        <v>0.92710000000000004</v>
      </c>
      <c r="Q21" s="44">
        <v>1569.41</v>
      </c>
      <c r="R21" s="81">
        <f t="shared" si="0"/>
        <v>5.9219518043400046E-2</v>
      </c>
      <c r="V21" s="60" t="s">
        <v>44</v>
      </c>
      <c r="W21" s="32">
        <f>AVERAGEIF(G2:G104,"&lt;&gt;0")</f>
        <v>0.88929702970297042</v>
      </c>
      <c r="Y21" s="121" t="s">
        <v>19</v>
      </c>
      <c r="Z21" s="124" t="s">
        <v>55</v>
      </c>
    </row>
    <row r="22" spans="1:26">
      <c r="A22" s="40">
        <f>+kri!A22</f>
        <v>21</v>
      </c>
      <c r="B22" s="27">
        <f>+Table1[[#This Row],[Volume P]]</f>
        <v>1799</v>
      </c>
      <c r="C22" s="41" t="str">
        <f>+Table1[[#This Row],[Modality]]</f>
        <v>mr</v>
      </c>
      <c r="D22" s="73"/>
      <c r="E22" s="52">
        <f>+Table1[[#This Row],[Volume A]]</f>
        <v>1885.8</v>
      </c>
      <c r="F22" s="5">
        <f>ABS((Table1[[#This Row],[Volume A]]-Table1[[#This Row],[Volume P]])/Table1[[#This Row],[Volume P]])</f>
        <v>4.824902723735406E-2</v>
      </c>
      <c r="G22" s="79">
        <v>0.94799999999999995</v>
      </c>
      <c r="H22" s="3"/>
      <c r="J22" s="51"/>
      <c r="K22" s="56"/>
      <c r="M22" s="23">
        <v>1934.24</v>
      </c>
      <c r="N22" s="36">
        <f t="shared" si="1"/>
        <v>7.5175097276264591E-2</v>
      </c>
      <c r="O22" s="42">
        <v>0.90654899999999994</v>
      </c>
      <c r="Q22" s="44">
        <v>2825.98</v>
      </c>
      <c r="R22" s="81">
        <f t="shared" si="0"/>
        <v>0.57086158977209567</v>
      </c>
      <c r="V22" s="60" t="s">
        <v>63</v>
      </c>
      <c r="W22" s="32">
        <f>STDEV(G2:G104)</f>
        <v>7.3804816178140498E-2</v>
      </c>
      <c r="Y22" s="122"/>
      <c r="Z22" s="125"/>
    </row>
    <row r="23" spans="1:26">
      <c r="A23" s="40">
        <f>+kri!A23</f>
        <v>22</v>
      </c>
      <c r="B23" s="27">
        <f>+Table1[[#This Row],[Volume P]]</f>
        <v>1394.5</v>
      </c>
      <c r="C23" s="41" t="str">
        <f>+Table1[[#This Row],[Modality]]</f>
        <v>mr</v>
      </c>
      <c r="D23" s="73"/>
      <c r="E23" s="52">
        <f>+Table1[[#This Row],[Volume A]]</f>
        <v>1415.2</v>
      </c>
      <c r="F23" s="5">
        <f>ABS((Table1[[#This Row],[Volume A]]-Table1[[#This Row],[Volume P]])/Table1[[#This Row],[Volume P]])</f>
        <v>1.4844030118322011E-2</v>
      </c>
      <c r="G23" s="79">
        <v>0.80099999999999993</v>
      </c>
      <c r="H23" s="3"/>
      <c r="J23" s="51"/>
      <c r="K23" s="56"/>
      <c r="M23" s="23">
        <v>1276.94</v>
      </c>
      <c r="N23" s="36">
        <f t="shared" si="1"/>
        <v>8.4302617425600537E-2</v>
      </c>
      <c r="O23" s="42">
        <v>0.9077639999999999</v>
      </c>
      <c r="Q23" s="44">
        <v>1379.75</v>
      </c>
      <c r="R23" s="81">
        <f t="shared" si="0"/>
        <v>1.0577267837934744E-2</v>
      </c>
      <c r="V23" s="60" t="s">
        <v>54</v>
      </c>
      <c r="W23" s="60">
        <f>W9+W16</f>
        <v>101</v>
      </c>
      <c r="Y23" s="122"/>
      <c r="Z23" s="125"/>
    </row>
    <row r="24" spans="1:26">
      <c r="A24" s="40">
        <f>+kri!A24</f>
        <v>23</v>
      </c>
      <c r="B24" s="27">
        <f>+Table1[[#This Row],[Volume P]]</f>
        <v>1033.5</v>
      </c>
      <c r="C24" s="41" t="str">
        <f>+Table1[[#This Row],[Modality]]</f>
        <v>mr</v>
      </c>
      <c r="D24" s="73"/>
      <c r="E24" s="52">
        <f>+Table1[[#This Row],[Volume A]]</f>
        <v>1057.5</v>
      </c>
      <c r="F24" s="5">
        <f>ABS((Table1[[#This Row],[Volume A]]-Table1[[#This Row],[Volume P]])/Table1[[#This Row],[Volume P]])</f>
        <v>2.3222060957910014E-2</v>
      </c>
      <c r="G24" s="79">
        <v>0.86599999999999999</v>
      </c>
      <c r="H24" s="3"/>
      <c r="J24" s="51"/>
      <c r="K24" s="56"/>
      <c r="M24" s="23">
        <v>1012.37</v>
      </c>
      <c r="N24" s="36">
        <f t="shared" si="1"/>
        <v>2.044508950169327E-2</v>
      </c>
      <c r="O24" s="63">
        <v>0.88949999999999996</v>
      </c>
      <c r="Q24" s="23">
        <v>859.33</v>
      </c>
      <c r="R24" s="82">
        <f t="shared" si="0"/>
        <v>0.16852443154329944</v>
      </c>
      <c r="Y24" s="122"/>
      <c r="Z24" s="125"/>
    </row>
    <row r="25" spans="1:26" ht="16.5" thickBot="1">
      <c r="A25" s="40">
        <f>+kri!A25</f>
        <v>24</v>
      </c>
      <c r="B25" s="27">
        <f>+Table1[[#This Row],[Volume P]]</f>
        <v>1941.2</v>
      </c>
      <c r="C25" s="41" t="str">
        <f>+Table1[[#This Row],[Modality]]</f>
        <v>ct</v>
      </c>
      <c r="D25" s="73"/>
      <c r="E25" s="52">
        <f>+Table1[[#This Row],[Volume A]]</f>
        <v>2002.2</v>
      </c>
      <c r="F25" s="5">
        <f>ABS((Table1[[#This Row],[Volume A]]-Table1[[#This Row],[Volume P]])/Table1[[#This Row],[Volume P]])</f>
        <v>3.1423861528951165E-2</v>
      </c>
      <c r="G25" s="79">
        <v>0.91099999999999992</v>
      </c>
      <c r="H25" s="3"/>
      <c r="I25" s="52">
        <v>1775.63</v>
      </c>
      <c r="J25" s="51">
        <f t="shared" si="2"/>
        <v>8.5292602513908883E-2</v>
      </c>
      <c r="K25" s="55">
        <v>0.89490000000000003</v>
      </c>
      <c r="N25" s="36"/>
      <c r="Q25" s="44">
        <v>2426.37</v>
      </c>
      <c r="R25" s="81">
        <f t="shared" si="0"/>
        <v>0.24993303111477427</v>
      </c>
      <c r="V25" s="118" t="s">
        <v>34</v>
      </c>
      <c r="W25" s="119"/>
      <c r="Y25" s="123"/>
      <c r="Z25" s="126"/>
    </row>
    <row r="26" spans="1:26">
      <c r="A26" s="40">
        <f>+kri!A26</f>
        <v>25</v>
      </c>
      <c r="B26" s="27">
        <f>+Table1[[#This Row],[Volume P]]</f>
        <v>1140.9000000000001</v>
      </c>
      <c r="C26" s="41" t="str">
        <f>+Table1[[#This Row],[Modality]]</f>
        <v>mr</v>
      </c>
      <c r="D26" s="73"/>
      <c r="E26" s="52">
        <f>+Table1[[#This Row],[Volume A]]</f>
        <v>1246.4000000000001</v>
      </c>
      <c r="F26" s="5">
        <f>ABS((Table1[[#This Row],[Volume A]]-Table1[[#This Row],[Volume P]])/Table1[[#This Row],[Volume P]])</f>
        <v>9.2470856341484789E-2</v>
      </c>
      <c r="G26" s="79">
        <v>0.86199999999999999</v>
      </c>
      <c r="H26" s="3"/>
      <c r="J26" s="51"/>
      <c r="K26" s="56"/>
      <c r="M26" s="23">
        <v>1244.6600000000001</v>
      </c>
      <c r="N26" s="36">
        <f t="shared" si="1"/>
        <v>9.0945744587606264E-2</v>
      </c>
      <c r="O26" s="42">
        <v>0.89823600000000003</v>
      </c>
      <c r="Q26" s="44">
        <v>1338.72</v>
      </c>
      <c r="R26" s="81">
        <f t="shared" si="0"/>
        <v>0.17338942939784374</v>
      </c>
      <c r="V26" s="57" t="s">
        <v>35</v>
      </c>
      <c r="W26" s="32">
        <f>AVERAGEIFS(R2:R104,R2:R104,"&lt;&gt;0",R2:R104,"&lt;50%")</f>
        <v>0.12872415756079233</v>
      </c>
      <c r="Y26" s="112" t="s">
        <v>47</v>
      </c>
      <c r="Z26" s="113"/>
    </row>
    <row r="27" spans="1:26">
      <c r="A27" s="40">
        <f>+kri!A27</f>
        <v>26</v>
      </c>
      <c r="B27" s="27">
        <f>+Table1[[#This Row],[Volume P]]</f>
        <v>1481.1</v>
      </c>
      <c r="C27" s="41" t="str">
        <f>+Table1[[#This Row],[Modality]]</f>
        <v>mr</v>
      </c>
      <c r="D27" s="73"/>
      <c r="E27" s="52">
        <f>+Table1[[#This Row],[Volume A]]</f>
        <v>1578.2</v>
      </c>
      <c r="F27" s="5">
        <f>ABS((Table1[[#This Row],[Volume A]]-Table1[[#This Row],[Volume P]])/Table1[[#This Row],[Volume P]])</f>
        <v>6.5559381540746836E-2</v>
      </c>
      <c r="G27" s="79">
        <v>0.88900000000000001</v>
      </c>
      <c r="H27" s="3"/>
      <c r="J27" s="51"/>
      <c r="K27" s="56"/>
      <c r="M27" s="23">
        <v>1524.13</v>
      </c>
      <c r="N27" s="36">
        <f t="shared" si="1"/>
        <v>2.9052731078252788E-2</v>
      </c>
      <c r="O27" s="42">
        <v>0.94722499999999998</v>
      </c>
      <c r="Q27" s="44">
        <v>1678.06</v>
      </c>
      <c r="R27" s="81">
        <f t="shared" si="0"/>
        <v>0.13298224292755387</v>
      </c>
      <c r="V27" s="57" t="s">
        <v>40</v>
      </c>
      <c r="W27" s="33">
        <f>STDEV(R2:R104)</f>
        <v>0.17821454737598372</v>
      </c>
      <c r="Y27" s="114"/>
      <c r="Z27" s="115"/>
    </row>
    <row r="28" spans="1:26">
      <c r="A28" s="40">
        <f>+kri!A28</f>
        <v>27</v>
      </c>
      <c r="B28" s="27">
        <f>+Table1[[#This Row],[Volume P]]</f>
        <v>1186.5</v>
      </c>
      <c r="C28" s="41" t="str">
        <f>+Table1[[#This Row],[Modality]]</f>
        <v>ct</v>
      </c>
      <c r="D28" s="73"/>
      <c r="E28" s="52">
        <f>+Table1[[#This Row],[Volume A]]</f>
        <v>1167.8</v>
      </c>
      <c r="F28" s="5">
        <f>ABS((Table1[[#This Row],[Volume A]]-Table1[[#This Row],[Volume P]])/Table1[[#This Row],[Volume P]])</f>
        <v>1.5760640539401641E-2</v>
      </c>
      <c r="G28" s="79">
        <v>0.88</v>
      </c>
      <c r="H28" s="3"/>
      <c r="I28" s="52">
        <v>1171.33</v>
      </c>
      <c r="J28" s="51">
        <f t="shared" si="2"/>
        <v>1.2785503581963821E-2</v>
      </c>
      <c r="K28" s="55">
        <v>0.95209999999999995</v>
      </c>
      <c r="N28" s="36"/>
      <c r="Q28" s="44">
        <v>1222.3</v>
      </c>
      <c r="R28" s="81">
        <f t="shared" si="0"/>
        <v>3.0172777075431905E-2</v>
      </c>
      <c r="V28" s="57" t="s">
        <v>54</v>
      </c>
      <c r="W28" s="57">
        <f>W9+W16</f>
        <v>101</v>
      </c>
      <c r="Y28" s="114"/>
      <c r="Z28" s="115"/>
    </row>
    <row r="29" spans="1:26">
      <c r="A29" s="40">
        <f>+kri!A29</f>
        <v>28</v>
      </c>
      <c r="B29" s="27">
        <f>+Table1[[#This Row],[Volume P]]</f>
        <v>1888.9</v>
      </c>
      <c r="C29" s="41" t="str">
        <f>+Table1[[#This Row],[Modality]]</f>
        <v>mr</v>
      </c>
      <c r="D29" s="73"/>
      <c r="E29" s="52">
        <f>+Table1[[#This Row],[Volume A]]</f>
        <v>2079.8000000000002</v>
      </c>
      <c r="F29" s="5">
        <f>ABS((Table1[[#This Row],[Volume A]]-Table1[[#This Row],[Volume P]])/Table1[[#This Row],[Volume P]])</f>
        <v>0.10106411138758012</v>
      </c>
      <c r="G29" s="79">
        <v>0.92400000000000004</v>
      </c>
      <c r="H29" s="3"/>
      <c r="J29" s="51"/>
      <c r="K29" s="56"/>
      <c r="M29" s="23">
        <v>2006.6</v>
      </c>
      <c r="N29" s="36">
        <f t="shared" ref="N29" si="4">+ABS((B29-M29)/B29)</f>
        <v>6.231139816824597E-2</v>
      </c>
      <c r="O29" s="63">
        <v>0.93720000000000003</v>
      </c>
      <c r="Q29" s="23">
        <v>1977.03</v>
      </c>
      <c r="R29" s="82">
        <f t="shared" si="0"/>
        <v>4.6656784371856573E-2</v>
      </c>
      <c r="Y29" s="114"/>
      <c r="Z29" s="115"/>
    </row>
    <row r="30" spans="1:26">
      <c r="A30" s="40">
        <f>+kri!A30</f>
        <v>29</v>
      </c>
      <c r="B30" s="27">
        <f>+Table1[[#This Row],[Volume P]]</f>
        <v>1317.3</v>
      </c>
      <c r="C30" s="41" t="str">
        <f>+Table1[[#This Row],[Modality]]</f>
        <v>ct</v>
      </c>
      <c r="D30" s="73"/>
      <c r="E30" s="52">
        <f>+Table1[[#This Row],[Volume A]]</f>
        <v>1309.4000000000001</v>
      </c>
      <c r="F30" s="5">
        <f>ABS((Table1[[#This Row],[Volume A]]-Table1[[#This Row],[Volume P]])/Table1[[#This Row],[Volume P]])</f>
        <v>5.9971153116221542E-3</v>
      </c>
      <c r="G30" s="79">
        <v>0.83099999999999996</v>
      </c>
      <c r="H30" s="3"/>
      <c r="I30" s="52">
        <v>1328.99</v>
      </c>
      <c r="J30" s="51">
        <f t="shared" si="2"/>
        <v>8.8742124041600659E-3</v>
      </c>
      <c r="K30" s="55">
        <v>0.93149999999999999</v>
      </c>
      <c r="N30" s="36"/>
      <c r="Q30" s="23">
        <v>1167.4100000000001</v>
      </c>
      <c r="R30" s="82">
        <f t="shared" si="0"/>
        <v>0.11378577393152652</v>
      </c>
      <c r="Y30" s="114"/>
      <c r="Z30" s="115"/>
    </row>
    <row r="31" spans="1:26">
      <c r="A31" s="40">
        <f>+kri!A31</f>
        <v>30</v>
      </c>
      <c r="B31" s="27">
        <f>+Table1[[#This Row],[Volume P]]</f>
        <v>1989.8</v>
      </c>
      <c r="C31" s="41" t="str">
        <f>+Table1[[#This Row],[Modality]]</f>
        <v>mr</v>
      </c>
      <c r="D31" s="73"/>
      <c r="E31" s="52">
        <f>+Table1[[#This Row],[Volume A]]</f>
        <v>1994.1</v>
      </c>
      <c r="F31" s="5">
        <f>ABS((Table1[[#This Row],[Volume A]]-Table1[[#This Row],[Volume P]])/Table1[[#This Row],[Volume P]])</f>
        <v>2.1610212081616016E-3</v>
      </c>
      <c r="G31" s="79">
        <v>0.96499999999999997</v>
      </c>
      <c r="H31" s="3"/>
      <c r="J31" s="51"/>
      <c r="K31" s="56"/>
      <c r="M31" s="23">
        <v>2030.28</v>
      </c>
      <c r="N31" s="36">
        <f t="shared" si="1"/>
        <v>2.0343753141019206E-2</v>
      </c>
      <c r="O31" s="42">
        <v>0.94917799999999997</v>
      </c>
      <c r="Q31" s="44">
        <v>2643.27</v>
      </c>
      <c r="R31" s="81">
        <f t="shared" si="0"/>
        <v>0.32840989044125041</v>
      </c>
      <c r="Y31" s="114"/>
      <c r="Z31" s="115"/>
    </row>
    <row r="32" spans="1:26" ht="16.5" thickBot="1">
      <c r="A32" s="40">
        <f>+kri!A32</f>
        <v>31</v>
      </c>
      <c r="B32" s="27">
        <f>+Table1[[#This Row],[Volume P]]</f>
        <v>1511.3</v>
      </c>
      <c r="C32" s="41" t="str">
        <f>+Table1[[#This Row],[Modality]]</f>
        <v>ct</v>
      </c>
      <c r="D32" s="73"/>
      <c r="E32" s="52">
        <f>+Table1[[#This Row],[Volume A]]</f>
        <v>1453.5</v>
      </c>
      <c r="F32" s="5">
        <f>ABS((Table1[[#This Row],[Volume A]]-Table1[[#This Row],[Volume P]])/Table1[[#This Row],[Volume P]])</f>
        <v>3.8245219347581523E-2</v>
      </c>
      <c r="G32" s="79">
        <v>0.92</v>
      </c>
      <c r="H32" s="3"/>
      <c r="I32" s="52">
        <v>1607.99</v>
      </c>
      <c r="J32" s="51">
        <f t="shared" si="2"/>
        <v>6.3978032157745029E-2</v>
      </c>
      <c r="K32" s="55">
        <v>0.91510000000000002</v>
      </c>
      <c r="N32" s="36"/>
      <c r="Q32" s="44">
        <v>1706.59</v>
      </c>
      <c r="R32" s="81">
        <f t="shared" si="0"/>
        <v>0.12921987692714879</v>
      </c>
      <c r="Y32" s="116"/>
      <c r="Z32" s="117"/>
    </row>
    <row r="33" spans="1:20">
      <c r="A33" s="40">
        <f>+kri!A33</f>
        <v>32</v>
      </c>
      <c r="B33" s="27">
        <f>+Table1[[#This Row],[Volume P]]</f>
        <v>1205.5</v>
      </c>
      <c r="C33" s="41" t="str">
        <f>+Table1[[#This Row],[Modality]]</f>
        <v>ct</v>
      </c>
      <c r="D33" s="73"/>
      <c r="E33" s="52">
        <f>+Table1[[#This Row],[Volume A]]</f>
        <v>1174.7</v>
      </c>
      <c r="F33" s="5">
        <f>ABS((Table1[[#This Row],[Volume A]]-Table1[[#This Row],[Volume P]])/Table1[[#This Row],[Volume P]])</f>
        <v>2.554956449605969E-2</v>
      </c>
      <c r="G33" s="79">
        <v>0.748</v>
      </c>
      <c r="H33" s="3"/>
      <c r="I33" s="52">
        <v>1054.97</v>
      </c>
      <c r="J33" s="51">
        <f t="shared" si="2"/>
        <v>0.12486934881791785</v>
      </c>
      <c r="K33" s="55">
        <v>0.8347</v>
      </c>
      <c r="N33" s="36"/>
      <c r="Q33" s="44">
        <v>1210.6300000000001</v>
      </c>
      <c r="R33" s="81">
        <f t="shared" si="0"/>
        <v>4.2554956449606879E-3</v>
      </c>
    </row>
    <row r="34" spans="1:20">
      <c r="A34" s="40">
        <f>+kri!A34</f>
        <v>33</v>
      </c>
      <c r="B34" s="27">
        <f>+Table1[[#This Row],[Volume P]]</f>
        <v>1556.7</v>
      </c>
      <c r="C34" s="41" t="str">
        <f>+Table1[[#This Row],[Modality]]</f>
        <v>ct</v>
      </c>
      <c r="D34" s="73"/>
      <c r="E34" s="52">
        <f>+Table1[[#This Row],[Volume A]]</f>
        <v>1499.6</v>
      </c>
      <c r="F34" s="5">
        <f>ABS((Table1[[#This Row],[Volume A]]-Table1[[#This Row],[Volume P]])/Table1[[#This Row],[Volume P]])</f>
        <v>3.6680156741825745E-2</v>
      </c>
      <c r="G34" s="79">
        <v>0.95299999999999996</v>
      </c>
      <c r="H34" s="3"/>
      <c r="I34" s="52">
        <v>1566.83</v>
      </c>
      <c r="J34" s="51">
        <f t="shared" si="2"/>
        <v>6.5073553028842301E-3</v>
      </c>
      <c r="K34" s="55">
        <v>0.95640000000000003</v>
      </c>
      <c r="N34" s="36"/>
      <c r="Q34" s="44">
        <v>833.41499999999996</v>
      </c>
      <c r="R34" s="81">
        <f t="shared" si="0"/>
        <v>0.46462709577953365</v>
      </c>
    </row>
    <row r="35" spans="1:20">
      <c r="A35" s="40">
        <f>+kri!A35</f>
        <v>34</v>
      </c>
      <c r="B35" s="27">
        <f>+Table1[[#This Row],[Volume P]]</f>
        <v>1294.5999999999999</v>
      </c>
      <c r="C35" s="41" t="str">
        <f>+Table1[[#This Row],[Modality]]</f>
        <v>mr</v>
      </c>
      <c r="D35" s="73"/>
      <c r="E35" s="52">
        <f>+Table1[[#This Row],[Volume A]]</f>
        <v>1339</v>
      </c>
      <c r="F35" s="5">
        <f>ABS((Table1[[#This Row],[Volume A]]-Table1[[#This Row],[Volume P]])/Table1[[#This Row],[Volume P]])</f>
        <v>3.4296307739842498E-2</v>
      </c>
      <c r="G35" s="79">
        <v>0.88900000000000001</v>
      </c>
      <c r="H35" s="3"/>
      <c r="J35" s="51"/>
      <c r="K35" s="56"/>
      <c r="M35" s="23">
        <v>1336.71</v>
      </c>
      <c r="N35" s="36">
        <f t="shared" si="1"/>
        <v>3.2527421597404703E-2</v>
      </c>
      <c r="O35" s="42">
        <v>0.93512600000000001</v>
      </c>
      <c r="Q35" s="44">
        <v>1037.95</v>
      </c>
      <c r="R35" s="81">
        <f t="shared" si="0"/>
        <v>0.19824656264483229</v>
      </c>
      <c r="T35" s="16" t="s">
        <v>26</v>
      </c>
    </row>
    <row r="36" spans="1:20">
      <c r="A36" s="40">
        <f>+kri!A36</f>
        <v>35</v>
      </c>
      <c r="B36" s="27">
        <f>+Table1[[#This Row],[Volume P]]</f>
        <v>1109.0999999999999</v>
      </c>
      <c r="C36" s="41" t="str">
        <f>+Table1[[#This Row],[Modality]]</f>
        <v>ct</v>
      </c>
      <c r="D36" s="73"/>
      <c r="E36" s="52">
        <f>+Table1[[#This Row],[Volume A]]</f>
        <v>1049</v>
      </c>
      <c r="F36" s="5">
        <f>ABS((Table1[[#This Row],[Volume A]]-Table1[[#This Row],[Volume P]])/Table1[[#This Row],[Volume P]])</f>
        <v>5.4188080425570204E-2</v>
      </c>
      <c r="G36" s="79">
        <v>0.63</v>
      </c>
      <c r="H36" s="3"/>
      <c r="I36" s="52">
        <v>1150.19</v>
      </c>
      <c r="J36" s="51">
        <f t="shared" si="2"/>
        <v>3.7048056983139614E-2</v>
      </c>
      <c r="K36" s="55">
        <v>0.89890000000000003</v>
      </c>
      <c r="N36" s="36"/>
      <c r="Q36" s="44">
        <v>1279.22</v>
      </c>
      <c r="R36" s="81">
        <f t="shared" si="0"/>
        <v>0.15338562798665598</v>
      </c>
      <c r="T36" s="16" t="s">
        <v>26</v>
      </c>
    </row>
    <row r="37" spans="1:20">
      <c r="A37" s="40">
        <f>+kri!A37</f>
        <v>36</v>
      </c>
      <c r="B37" s="27">
        <f>+Table1[[#This Row],[Volume P]]</f>
        <v>1062.8</v>
      </c>
      <c r="C37" s="41" t="str">
        <f>+Table1[[#This Row],[Modality]]</f>
        <v>mr</v>
      </c>
      <c r="D37" s="73"/>
      <c r="E37" s="52">
        <f>+Table1[[#This Row],[Volume A]]</f>
        <v>1069</v>
      </c>
      <c r="F37" s="5">
        <f>ABS((Table1[[#This Row],[Volume A]]-Table1[[#This Row],[Volume P]])/Table1[[#This Row],[Volume P]])</f>
        <v>5.833646970267262E-3</v>
      </c>
      <c r="G37" s="79">
        <v>0.95</v>
      </c>
      <c r="H37" s="3"/>
      <c r="J37" s="51"/>
      <c r="K37" s="56"/>
      <c r="M37" s="23">
        <v>1109.0999999999999</v>
      </c>
      <c r="N37" s="36">
        <f t="shared" si="1"/>
        <v>4.35641701166729E-2</v>
      </c>
      <c r="O37" s="42">
        <v>0.93354100000000007</v>
      </c>
      <c r="Q37" s="23">
        <v>1220.81</v>
      </c>
      <c r="R37" s="82">
        <f t="shared" si="0"/>
        <v>0.14867331576966503</v>
      </c>
    </row>
    <row r="38" spans="1:20">
      <c r="A38" s="40">
        <f>+kri!A38</f>
        <v>37</v>
      </c>
      <c r="B38" s="27">
        <f>+Table1[[#This Row],[Volume P]]</f>
        <v>1624.4</v>
      </c>
      <c r="C38" s="41" t="str">
        <f>+Table1[[#This Row],[Modality]]</f>
        <v>mr</v>
      </c>
      <c r="D38" s="73"/>
      <c r="E38" s="52">
        <f>+Table1[[#This Row],[Volume A]]</f>
        <v>1717.5</v>
      </c>
      <c r="F38" s="5">
        <f>ABS((Table1[[#This Row],[Volume A]]-Table1[[#This Row],[Volume P]])/Table1[[#This Row],[Volume P]])</f>
        <v>5.7313469588771176E-2</v>
      </c>
      <c r="G38" s="79">
        <v>0.94700000000000006</v>
      </c>
      <c r="H38" s="3"/>
      <c r="J38" s="51"/>
      <c r="K38" s="56"/>
      <c r="M38" s="23">
        <v>1684.75</v>
      </c>
      <c r="N38" s="36">
        <f t="shared" si="1"/>
        <v>3.7152179266190535E-2</v>
      </c>
      <c r="O38" s="42">
        <v>0.91717899999999997</v>
      </c>
      <c r="Q38" s="44">
        <v>1746.34</v>
      </c>
      <c r="R38" s="81">
        <f t="shared" si="0"/>
        <v>7.5067717311007032E-2</v>
      </c>
    </row>
    <row r="39" spans="1:20">
      <c r="A39" s="40">
        <f>+kri!A39</f>
        <v>38</v>
      </c>
      <c r="B39" s="27">
        <f>+Table1[[#This Row],[Volume P]]</f>
        <v>3489.7</v>
      </c>
      <c r="C39" s="41" t="str">
        <f>+Table1[[#This Row],[Modality]]</f>
        <v>ct</v>
      </c>
      <c r="D39" s="73"/>
      <c r="E39" s="52">
        <f>+Table1[[#This Row],[Volume A]]</f>
        <v>3371.7</v>
      </c>
      <c r="F39" s="5">
        <f>ABS((Table1[[#This Row],[Volume A]]-Table1[[#This Row],[Volume P]])/Table1[[#This Row],[Volume P]])</f>
        <v>3.3813794882081555E-2</v>
      </c>
      <c r="G39" s="79">
        <v>0.95900000000000007</v>
      </c>
      <c r="H39" s="3"/>
      <c r="I39" s="52">
        <v>3079.66</v>
      </c>
      <c r="J39" s="51">
        <f t="shared" si="2"/>
        <v>0.11750007163939594</v>
      </c>
      <c r="K39" s="55">
        <v>0.92549999999999999</v>
      </c>
      <c r="N39" s="36"/>
      <c r="Q39" s="44">
        <v>3474.18</v>
      </c>
      <c r="R39" s="81">
        <f t="shared" si="0"/>
        <v>4.4473736997449591E-3</v>
      </c>
    </row>
    <row r="40" spans="1:20">
      <c r="A40" s="40">
        <f>+kri!A40</f>
        <v>39</v>
      </c>
      <c r="B40" s="27">
        <f>+Table1[[#This Row],[Volume P]]</f>
        <v>0</v>
      </c>
      <c r="C40" s="28">
        <f>+Table1[[#This Row],[Modality]]</f>
        <v>0</v>
      </c>
      <c r="F40" s="5"/>
      <c r="G40" s="79"/>
      <c r="J40" s="51"/>
      <c r="K40" s="56"/>
      <c r="N40" s="36"/>
      <c r="T40" s="16" t="s">
        <v>27</v>
      </c>
    </row>
    <row r="41" spans="1:20">
      <c r="A41" s="40">
        <f>+kri!A41</f>
        <v>40</v>
      </c>
      <c r="B41" s="27">
        <f>+Table1[[#This Row],[Volume P]]</f>
        <v>1176.0999999999999</v>
      </c>
      <c r="C41" s="41" t="str">
        <f>+Table1[[#This Row],[Modality]]</f>
        <v>mr</v>
      </c>
      <c r="D41" s="73"/>
      <c r="E41" s="52">
        <f>+Table1[[#This Row],[Volume A]]</f>
        <v>1266</v>
      </c>
      <c r="F41" s="5">
        <f>ABS((Table1[[#This Row],[Volume A]]-Table1[[#This Row],[Volume P]])/Table1[[#This Row],[Volume P]])</f>
        <v>7.6439078309667632E-2</v>
      </c>
      <c r="G41" s="79">
        <v>0.91799999999999993</v>
      </c>
      <c r="H41" s="3"/>
      <c r="J41" s="51"/>
      <c r="K41" s="56"/>
      <c r="M41" s="23">
        <v>1217.24</v>
      </c>
      <c r="N41" s="36">
        <f t="shared" si="1"/>
        <v>3.4980018705892443E-2</v>
      </c>
      <c r="O41" s="42">
        <v>0.93373500000000009</v>
      </c>
      <c r="Q41" s="44">
        <v>1188.3399999999999</v>
      </c>
      <c r="R41" s="81">
        <f t="shared" ref="R41:R85" si="5">+ABS((Q41-B41)/B41)</f>
        <v>1.0407278292662197E-2</v>
      </c>
    </row>
    <row r="42" spans="1:20">
      <c r="A42" s="40">
        <f>+kri!A42</f>
        <v>41</v>
      </c>
      <c r="B42" s="27">
        <f>+Table1[[#This Row],[Volume P]]</f>
        <v>2513.1</v>
      </c>
      <c r="C42" s="41" t="str">
        <f>+Table1[[#This Row],[Modality]]</f>
        <v>mr</v>
      </c>
      <c r="D42" s="73"/>
      <c r="E42" s="52">
        <f>+Table1[[#This Row],[Volume A]]</f>
        <v>2609.6999999999998</v>
      </c>
      <c r="F42" s="5">
        <f>ABS((Table1[[#This Row],[Volume A]]-Table1[[#This Row],[Volume P]])/Table1[[#This Row],[Volume P]])</f>
        <v>3.8438581831204452E-2</v>
      </c>
      <c r="G42" s="79">
        <v>0.88800000000000001</v>
      </c>
      <c r="H42" s="3"/>
      <c r="J42" s="51"/>
      <c r="K42" s="56"/>
      <c r="M42" s="23">
        <v>2674.48</v>
      </c>
      <c r="N42" s="36">
        <f t="shared" si="1"/>
        <v>6.4215510723807295E-2</v>
      </c>
      <c r="O42" s="42">
        <v>0.92842200000000008</v>
      </c>
      <c r="Q42" s="23">
        <v>3089.17</v>
      </c>
      <c r="R42" s="82">
        <f t="shared" si="5"/>
        <v>0.22922685129919232</v>
      </c>
    </row>
    <row r="43" spans="1:20">
      <c r="A43" s="40">
        <f>+kri!A43</f>
        <v>42</v>
      </c>
      <c r="B43" s="27">
        <f>+Table1[[#This Row],[Volume P]]</f>
        <v>2818.8</v>
      </c>
      <c r="C43" s="41" t="str">
        <f>+Table1[[#This Row],[Modality]]</f>
        <v>mr</v>
      </c>
      <c r="D43" s="73"/>
      <c r="E43" s="52">
        <f>+Table1[[#This Row],[Volume A]]</f>
        <v>2962.4</v>
      </c>
      <c r="F43" s="5">
        <f>ABS((Table1[[#This Row],[Volume A]]-Table1[[#This Row],[Volume P]])/Table1[[#This Row],[Volume P]])</f>
        <v>5.094366397048386E-2</v>
      </c>
      <c r="G43" s="79">
        <v>0.93900000000000006</v>
      </c>
      <c r="H43" s="3"/>
      <c r="J43" s="51"/>
      <c r="K43" s="56"/>
      <c r="M43" s="52">
        <v>2863.1</v>
      </c>
      <c r="N43" s="62">
        <f t="shared" si="1"/>
        <v>1.5715907478359489E-2</v>
      </c>
      <c r="O43" s="63">
        <v>0.88900000000000001</v>
      </c>
      <c r="Q43" s="44">
        <v>3256.97</v>
      </c>
      <c r="R43" s="81">
        <f t="shared" si="5"/>
        <v>0.15544557967929601</v>
      </c>
    </row>
    <row r="44" spans="1:20">
      <c r="A44" s="40">
        <f>+kri!A44</f>
        <v>43</v>
      </c>
      <c r="B44" s="27">
        <f>+Table1[[#This Row],[Volume P]]</f>
        <v>3648.8</v>
      </c>
      <c r="C44" s="41" t="str">
        <f>+Table1[[#This Row],[Modality]]</f>
        <v>ct</v>
      </c>
      <c r="D44" s="73"/>
      <c r="E44" s="52">
        <f>+Table1[[#This Row],[Volume A]]</f>
        <v>3499.1</v>
      </c>
      <c r="F44" s="5">
        <f>ABS((Table1[[#This Row],[Volume A]]-Table1[[#This Row],[Volume P]])/Table1[[#This Row],[Volume P]])</f>
        <v>4.1027187020390335E-2</v>
      </c>
      <c r="G44" s="79">
        <v>0.92900000000000005</v>
      </c>
      <c r="H44" s="3"/>
      <c r="I44" s="52">
        <v>2911.33</v>
      </c>
      <c r="J44" s="51">
        <f t="shared" si="2"/>
        <v>0.20211302345976764</v>
      </c>
      <c r="K44" s="56">
        <v>0.85880000000000001</v>
      </c>
      <c r="N44" s="36"/>
      <c r="Q44" s="44">
        <v>2848.14</v>
      </c>
      <c r="R44" s="81">
        <f t="shared" si="5"/>
        <v>0.21943104582328443</v>
      </c>
      <c r="T44" s="16" t="s">
        <v>25</v>
      </c>
    </row>
    <row r="45" spans="1:20">
      <c r="A45" s="40">
        <f>+kri!A45</f>
        <v>44</v>
      </c>
      <c r="B45" s="27">
        <f>+Table1[[#This Row],[Volume P]]</f>
        <v>2262.6999999999998</v>
      </c>
      <c r="C45" s="41" t="str">
        <f>+Table1[[#This Row],[Modality]]</f>
        <v>mr</v>
      </c>
      <c r="D45" s="73"/>
      <c r="E45" s="52">
        <f>+Table1[[#This Row],[Volume A]]</f>
        <v>2536</v>
      </c>
      <c r="F45" s="5">
        <f>ABS((Table1[[#This Row],[Volume A]]-Table1[[#This Row],[Volume P]])/Table1[[#This Row],[Volume P]])</f>
        <v>0.1207849029920008</v>
      </c>
      <c r="G45" s="79">
        <v>0.9</v>
      </c>
      <c r="H45" s="3"/>
      <c r="J45" s="51"/>
      <c r="K45" s="56"/>
      <c r="N45" s="36"/>
      <c r="Q45" s="44">
        <v>2483.09</v>
      </c>
      <c r="R45" s="81">
        <f t="shared" si="5"/>
        <v>9.7401334688646465E-2</v>
      </c>
      <c r="T45" s="16" t="s">
        <v>46</v>
      </c>
    </row>
    <row r="46" spans="1:20">
      <c r="A46" s="40">
        <f>+kri!A46</f>
        <v>45</v>
      </c>
      <c r="B46" s="27">
        <f>+Table1[[#This Row],[Volume P]]</f>
        <v>1299.3</v>
      </c>
      <c r="C46" s="41" t="str">
        <f>+Table1[[#This Row],[Modality]]</f>
        <v>ct</v>
      </c>
      <c r="D46" s="73"/>
      <c r="E46" s="52">
        <f>+Table1[[#This Row],[Volume A]]</f>
        <v>1298.8</v>
      </c>
      <c r="F46" s="5">
        <f>ABS((Table1[[#This Row],[Volume A]]-Table1[[#This Row],[Volume P]])/Table1[[#This Row],[Volume P]])</f>
        <v>3.8482259678288309E-4</v>
      </c>
      <c r="G46" s="79">
        <v>1</v>
      </c>
      <c r="H46" s="3"/>
      <c r="I46" s="52">
        <v>1306.32</v>
      </c>
      <c r="J46" s="51">
        <f t="shared" si="2"/>
        <v>5.4029092588316644E-3</v>
      </c>
      <c r="K46" s="55">
        <v>0.91159999999999997</v>
      </c>
      <c r="N46" s="36"/>
      <c r="Q46" s="44">
        <v>1144.73</v>
      </c>
      <c r="R46" s="81">
        <f t="shared" si="5"/>
        <v>0.11896405756946044</v>
      </c>
    </row>
    <row r="47" spans="1:20">
      <c r="A47" s="40">
        <f>+kri!A47</f>
        <v>46</v>
      </c>
      <c r="B47" s="27">
        <f>+Table1[[#This Row],[Volume P]]</f>
        <v>1182.5999999999999</v>
      </c>
      <c r="C47" s="41" t="str">
        <f>+Table1[[#This Row],[Modality]]</f>
        <v>mr</v>
      </c>
      <c r="D47" s="73"/>
      <c r="E47" s="52">
        <f>+Table1[[#This Row],[Volume A]]</f>
        <v>1318.9</v>
      </c>
      <c r="F47" s="5">
        <f>ABS((Table1[[#This Row],[Volume A]]-Table1[[#This Row],[Volume P]])/Table1[[#This Row],[Volume P]])</f>
        <v>0.11525452393032318</v>
      </c>
      <c r="G47" s="79">
        <v>0.63700000000000001</v>
      </c>
      <c r="H47" s="3"/>
      <c r="J47" s="51"/>
      <c r="K47" s="56"/>
      <c r="M47" s="23">
        <v>1224.79</v>
      </c>
      <c r="N47" s="36">
        <f t="shared" si="1"/>
        <v>3.567562996786746E-2</v>
      </c>
      <c r="O47" s="42">
        <v>0.93404100000000001</v>
      </c>
      <c r="Q47" s="44">
        <v>1250.8800000000001</v>
      </c>
      <c r="R47" s="81">
        <f t="shared" si="5"/>
        <v>5.7737189244038735E-2</v>
      </c>
    </row>
    <row r="48" spans="1:20">
      <c r="A48" s="40">
        <f>+kri!A48</f>
        <v>47</v>
      </c>
      <c r="B48" s="27">
        <f>+Table1[[#This Row],[Volume P]]</f>
        <v>1298.4000000000001</v>
      </c>
      <c r="C48" s="41" t="str">
        <f>+Table1[[#This Row],[Modality]]</f>
        <v>ct</v>
      </c>
      <c r="D48" s="73"/>
      <c r="E48" s="52">
        <f>+Table1[[#This Row],[Volume A]]</f>
        <v>1316.5</v>
      </c>
      <c r="F48" s="5">
        <f>ABS((Table1[[#This Row],[Volume A]]-Table1[[#This Row],[Volume P]])/Table1[[#This Row],[Volume P]])</f>
        <v>1.3940234134319092E-2</v>
      </c>
      <c r="G48" s="79">
        <v>0.7609999999999999</v>
      </c>
      <c r="H48" s="3"/>
      <c r="I48" s="52">
        <v>1284.98</v>
      </c>
      <c r="J48" s="51">
        <f t="shared" si="2"/>
        <v>1.0335797905114042E-2</v>
      </c>
      <c r="K48" s="55">
        <v>0.91169999999999995</v>
      </c>
      <c r="N48" s="36"/>
      <c r="Q48" s="44">
        <v>1578.94</v>
      </c>
      <c r="R48" s="81">
        <f t="shared" si="5"/>
        <v>0.21606592729513244</v>
      </c>
    </row>
    <row r="49" spans="1:18">
      <c r="A49" s="40">
        <f>+kri!A49</f>
        <v>48</v>
      </c>
      <c r="B49" s="27">
        <f>+Table1[[#This Row],[Volume P]]</f>
        <v>1361.1</v>
      </c>
      <c r="C49" s="41" t="str">
        <f>+Table1[[#This Row],[Modality]]</f>
        <v>ct</v>
      </c>
      <c r="D49" s="73"/>
      <c r="E49" s="52">
        <f>+Table1[[#This Row],[Volume A]]</f>
        <v>1340.9</v>
      </c>
      <c r="F49" s="5">
        <f>ABS((Table1[[#This Row],[Volume A]]-Table1[[#This Row],[Volume P]])/Table1[[#This Row],[Volume P]])</f>
        <v>1.4840937477040496E-2</v>
      </c>
      <c r="G49" s="79">
        <v>0.9</v>
      </c>
      <c r="H49" s="3"/>
      <c r="I49" s="52">
        <v>1320.03</v>
      </c>
      <c r="J49" s="51">
        <f t="shared" si="2"/>
        <v>3.0174123870398896E-2</v>
      </c>
      <c r="K49" s="55">
        <v>0.95179999999999998</v>
      </c>
      <c r="N49" s="36"/>
      <c r="Q49" s="44">
        <v>1505.33</v>
      </c>
      <c r="R49" s="81">
        <f t="shared" si="5"/>
        <v>0.10596576298582032</v>
      </c>
    </row>
    <row r="50" spans="1:18">
      <c r="A50" s="40">
        <f>+kri!A50</f>
        <v>49</v>
      </c>
      <c r="B50" s="27">
        <f>+Table1[[#This Row],[Volume P]]</f>
        <v>1260.3</v>
      </c>
      <c r="C50" s="41" t="str">
        <f>+Table1[[#This Row],[Modality]]</f>
        <v>mr</v>
      </c>
      <c r="D50" s="73"/>
      <c r="E50" s="52">
        <f>+Table1[[#This Row],[Volume A]]</f>
        <v>1291.5999999999999</v>
      </c>
      <c r="F50" s="5">
        <f>ABS((Table1[[#This Row],[Volume A]]-Table1[[#This Row],[Volume P]])/Table1[[#This Row],[Volume P]])</f>
        <v>2.4835356661112397E-2</v>
      </c>
      <c r="G50" s="79">
        <v>0.89599999999999991</v>
      </c>
      <c r="H50" s="3"/>
      <c r="J50" s="51"/>
      <c r="K50" s="56"/>
      <c r="M50" s="23">
        <v>1208.56</v>
      </c>
      <c r="N50" s="36">
        <f t="shared" si="1"/>
        <v>4.1053717368880437E-2</v>
      </c>
      <c r="O50" s="42">
        <v>0.94564599999999999</v>
      </c>
      <c r="Q50" s="44">
        <v>986.79100000000005</v>
      </c>
      <c r="R50" s="81">
        <f t="shared" si="5"/>
        <v>0.21701896373879229</v>
      </c>
    </row>
    <row r="51" spans="1:18">
      <c r="A51" s="40">
        <f>+kri!A51</f>
        <v>50</v>
      </c>
      <c r="B51" s="27">
        <f>+Table1[[#This Row],[Volume P]]</f>
        <v>1461.1</v>
      </c>
      <c r="C51" s="41" t="str">
        <f>+Table1[[#This Row],[Modality]]</f>
        <v>mr</v>
      </c>
      <c r="D51" s="73"/>
      <c r="E51" s="52">
        <f>+Table1[[#This Row],[Volume A]]</f>
        <v>1526</v>
      </c>
      <c r="F51" s="5">
        <f>ABS((Table1[[#This Row],[Volume A]]-Table1[[#This Row],[Volume P]])/Table1[[#This Row],[Volume P]])</f>
        <v>4.4418588734515159E-2</v>
      </c>
      <c r="G51" s="79">
        <v>0.93500000000000005</v>
      </c>
      <c r="H51" s="3"/>
      <c r="J51" s="51"/>
      <c r="K51" s="56"/>
      <c r="M51" s="23">
        <v>1437.44</v>
      </c>
      <c r="N51" s="36">
        <f t="shared" si="1"/>
        <v>1.6193279036342382E-2</v>
      </c>
      <c r="O51" s="42">
        <v>0.94772800000000001</v>
      </c>
      <c r="Q51" s="44">
        <v>1385.28</v>
      </c>
      <c r="R51" s="81">
        <f t="shared" si="5"/>
        <v>5.1892409828211583E-2</v>
      </c>
    </row>
    <row r="52" spans="1:18">
      <c r="A52" s="40">
        <f>+kri!A52</f>
        <v>51</v>
      </c>
      <c r="B52" s="27">
        <f>+Table1[[#This Row],[Volume P]]</f>
        <v>1521</v>
      </c>
      <c r="C52" s="41" t="str">
        <f>+Table1[[#This Row],[Modality]]</f>
        <v>ct</v>
      </c>
      <c r="D52" s="73"/>
      <c r="E52" s="52">
        <f>+Table1[[#This Row],[Volume A]]</f>
        <v>1494.2</v>
      </c>
      <c r="F52" s="5">
        <f>ABS((Table1[[#This Row],[Volume A]]-Table1[[#This Row],[Volume P]])/Table1[[#This Row],[Volume P]])</f>
        <v>1.7619986850756053E-2</v>
      </c>
      <c r="G52" s="79">
        <v>0.83400000000000007</v>
      </c>
      <c r="H52" s="3"/>
      <c r="I52" s="52">
        <v>204.72800000000001</v>
      </c>
      <c r="J52" s="51">
        <f t="shared" si="2"/>
        <v>0.86539907955292561</v>
      </c>
      <c r="K52" s="56">
        <v>0.2366</v>
      </c>
      <c r="N52" s="36"/>
      <c r="Q52" s="44">
        <v>1180.6500000000001</v>
      </c>
      <c r="R52" s="81">
        <f t="shared" si="5"/>
        <v>0.22376725838264294</v>
      </c>
    </row>
    <row r="53" spans="1:18">
      <c r="A53" s="40">
        <f>+kri!A53</f>
        <v>52</v>
      </c>
      <c r="B53" s="27">
        <v>2069.1</v>
      </c>
      <c r="C53" s="41" t="str">
        <f>+Table1[[#This Row],[Modality]]</f>
        <v>ct</v>
      </c>
      <c r="D53" s="73"/>
      <c r="E53" s="52">
        <f>+Table1[[#This Row],[Volume A]]</f>
        <v>2111.6999999999998</v>
      </c>
      <c r="F53" s="6">
        <f>ABS((Table1[[#This Row],[Volume A]]-Table1[[#This Row],[Volume P]])/Table1[[#This Row],[Volume P]])</f>
        <v>2.0588661736987052E-2</v>
      </c>
      <c r="G53" s="79">
        <v>0.86199999999999999</v>
      </c>
      <c r="H53" s="3"/>
      <c r="I53" s="52">
        <v>2132.17</v>
      </c>
      <c r="J53" s="51">
        <f t="shared" si="2"/>
        <v>3.0481852012952573E-2</v>
      </c>
      <c r="K53" s="56">
        <v>0.91200000000000003</v>
      </c>
      <c r="N53" s="36"/>
      <c r="Q53" s="44">
        <v>2103.15</v>
      </c>
      <c r="R53" s="81">
        <f t="shared" si="5"/>
        <v>1.6456430332028506E-2</v>
      </c>
    </row>
    <row r="54" spans="1:18">
      <c r="A54" s="40">
        <f>+kri!A54</f>
        <v>53</v>
      </c>
      <c r="B54" s="27">
        <f>+Table1[[#This Row],[Volume P]]</f>
        <v>3021.9</v>
      </c>
      <c r="C54" s="41" t="str">
        <f>+Table1[[#This Row],[Modality]]</f>
        <v>ct</v>
      </c>
      <c r="D54" s="73"/>
      <c r="E54" s="52">
        <f>+Table1[[#This Row],[Volume A]]</f>
        <v>2898.1</v>
      </c>
      <c r="F54" s="5">
        <f>ABS((Table1[[#This Row],[Volume A]]-Table1[[#This Row],[Volume P]])/Table1[[#This Row],[Volume P]])</f>
        <v>4.0967603163572647E-2</v>
      </c>
      <c r="G54" s="79">
        <v>0.93299999999999994</v>
      </c>
      <c r="H54" s="3"/>
      <c r="I54" s="52">
        <v>3118.28</v>
      </c>
      <c r="J54" s="51">
        <f t="shared" si="2"/>
        <v>3.1893841622820114E-2</v>
      </c>
      <c r="K54" s="55">
        <v>0.90269999999999995</v>
      </c>
      <c r="N54" s="36"/>
      <c r="Q54" s="44">
        <v>2834.3</v>
      </c>
      <c r="R54" s="81">
        <f t="shared" si="5"/>
        <v>6.2080148251100267E-2</v>
      </c>
    </row>
    <row r="55" spans="1:18">
      <c r="A55" s="40">
        <f>+kri!A55</f>
        <v>54</v>
      </c>
      <c r="B55" s="27">
        <f>+Table1[[#This Row],[Volume P]]</f>
        <v>2208.3000000000002</v>
      </c>
      <c r="C55" s="41" t="str">
        <f>+Table1[[#This Row],[Modality]]</f>
        <v>ct</v>
      </c>
      <c r="D55" s="73"/>
      <c r="E55" s="52">
        <f>+Table1[[#This Row],[Volume A]]</f>
        <v>2171.6999999999998</v>
      </c>
      <c r="F55" s="5">
        <f>ABS((Table1[[#This Row],[Volume A]]-Table1[[#This Row],[Volume P]])/Table1[[#This Row],[Volume P]])</f>
        <v>1.6573835076756038E-2</v>
      </c>
      <c r="G55" s="79">
        <v>0.94400000000000006</v>
      </c>
      <c r="H55" s="3"/>
      <c r="I55" s="52">
        <v>1897.91</v>
      </c>
      <c r="J55" s="51">
        <f t="shared" si="2"/>
        <v>0.14055608386541688</v>
      </c>
      <c r="K55" s="55">
        <v>0.90700000000000003</v>
      </c>
      <c r="N55" s="36"/>
      <c r="Q55" s="44">
        <v>2666.23</v>
      </c>
      <c r="R55" s="81">
        <f t="shared" si="5"/>
        <v>0.20736765837974905</v>
      </c>
    </row>
    <row r="56" spans="1:18">
      <c r="A56" s="40">
        <f>+kri!A56</f>
        <v>55</v>
      </c>
      <c r="B56" s="27">
        <f>+Table1[[#This Row],[Volume P]]</f>
        <v>2070.5</v>
      </c>
      <c r="C56" s="41" t="str">
        <f>+Table1[[#This Row],[Modality]]</f>
        <v>mr</v>
      </c>
      <c r="D56" s="73"/>
      <c r="E56" s="52">
        <f>+Table1[[#This Row],[Volume A]]</f>
        <v>2052.6999999999998</v>
      </c>
      <c r="F56" s="5">
        <f>ABS((Table1[[#This Row],[Volume A]]-Table1[[#This Row],[Volume P]])/Table1[[#This Row],[Volume P]])</f>
        <v>8.5969572567013673E-3</v>
      </c>
      <c r="G56" s="79">
        <v>0.96099999999999997</v>
      </c>
      <c r="H56" s="3"/>
      <c r="J56" s="51"/>
      <c r="K56" s="56"/>
      <c r="M56" s="23">
        <v>1988.71</v>
      </c>
      <c r="N56" s="36">
        <f t="shared" si="1"/>
        <v>3.950253561941558E-2</v>
      </c>
      <c r="O56" s="42">
        <v>0.948631</v>
      </c>
      <c r="Q56" s="44">
        <v>2044.38</v>
      </c>
      <c r="R56" s="81">
        <f t="shared" si="5"/>
        <v>1.2615310311518904E-2</v>
      </c>
    </row>
    <row r="57" spans="1:18">
      <c r="A57" s="40">
        <f>+kri!A57</f>
        <v>56</v>
      </c>
      <c r="B57" s="27">
        <f>+Table1[[#This Row],[Volume P]]</f>
        <v>1946.3</v>
      </c>
      <c r="C57" s="41" t="str">
        <f>+Table1[[#This Row],[Modality]]</f>
        <v>mr</v>
      </c>
      <c r="D57" s="73"/>
      <c r="E57" s="52">
        <f>+Table1[[#This Row],[Volume A]]</f>
        <v>1983.6</v>
      </c>
      <c r="F57" s="5">
        <f>ABS((Table1[[#This Row],[Volume A]]-Table1[[#This Row],[Volume P]])/Table1[[#This Row],[Volume P]])</f>
        <v>1.9164568668756078E-2</v>
      </c>
      <c r="G57" s="79">
        <v>0.90700000000000003</v>
      </c>
      <c r="H57" s="3"/>
      <c r="J57" s="51"/>
      <c r="K57" s="56"/>
      <c r="M57" s="23">
        <v>2184.8000000000002</v>
      </c>
      <c r="N57" s="36">
        <f t="shared" si="1"/>
        <v>0.12254020449057197</v>
      </c>
      <c r="O57" s="42">
        <v>0.88887299999999991</v>
      </c>
      <c r="Q57" s="44">
        <v>1809.44</v>
      </c>
      <c r="R57" s="81">
        <f t="shared" si="5"/>
        <v>7.0318039356728104E-2</v>
      </c>
    </row>
    <row r="58" spans="1:18">
      <c r="A58" s="40">
        <f>+kri!A58</f>
        <v>57</v>
      </c>
      <c r="B58" s="27">
        <f>+Table1[[#This Row],[Volume P]]</f>
        <v>1566.8</v>
      </c>
      <c r="C58" s="41" t="str">
        <f>+Table1[[#This Row],[Modality]]</f>
        <v>ct</v>
      </c>
      <c r="D58" s="73"/>
      <c r="E58" s="52">
        <f>+Table1[[#This Row],[Volume A]]</f>
        <v>1606</v>
      </c>
      <c r="F58" s="5">
        <f>ABS((Table1[[#This Row],[Volume A]]-Table1[[#This Row],[Volume P]])/Table1[[#This Row],[Volume P]])</f>
        <v>2.5019147306612234E-2</v>
      </c>
      <c r="G58" s="79">
        <v>0.84599999999999997</v>
      </c>
      <c r="H58" s="3"/>
      <c r="I58" s="52">
        <v>1604.75</v>
      </c>
      <c r="J58" s="51">
        <f t="shared" si="2"/>
        <v>2.4221342864437098E-2</v>
      </c>
      <c r="K58" s="55">
        <v>0.90449999999999997</v>
      </c>
      <c r="N58" s="36"/>
      <c r="Q58" s="44">
        <v>1892.8</v>
      </c>
      <c r="R58" s="81">
        <f t="shared" si="5"/>
        <v>0.20806739851927497</v>
      </c>
    </row>
    <row r="59" spans="1:18">
      <c r="A59" s="40">
        <f>+kri!A59</f>
        <v>58</v>
      </c>
      <c r="B59" s="27">
        <f>+Table1[[#This Row],[Volume P]]</f>
        <v>1748.6</v>
      </c>
      <c r="C59" s="41" t="str">
        <f>+Table1[[#This Row],[Modality]]</f>
        <v>ct</v>
      </c>
      <c r="D59" s="73"/>
      <c r="E59" s="52">
        <f>+Table1[[#This Row],[Volume A]]</f>
        <v>1708.3</v>
      </c>
      <c r="F59" s="5">
        <f>ABS((Table1[[#This Row],[Volume A]]-Table1[[#This Row],[Volume P]])/Table1[[#This Row],[Volume P]])</f>
        <v>2.3047009035800044E-2</v>
      </c>
      <c r="G59" s="79">
        <v>0.879</v>
      </c>
      <c r="H59" s="3"/>
      <c r="I59" s="52">
        <v>1791.65</v>
      </c>
      <c r="J59" s="51">
        <f t="shared" si="2"/>
        <v>2.461969575660539E-2</v>
      </c>
      <c r="K59" s="55">
        <v>0.92800000000000005</v>
      </c>
      <c r="N59" s="36"/>
      <c r="Q59" s="44">
        <v>2167.96</v>
      </c>
      <c r="R59" s="81">
        <f t="shared" si="5"/>
        <v>0.23982614663159108</v>
      </c>
    </row>
    <row r="60" spans="1:18">
      <c r="A60" s="40">
        <f>+kri!A60</f>
        <v>59</v>
      </c>
      <c r="B60" s="27">
        <f>+Table1[[#This Row],[Volume P]]</f>
        <v>1504.3</v>
      </c>
      <c r="C60" s="41" t="str">
        <f>+Table1[[#This Row],[Modality]]</f>
        <v>ct</v>
      </c>
      <c r="D60" s="73"/>
      <c r="E60" s="52">
        <f>+Table1[[#This Row],[Volume A]]</f>
        <v>1474.3</v>
      </c>
      <c r="F60" s="5">
        <f>ABS((Table1[[#This Row],[Volume A]]-Table1[[#This Row],[Volume P]])/Table1[[#This Row],[Volume P]])</f>
        <v>1.9942830552416406E-2</v>
      </c>
      <c r="G60" s="79">
        <v>0.92099999999999993</v>
      </c>
      <c r="H60" s="3"/>
      <c r="I60" s="52">
        <v>1426.29</v>
      </c>
      <c r="J60" s="51">
        <f t="shared" si="2"/>
        <v>5.1858007046466793E-2</v>
      </c>
      <c r="K60" s="55">
        <v>0.93379999999999996</v>
      </c>
      <c r="N60" s="36"/>
      <c r="Q60" s="44">
        <v>1530.38</v>
      </c>
      <c r="R60" s="81">
        <f t="shared" si="5"/>
        <v>1.7336967360234098E-2</v>
      </c>
    </row>
    <row r="61" spans="1:18">
      <c r="A61" s="40">
        <f>+kri!A61</f>
        <v>60</v>
      </c>
      <c r="B61" s="27">
        <f>+Table1[[#This Row],[Volume P]]</f>
        <v>6702.5</v>
      </c>
      <c r="C61" s="41" t="str">
        <f>+Table1[[#This Row],[Modality]]</f>
        <v>ct</v>
      </c>
      <c r="D61" s="73"/>
      <c r="E61" s="52">
        <f>+Table1[[#This Row],[Volume A]]</f>
        <v>6568.9</v>
      </c>
      <c r="F61" s="5">
        <f>ABS((Table1[[#This Row],[Volume A]]-Table1[[#This Row],[Volume P]])/Table1[[#This Row],[Volume P]])</f>
        <v>1.9932860872808707E-2</v>
      </c>
      <c r="G61" s="79">
        <v>0.91</v>
      </c>
      <c r="H61" s="3"/>
      <c r="I61" s="52">
        <v>1965.81</v>
      </c>
      <c r="J61" s="51">
        <f t="shared" si="2"/>
        <v>0.70670496083550927</v>
      </c>
      <c r="K61" s="55">
        <v>0.44429999999999997</v>
      </c>
      <c r="N61" s="36"/>
      <c r="Q61" s="44">
        <v>6760.81</v>
      </c>
      <c r="R61" s="81">
        <f t="shared" si="5"/>
        <v>8.6997389033943162E-3</v>
      </c>
    </row>
    <row r="62" spans="1:18">
      <c r="A62" s="40">
        <f>+kri!A62</f>
        <v>61</v>
      </c>
      <c r="B62" s="27">
        <f>+Table1[[#This Row],[Volume P]]</f>
        <v>1557.1</v>
      </c>
      <c r="C62" s="41" t="str">
        <f>+Table1[[#This Row],[Modality]]</f>
        <v>ct</v>
      </c>
      <c r="D62" s="73"/>
      <c r="E62" s="52">
        <f>+Table1[[#This Row],[Volume A]]</f>
        <v>1663.3</v>
      </c>
      <c r="F62" s="5">
        <f>ABS((Table1[[#This Row],[Volume A]]-Table1[[#This Row],[Volume P]])/Table1[[#This Row],[Volume P]])</f>
        <v>6.8203712028771471E-2</v>
      </c>
      <c r="G62" s="79">
        <v>0.85299999999999998</v>
      </c>
      <c r="H62" s="3"/>
      <c r="I62" s="52">
        <v>1285.73</v>
      </c>
      <c r="J62" s="51">
        <f t="shared" si="2"/>
        <v>0.17427910859931919</v>
      </c>
      <c r="K62" s="55">
        <v>0.85040000000000004</v>
      </c>
      <c r="N62" s="36"/>
      <c r="Q62" s="44">
        <v>1893.57</v>
      </c>
      <c r="R62" s="81">
        <f t="shared" si="5"/>
        <v>0.21608759874124978</v>
      </c>
    </row>
    <row r="63" spans="1:18">
      <c r="A63" s="40">
        <f>+kri!A63</f>
        <v>62</v>
      </c>
      <c r="B63" s="27">
        <f>+Table1[[#This Row],[Volume P]]</f>
        <v>1662.8</v>
      </c>
      <c r="C63" s="41" t="str">
        <f>+Table1[[#This Row],[Modality]]</f>
        <v>mr</v>
      </c>
      <c r="D63" s="73"/>
      <c r="E63" s="52">
        <f>+Table1[[#This Row],[Volume A]]</f>
        <v>1768.6</v>
      </c>
      <c r="F63" s="5">
        <f>ABS((Table1[[#This Row],[Volume A]]-Table1[[#This Row],[Volume P]])/Table1[[#This Row],[Volume P]])</f>
        <v>6.3627616069280704E-2</v>
      </c>
      <c r="G63" s="79">
        <v>0.79400000000000004</v>
      </c>
      <c r="H63" s="3"/>
      <c r="J63" s="51"/>
      <c r="K63" s="56"/>
      <c r="M63" s="23">
        <v>1588.84</v>
      </c>
      <c r="N63" s="36">
        <f t="shared" si="1"/>
        <v>4.447919172480156E-2</v>
      </c>
      <c r="O63" s="42">
        <v>0.92215800000000003</v>
      </c>
      <c r="Q63" s="44">
        <v>1420.11</v>
      </c>
      <c r="R63" s="81">
        <f t="shared" si="5"/>
        <v>0.14595261005532839</v>
      </c>
    </row>
    <row r="64" spans="1:18">
      <c r="A64" s="40">
        <f>+kri!A64</f>
        <v>63</v>
      </c>
      <c r="B64" s="27">
        <f>+Table1[[#This Row],[Volume P]]</f>
        <v>1639.9</v>
      </c>
      <c r="C64" s="41" t="str">
        <f>+Table1[[#This Row],[Modality]]</f>
        <v>ct</v>
      </c>
      <c r="D64" s="73"/>
      <c r="E64" s="52">
        <f>+Table1[[#This Row],[Volume A]]</f>
        <v>1697.4</v>
      </c>
      <c r="F64" s="5">
        <f>ABS((Table1[[#This Row],[Volume A]]-Table1[[#This Row],[Volume P]])/Table1[[#This Row],[Volume P]])</f>
        <v>3.5063113604488078E-2</v>
      </c>
      <c r="G64" s="79">
        <v>0.91099999999999992</v>
      </c>
      <c r="H64" s="3"/>
      <c r="I64" s="52">
        <v>1369.12</v>
      </c>
      <c r="J64" s="51">
        <f t="shared" si="2"/>
        <v>0.16511982437953546</v>
      </c>
      <c r="K64" s="55">
        <v>0.83089999999999997</v>
      </c>
      <c r="N64" s="36"/>
      <c r="Q64" s="44">
        <v>1566.81</v>
      </c>
      <c r="R64" s="81">
        <f t="shared" si="5"/>
        <v>4.4569790840905017E-2</v>
      </c>
    </row>
    <row r="65" spans="1:20">
      <c r="A65" s="40">
        <f>+kri!A65</f>
        <v>64</v>
      </c>
      <c r="B65" s="27">
        <f>+Table1[[#This Row],[Volume P]]</f>
        <v>2413.9</v>
      </c>
      <c r="C65" s="41" t="str">
        <f>+Table1[[#This Row],[Modality]]</f>
        <v>ct</v>
      </c>
      <c r="D65" s="73"/>
      <c r="E65" s="52">
        <f>+Table1[[#This Row],[Volume A]]</f>
        <v>2427.6999999999998</v>
      </c>
      <c r="F65" s="5">
        <f>ABS((Table1[[#This Row],[Volume A]]-Table1[[#This Row],[Volume P]])/Table1[[#This Row],[Volume P]])</f>
        <v>5.716889680599746E-3</v>
      </c>
      <c r="G65" s="79">
        <v>0.96099999999999997</v>
      </c>
      <c r="H65" s="3"/>
      <c r="I65" s="52">
        <v>1197.28</v>
      </c>
      <c r="J65" s="51">
        <f t="shared" si="2"/>
        <v>0.50400596545010157</v>
      </c>
      <c r="K65" s="55">
        <v>0.65049999999999997</v>
      </c>
      <c r="N65" s="36"/>
      <c r="Q65" s="44">
        <v>2919.93</v>
      </c>
      <c r="R65" s="81">
        <f t="shared" si="5"/>
        <v>0.20963171630970617</v>
      </c>
    </row>
    <row r="66" spans="1:20">
      <c r="A66" s="40">
        <f>+kri!A66</f>
        <v>65</v>
      </c>
      <c r="B66" s="27">
        <f>+Table1[[#This Row],[Volume P]]</f>
        <v>1520.4</v>
      </c>
      <c r="C66" s="41" t="str">
        <f>+Table1[[#This Row],[Modality]]</f>
        <v>ct</v>
      </c>
      <c r="D66" s="73"/>
      <c r="E66" s="52">
        <f>+Table1[[#This Row],[Volume A]]</f>
        <v>1426.1</v>
      </c>
      <c r="F66" s="5">
        <f>ABS((Table1[[#This Row],[Volume A]]-Table1[[#This Row],[Volume P]])/Table1[[#This Row],[Volume P]])</f>
        <v>6.2023151802157443E-2</v>
      </c>
      <c r="G66" s="79">
        <v>0.93700000000000006</v>
      </c>
      <c r="H66" s="3"/>
      <c r="I66" s="52">
        <v>1388.7</v>
      </c>
      <c r="J66" s="51">
        <f t="shared" si="2"/>
        <v>8.6621941594317312E-2</v>
      </c>
      <c r="K66" s="55">
        <v>0.93240000000000001</v>
      </c>
      <c r="N66" s="36"/>
      <c r="Q66" s="44">
        <v>1989.72</v>
      </c>
      <c r="R66" s="81">
        <f t="shared" si="5"/>
        <v>0.30868192580899756</v>
      </c>
      <c r="T66" s="16" t="s">
        <v>33</v>
      </c>
    </row>
    <row r="67" spans="1:20">
      <c r="A67" s="40">
        <f>+kri!A67</f>
        <v>66</v>
      </c>
      <c r="B67" s="27">
        <f>+Table1[[#This Row],[Volume P]]</f>
        <v>2494.6</v>
      </c>
      <c r="C67" s="41" t="str">
        <f>+Table1[[#This Row],[Modality]]</f>
        <v>mr</v>
      </c>
      <c r="D67" s="73"/>
      <c r="E67" s="52">
        <f>+Table1[[#This Row],[Volume A]]</f>
        <v>2647.4</v>
      </c>
      <c r="F67" s="5">
        <f>ABS((Table1[[#This Row],[Volume A]]-Table1[[#This Row],[Volume P]])/Table1[[#This Row],[Volume P]])</f>
        <v>6.1252304978754182E-2</v>
      </c>
      <c r="G67" s="79">
        <v>0.91299999999999992</v>
      </c>
      <c r="H67" s="3"/>
      <c r="J67" s="51"/>
      <c r="K67" s="56"/>
      <c r="M67" s="23">
        <v>2389.33</v>
      </c>
      <c r="N67" s="36">
        <f t="shared" ref="N67:N104" si="6">+ABS((B67-M67)/B67)</f>
        <v>4.2199150164355E-2</v>
      </c>
      <c r="O67" s="42">
        <v>0.94334699999999994</v>
      </c>
      <c r="Q67" s="44">
        <v>2421.12</v>
      </c>
      <c r="R67" s="81">
        <f t="shared" si="5"/>
        <v>2.9455624148160033E-2</v>
      </c>
    </row>
    <row r="68" spans="1:20">
      <c r="A68" s="40">
        <f>+kri!A68</f>
        <v>67</v>
      </c>
      <c r="B68" s="27">
        <f>+Table1[[#This Row],[Volume P]]</f>
        <v>1174.3</v>
      </c>
      <c r="C68" s="41" t="str">
        <f>+Table1[[#This Row],[Modality]]</f>
        <v>mr</v>
      </c>
      <c r="D68" s="73"/>
      <c r="E68" s="52">
        <f>+Table1[[#This Row],[Volume A]]</f>
        <v>1233.7</v>
      </c>
      <c r="F68" s="5">
        <f>ABS((Table1[[#This Row],[Volume A]]-Table1[[#This Row],[Volume P]])/Table1[[#This Row],[Volume P]])</f>
        <v>5.0583326236907172E-2</v>
      </c>
      <c r="G68" s="79">
        <v>0.88900000000000001</v>
      </c>
      <c r="H68" s="3"/>
      <c r="J68" s="51"/>
      <c r="K68" s="56"/>
      <c r="M68" s="23">
        <v>1361.91</v>
      </c>
      <c r="N68" s="36">
        <f t="shared" si="6"/>
        <v>0.15976326322064219</v>
      </c>
      <c r="O68" s="42">
        <v>0.89288100000000004</v>
      </c>
      <c r="Q68" s="44">
        <v>1088.8599999999999</v>
      </c>
      <c r="R68" s="81">
        <f t="shared" si="5"/>
        <v>7.275823895086439E-2</v>
      </c>
    </row>
    <row r="69" spans="1:20">
      <c r="A69" s="40">
        <f>+kri!A69</f>
        <v>68</v>
      </c>
      <c r="B69" s="27">
        <f>+Table1[[#This Row],[Volume P]]</f>
        <v>2448.1999999999998</v>
      </c>
      <c r="C69" s="41" t="str">
        <f>+Table1[[#This Row],[Modality]]</f>
        <v>ct</v>
      </c>
      <c r="D69" s="73"/>
      <c r="E69" s="52">
        <f>+Table1[[#This Row],[Volume A]]</f>
        <v>2397.4</v>
      </c>
      <c r="F69" s="5">
        <f>ABS((Table1[[#This Row],[Volume A]]-Table1[[#This Row],[Volume P]])/Table1[[#This Row],[Volume P]])</f>
        <v>2.0749938730495764E-2</v>
      </c>
      <c r="G69" s="79">
        <v>0.70599999999999996</v>
      </c>
      <c r="H69" s="3"/>
      <c r="I69" s="52">
        <v>2330.11</v>
      </c>
      <c r="J69" s="51">
        <f t="shared" si="2"/>
        <v>4.8235438281186052E-2</v>
      </c>
      <c r="K69" s="55">
        <v>0.94479999999999997</v>
      </c>
      <c r="N69" s="36"/>
      <c r="Q69" s="44">
        <v>2715.15</v>
      </c>
      <c r="R69" s="81">
        <f t="shared" si="5"/>
        <v>0.10903929417531259</v>
      </c>
    </row>
    <row r="70" spans="1:20">
      <c r="A70" s="40">
        <f>+kri!A70</f>
        <v>69</v>
      </c>
      <c r="B70" s="27">
        <f>+Table1[[#This Row],[Volume P]]</f>
        <v>1835.2</v>
      </c>
      <c r="C70" s="41" t="str">
        <f>+Table1[[#This Row],[Modality]]</f>
        <v>mr</v>
      </c>
      <c r="D70" s="73"/>
      <c r="E70" s="52">
        <f>+Table1[[#This Row],[Volume A]]</f>
        <v>1954.2</v>
      </c>
      <c r="F70" s="5">
        <f>ABS((Table1[[#This Row],[Volume A]]-Table1[[#This Row],[Volume P]])/Table1[[#This Row],[Volume P]])</f>
        <v>6.484306887532694E-2</v>
      </c>
      <c r="G70" s="79">
        <v>0.88200000000000001</v>
      </c>
      <c r="H70" s="3"/>
      <c r="J70" s="51"/>
      <c r="K70" s="56"/>
      <c r="M70" s="23">
        <v>1873.03</v>
      </c>
      <c r="N70" s="36">
        <f t="shared" si="6"/>
        <v>2.061355710549255E-2</v>
      </c>
      <c r="O70" s="42">
        <v>0.93168499999999999</v>
      </c>
      <c r="Q70" s="44">
        <v>1690.46</v>
      </c>
      <c r="R70" s="81">
        <f t="shared" si="5"/>
        <v>7.8868788142981691E-2</v>
      </c>
    </row>
    <row r="71" spans="1:20">
      <c r="A71" s="40">
        <f>+kri!A71</f>
        <v>70</v>
      </c>
      <c r="B71" s="27">
        <f>+Table1[[#This Row],[Volume P]]</f>
        <v>2720.7</v>
      </c>
      <c r="C71" s="41" t="str">
        <f>+Table1[[#This Row],[Modality]]</f>
        <v>mr</v>
      </c>
      <c r="D71" s="73"/>
      <c r="E71" s="52">
        <f>+Table1[[#This Row],[Volume A]]</f>
        <v>2792.5</v>
      </c>
      <c r="F71" s="5">
        <f>ABS((Table1[[#This Row],[Volume A]]-Table1[[#This Row],[Volume P]])/Table1[[#This Row],[Volume P]])</f>
        <v>2.6390267210644389E-2</v>
      </c>
      <c r="G71" s="79">
        <v>0.95599999999999996</v>
      </c>
      <c r="H71" s="3"/>
      <c r="J71" s="51"/>
      <c r="K71" s="56"/>
      <c r="M71" s="23">
        <v>2739.91</v>
      </c>
      <c r="N71" s="36">
        <f t="shared" si="6"/>
        <v>7.0606829124857714E-3</v>
      </c>
      <c r="O71" s="42">
        <v>0.95642899999999997</v>
      </c>
      <c r="Q71" s="44">
        <v>2796.21</v>
      </c>
      <c r="R71" s="81">
        <f t="shared" si="5"/>
        <v>2.7753886867350395E-2</v>
      </c>
    </row>
    <row r="72" spans="1:20">
      <c r="A72" s="40">
        <f>+kri!A72</f>
        <v>71</v>
      </c>
      <c r="B72" s="27">
        <f>+Table1[[#This Row],[Volume P]]</f>
        <v>2136.1999999999998</v>
      </c>
      <c r="C72" s="41" t="str">
        <f>+Table1[[#This Row],[Modality]]</f>
        <v>mr</v>
      </c>
      <c r="D72" s="73"/>
      <c r="E72" s="52">
        <f>+Table1[[#This Row],[Volume A]]</f>
        <v>2313.1999999999998</v>
      </c>
      <c r="F72" s="5">
        <f>ABS((Table1[[#This Row],[Volume A]]-Table1[[#This Row],[Volume P]])/Table1[[#This Row],[Volume P]])</f>
        <v>8.2857410354835695E-2</v>
      </c>
      <c r="G72" s="79">
        <v>0.91200000000000003</v>
      </c>
      <c r="H72" s="3"/>
      <c r="J72" s="51"/>
      <c r="K72" s="56"/>
      <c r="M72" s="52">
        <v>2166.4899999999998</v>
      </c>
      <c r="N72" s="62">
        <f t="shared" si="6"/>
        <v>1.4179383952813391E-2</v>
      </c>
      <c r="O72" s="63">
        <v>0.90966199999999997</v>
      </c>
      <c r="Q72" s="44">
        <v>2051.7399999999998</v>
      </c>
      <c r="R72" s="81">
        <f t="shared" si="5"/>
        <v>3.9537496489092799E-2</v>
      </c>
    </row>
    <row r="73" spans="1:20">
      <c r="A73" s="40">
        <f>+kri!A73</f>
        <v>72</v>
      </c>
      <c r="B73" s="27">
        <f>+Table1[[#This Row],[Volume P]]</f>
        <v>1944</v>
      </c>
      <c r="C73" s="41" t="str">
        <f>+Table1[[#This Row],[Modality]]</f>
        <v>ct</v>
      </c>
      <c r="D73" s="73"/>
      <c r="E73" s="52">
        <f>+Table1[[#This Row],[Volume A]]</f>
        <v>1887.8</v>
      </c>
      <c r="F73" s="5">
        <f>ABS((Table1[[#This Row],[Volume A]]-Table1[[#This Row],[Volume P]])/Table1[[#This Row],[Volume P]])</f>
        <v>2.8909465020576154E-2</v>
      </c>
      <c r="G73" s="79">
        <v>0.93500000000000005</v>
      </c>
      <c r="H73" s="3"/>
      <c r="I73" s="52">
        <v>1878.56</v>
      </c>
      <c r="J73" s="51">
        <f t="shared" ref="J73:J102" si="7">+ABS((B73-I73)/B73)</f>
        <v>3.3662551440329244E-2</v>
      </c>
      <c r="K73" s="55">
        <v>0.9204</v>
      </c>
      <c r="N73" s="36"/>
      <c r="Q73" s="44">
        <v>2521.66</v>
      </c>
      <c r="R73" s="81">
        <f t="shared" si="5"/>
        <v>0.29715020576131679</v>
      </c>
      <c r="T73" s="16" t="s">
        <v>33</v>
      </c>
    </row>
    <row r="74" spans="1:20">
      <c r="A74" s="40">
        <f>+kri!A74</f>
        <v>73</v>
      </c>
      <c r="B74" s="27">
        <f>+Table1[[#This Row],[Volume P]]</f>
        <v>1532.7</v>
      </c>
      <c r="C74" s="41" t="str">
        <f>+Table1[[#This Row],[Modality]]</f>
        <v>ct</v>
      </c>
      <c r="D74" s="73"/>
      <c r="E74" s="52">
        <f>+Table1[[#This Row],[Volume A]]</f>
        <v>1541.2</v>
      </c>
      <c r="F74" s="5">
        <f>ABS((Table1[[#This Row],[Volume A]]-Table1[[#This Row],[Volume P]])/Table1[[#This Row],[Volume P]])</f>
        <v>5.5457689045475302E-3</v>
      </c>
      <c r="G74" s="79">
        <v>0.94400000000000006</v>
      </c>
      <c r="H74" s="3"/>
      <c r="I74" s="52">
        <v>1489.32</v>
      </c>
      <c r="J74" s="51">
        <f t="shared" si="7"/>
        <v>2.8302994715208526E-2</v>
      </c>
      <c r="K74" s="55">
        <v>0.95569999999999999</v>
      </c>
      <c r="N74" s="36"/>
      <c r="Q74" s="23">
        <v>1735.03</v>
      </c>
      <c r="R74" s="82">
        <f t="shared" si="5"/>
        <v>0.13200887323024724</v>
      </c>
    </row>
    <row r="75" spans="1:20">
      <c r="A75" s="40">
        <f>+kri!A75</f>
        <v>74</v>
      </c>
      <c r="B75" s="27">
        <f>+Table1[[#This Row],[Volume P]]</f>
        <v>1141.8</v>
      </c>
      <c r="C75" s="41" t="str">
        <f>+Table1[[#This Row],[Modality]]</f>
        <v>mr</v>
      </c>
      <c r="D75" s="73"/>
      <c r="E75" s="52">
        <f>+Table1[[#This Row],[Volume A]]</f>
        <v>1431.2</v>
      </c>
      <c r="F75" s="6">
        <f>ABS((Table1[[#This Row],[Volume A]]-Table1[[#This Row],[Volume P]])/Table1[[#This Row],[Volume P]])</f>
        <v>0.25345944999124198</v>
      </c>
      <c r="G75" s="79">
        <v>0.81200000000000006</v>
      </c>
      <c r="H75" s="3"/>
      <c r="J75" s="51"/>
      <c r="K75" s="56"/>
      <c r="M75" s="23">
        <v>1026.5999999999999</v>
      </c>
      <c r="N75" s="36">
        <f t="shared" si="6"/>
        <v>0.10089332632685238</v>
      </c>
      <c r="O75" s="42">
        <v>0.886463</v>
      </c>
      <c r="Q75" s="44">
        <v>1010.37</v>
      </c>
      <c r="R75" s="81">
        <f t="shared" si="5"/>
        <v>0.11510772464529687</v>
      </c>
    </row>
    <row r="76" spans="1:20">
      <c r="A76" s="40">
        <f>+kri!A76</f>
        <v>75</v>
      </c>
      <c r="B76" s="27">
        <f>+Table1[[#This Row],[Volume P]]</f>
        <v>1485.8</v>
      </c>
      <c r="C76" s="41" t="str">
        <f>+Table1[[#This Row],[Modality]]</f>
        <v>mr</v>
      </c>
      <c r="D76" s="73"/>
      <c r="E76" s="52">
        <f>+Table1[[#This Row],[Volume A]]</f>
        <v>1582.6</v>
      </c>
      <c r="F76" s="5">
        <f>ABS((Table1[[#This Row],[Volume A]]-Table1[[#This Row],[Volume P]])/Table1[[#This Row],[Volume P]])</f>
        <v>6.5150087494952186E-2</v>
      </c>
      <c r="G76" s="79">
        <v>0.90700000000000003</v>
      </c>
      <c r="H76" s="3"/>
      <c r="J76" s="51"/>
      <c r="K76" s="56"/>
      <c r="M76" s="23">
        <v>1467.93</v>
      </c>
      <c r="N76" s="36">
        <f t="shared" si="6"/>
        <v>1.2027190738995754E-2</v>
      </c>
      <c r="O76" s="42">
        <v>0.94224299999999994</v>
      </c>
      <c r="Q76" s="44">
        <v>1736.02</v>
      </c>
      <c r="R76" s="81">
        <f t="shared" si="5"/>
        <v>0.16840759186969984</v>
      </c>
    </row>
    <row r="77" spans="1:20">
      <c r="A77" s="40">
        <f>+kri!A77</f>
        <v>76</v>
      </c>
      <c r="B77" s="27">
        <f>+Table1[[#This Row],[Volume P]]</f>
        <v>1593.1</v>
      </c>
      <c r="C77" s="41" t="str">
        <f>+Table1[[#This Row],[Modality]]</f>
        <v>ct</v>
      </c>
      <c r="D77" s="73"/>
      <c r="E77" s="52">
        <f>+Table1[[#This Row],[Volume A]]</f>
        <v>1685.2</v>
      </c>
      <c r="F77" s="5">
        <f>ABS((Table1[[#This Row],[Volume A]]-Table1[[#This Row],[Volume P]])/Table1[[#This Row],[Volume P]])</f>
        <v>5.7811813445483737E-2</v>
      </c>
      <c r="G77" s="79">
        <v>0.58599999999999997</v>
      </c>
      <c r="H77" s="3"/>
      <c r="I77" s="52">
        <v>1673.78</v>
      </c>
      <c r="J77" s="51">
        <f t="shared" si="7"/>
        <v>5.0643399661038271E-2</v>
      </c>
      <c r="K77" s="55">
        <v>0.9022</v>
      </c>
      <c r="N77" s="36"/>
      <c r="Q77" s="44">
        <v>1533.68</v>
      </c>
      <c r="R77" s="81">
        <f t="shared" si="5"/>
        <v>3.7298349130625727E-2</v>
      </c>
    </row>
    <row r="78" spans="1:20">
      <c r="A78" s="40">
        <f>+kri!A78</f>
        <v>77</v>
      </c>
      <c r="B78" s="27">
        <f>+Table1[[#This Row],[Volume P]]</f>
        <v>2074.1</v>
      </c>
      <c r="C78" s="41" t="str">
        <f>+Table1[[#This Row],[Modality]]</f>
        <v>ct</v>
      </c>
      <c r="D78" s="73"/>
      <c r="E78" s="52">
        <f>+Table1[[#This Row],[Volume A]]</f>
        <v>2114.9</v>
      </c>
      <c r="F78" s="5">
        <f>ABS((Table1[[#This Row],[Volume A]]-Table1[[#This Row],[Volume P]])/Table1[[#This Row],[Volume P]])</f>
        <v>1.9671182681645139E-2</v>
      </c>
      <c r="G78" s="79">
        <v>0.879</v>
      </c>
      <c r="H78" s="3"/>
      <c r="I78" s="52">
        <v>1796.36</v>
      </c>
      <c r="J78" s="51">
        <f t="shared" si="7"/>
        <v>0.1339086832843161</v>
      </c>
      <c r="K78" s="55">
        <v>0.90280000000000005</v>
      </c>
      <c r="N78" s="36"/>
      <c r="Q78" s="44">
        <v>2119.84</v>
      </c>
      <c r="R78" s="81">
        <f t="shared" si="5"/>
        <v>2.20529386239816E-2</v>
      </c>
    </row>
    <row r="79" spans="1:20">
      <c r="A79" s="40">
        <f>+kri!A79</f>
        <v>78</v>
      </c>
      <c r="B79" s="27">
        <f>+Table1[[#This Row],[Volume P]]</f>
        <v>1951.7</v>
      </c>
      <c r="C79" s="41" t="str">
        <f>+Table1[[#This Row],[Modality]]</f>
        <v>mr</v>
      </c>
      <c r="D79" s="73"/>
      <c r="E79" s="52">
        <f>+Table1[[#This Row],[Volume A]]</f>
        <v>2091.1</v>
      </c>
      <c r="F79" s="5">
        <f>ABS((Table1[[#This Row],[Volume A]]-Table1[[#This Row],[Volume P]])/Table1[[#This Row],[Volume P]])</f>
        <v>7.1424911615514605E-2</v>
      </c>
      <c r="G79" s="79">
        <v>0.88900000000000001</v>
      </c>
      <c r="H79" s="3"/>
      <c r="J79" s="51"/>
      <c r="K79" s="56"/>
      <c r="M79" s="23">
        <v>1922.03</v>
      </c>
      <c r="N79" s="36">
        <f t="shared" si="6"/>
        <v>1.5202131475124288E-2</v>
      </c>
      <c r="O79" s="42">
        <v>0.90231300000000003</v>
      </c>
      <c r="Q79" s="44">
        <v>2422.75</v>
      </c>
      <c r="R79" s="81">
        <f t="shared" si="5"/>
        <v>0.24135369165343032</v>
      </c>
    </row>
    <row r="80" spans="1:20">
      <c r="A80" s="40">
        <f>+kri!A80</f>
        <v>79</v>
      </c>
      <c r="B80" s="27">
        <f>+Table1[[#This Row],[Volume P]]</f>
        <v>2142.6999999999998</v>
      </c>
      <c r="C80" s="41" t="str">
        <f>+Table1[[#This Row],[Modality]]</f>
        <v>mr</v>
      </c>
      <c r="D80" s="73"/>
      <c r="E80" s="52">
        <f>+Table1[[#This Row],[Volume A]]</f>
        <v>2330.1</v>
      </c>
      <c r="F80" s="5">
        <f>ABS((Table1[[#This Row],[Volume A]]-Table1[[#This Row],[Volume P]])/Table1[[#This Row],[Volume P]])</f>
        <v>8.7459747048116918E-2</v>
      </c>
      <c r="G80" s="79">
        <v>0.85099999999999998</v>
      </c>
      <c r="H80" s="3"/>
      <c r="J80" s="51"/>
      <c r="K80" s="56"/>
      <c r="M80" s="23">
        <v>2259.59</v>
      </c>
      <c r="N80" s="36">
        <f t="shared" si="6"/>
        <v>5.4552667195594498E-2</v>
      </c>
      <c r="O80" s="42">
        <v>0.92179800000000001</v>
      </c>
      <c r="Q80" s="44">
        <v>2379.73</v>
      </c>
      <c r="R80" s="81">
        <f t="shared" si="5"/>
        <v>0.11062211228823457</v>
      </c>
    </row>
    <row r="81" spans="1:20">
      <c r="A81" s="40">
        <f>+kri!A81</f>
        <v>80</v>
      </c>
      <c r="B81" s="27">
        <f>+Table1[[#This Row],[Volume P]]</f>
        <v>1644.7</v>
      </c>
      <c r="C81" s="41" t="str">
        <f>+Table1[[#This Row],[Modality]]</f>
        <v>mr</v>
      </c>
      <c r="D81" s="73"/>
      <c r="E81" s="52">
        <f>+Table1[[#This Row],[Volume A]]</f>
        <v>1821.3</v>
      </c>
      <c r="F81" s="5">
        <f>ABS((Table1[[#This Row],[Volume A]]-Table1[[#This Row],[Volume P]])/Table1[[#This Row],[Volume P]])</f>
        <v>0.10737520520459652</v>
      </c>
      <c r="G81" s="79">
        <v>0.83099999999999996</v>
      </c>
      <c r="H81" s="3"/>
      <c r="J81" s="51"/>
      <c r="K81" s="56"/>
      <c r="M81" s="23">
        <v>1426.86</v>
      </c>
      <c r="N81" s="36">
        <f t="shared" si="6"/>
        <v>0.13244968687298603</v>
      </c>
      <c r="O81" s="42">
        <v>0.85251699999999997</v>
      </c>
      <c r="Q81" s="44">
        <v>1289.8499999999999</v>
      </c>
      <c r="R81" s="81">
        <f t="shared" si="5"/>
        <v>0.21575363288137661</v>
      </c>
    </row>
    <row r="82" spans="1:20">
      <c r="A82" s="40">
        <f>+kri!A82</f>
        <v>81</v>
      </c>
      <c r="B82" s="27">
        <f>+Table1[[#This Row],[Volume P]]</f>
        <v>1284.0999999999999</v>
      </c>
      <c r="C82" s="41" t="str">
        <f>+Table1[[#This Row],[Modality]]</f>
        <v>mr</v>
      </c>
      <c r="D82" s="73"/>
      <c r="E82" s="52">
        <f>+Table1[[#This Row],[Volume A]]</f>
        <v>1446.8</v>
      </c>
      <c r="F82" s="5">
        <f>ABS((Table1[[#This Row],[Volume A]]-Table1[[#This Row],[Volume P]])/Table1[[#This Row],[Volume P]])</f>
        <v>0.12670352776263535</v>
      </c>
      <c r="G82" s="79">
        <v>0.9</v>
      </c>
      <c r="H82" s="3"/>
      <c r="J82" s="51"/>
      <c r="K82" s="56"/>
      <c r="M82" s="23">
        <v>1440.9</v>
      </c>
      <c r="N82" s="36">
        <f t="shared" si="6"/>
        <v>0.12210887002569909</v>
      </c>
      <c r="O82" s="42">
        <v>0.90825699999999998</v>
      </c>
      <c r="Q82" s="44">
        <v>1336.74</v>
      </c>
      <c r="R82" s="81">
        <f t="shared" si="5"/>
        <v>4.0993692080056154E-2</v>
      </c>
    </row>
    <row r="83" spans="1:20">
      <c r="A83" s="40">
        <f>+kri!A83</f>
        <v>82</v>
      </c>
      <c r="B83" s="27">
        <f>+Table1[[#This Row],[Volume P]]</f>
        <v>1268.3</v>
      </c>
      <c r="C83" s="41" t="str">
        <f>+Table1[[#This Row],[Modality]]</f>
        <v>mr</v>
      </c>
      <c r="D83" s="73"/>
      <c r="E83" s="52">
        <f>+Table1[[#This Row],[Volume A]]</f>
        <v>1431.1</v>
      </c>
      <c r="F83" s="5">
        <f>ABS((Table1[[#This Row],[Volume A]]-Table1[[#This Row],[Volume P]])/Table1[[#This Row],[Volume P]])</f>
        <v>0.12836079791847352</v>
      </c>
      <c r="G83" s="79">
        <v>0.8909999999999999</v>
      </c>
      <c r="H83" s="3"/>
      <c r="J83" s="51"/>
      <c r="K83" s="56"/>
      <c r="M83" s="23">
        <v>1418.24</v>
      </c>
      <c r="N83" s="36">
        <f t="shared" si="6"/>
        <v>0.11822124103130179</v>
      </c>
      <c r="O83" s="42">
        <v>0.87204300000000001</v>
      </c>
      <c r="Q83" s="44">
        <v>1500.93</v>
      </c>
      <c r="R83" s="81">
        <f t="shared" si="5"/>
        <v>0.18341874950721448</v>
      </c>
    </row>
    <row r="84" spans="1:20">
      <c r="A84" s="40">
        <f>+kri!A84</f>
        <v>83</v>
      </c>
      <c r="B84" s="27">
        <f>+Table1[[#This Row],[Volume P]]</f>
        <v>1954.3</v>
      </c>
      <c r="C84" s="41" t="str">
        <f>+Table1[[#This Row],[Modality]]</f>
        <v>mr</v>
      </c>
      <c r="D84" s="73"/>
      <c r="E84" s="52">
        <f>+Table1[[#This Row],[Volume A]]</f>
        <v>1990.3</v>
      </c>
      <c r="F84" s="5">
        <f>ABS((Table1[[#This Row],[Volume A]]-Table1[[#This Row],[Volume P]])/Table1[[#This Row],[Volume P]])</f>
        <v>1.8420917975745792E-2</v>
      </c>
      <c r="G84" s="79">
        <v>0.94599999999999995</v>
      </c>
      <c r="H84" s="3"/>
      <c r="J84" s="51"/>
      <c r="K84" s="56"/>
      <c r="M84" s="23">
        <v>2080.9699999999998</v>
      </c>
      <c r="N84" s="36">
        <f t="shared" si="6"/>
        <v>6.4816046666325455E-2</v>
      </c>
      <c r="O84" s="42">
        <v>0.93339499999999997</v>
      </c>
      <c r="Q84" s="44">
        <v>2145.6999999999998</v>
      </c>
      <c r="R84" s="81">
        <f t="shared" si="5"/>
        <v>9.7937880571048394E-2</v>
      </c>
    </row>
    <row r="85" spans="1:20">
      <c r="A85" s="40">
        <f>+kri!A85</f>
        <v>84</v>
      </c>
      <c r="B85" s="27">
        <f>+Table1[[#This Row],[Volume P]]</f>
        <v>2063.5</v>
      </c>
      <c r="C85" s="41" t="str">
        <f>+Table1[[#This Row],[Modality]]</f>
        <v>ct</v>
      </c>
      <c r="D85" s="73"/>
      <c r="E85" s="52">
        <f>+Table1[[#This Row],[Volume A]]</f>
        <v>2076.1</v>
      </c>
      <c r="F85" s="5">
        <f>ABS((Table1[[#This Row],[Volume A]]-Table1[[#This Row],[Volume P]])/Table1[[#This Row],[Volume P]])</f>
        <v>6.1061303610370288E-3</v>
      </c>
      <c r="G85" s="79">
        <v>0.94200000000000006</v>
      </c>
      <c r="H85" s="3"/>
      <c r="I85" s="52">
        <v>1902.79</v>
      </c>
      <c r="J85" s="51">
        <f t="shared" si="7"/>
        <v>7.7882238914465732E-2</v>
      </c>
      <c r="K85" s="55">
        <v>0.87360000000000004</v>
      </c>
      <c r="N85" s="36"/>
      <c r="Q85" s="44">
        <v>1385.37</v>
      </c>
      <c r="R85" s="81">
        <f t="shared" si="5"/>
        <v>0.32863096680397386</v>
      </c>
    </row>
    <row r="86" spans="1:20">
      <c r="A86" s="40">
        <f>+kri!A86</f>
        <v>85</v>
      </c>
      <c r="B86" s="27">
        <f>+Table1[[#This Row],[Volume P]]</f>
        <v>0</v>
      </c>
      <c r="C86" s="41">
        <v>0</v>
      </c>
      <c r="D86" s="73"/>
      <c r="E86" s="52">
        <f>+Table1[[#This Row],[Volume A]]</f>
        <v>0</v>
      </c>
      <c r="F86" s="5"/>
      <c r="G86" s="79"/>
      <c r="H86" s="3"/>
      <c r="J86" s="51"/>
      <c r="K86" s="56"/>
      <c r="N86" s="36"/>
    </row>
    <row r="87" spans="1:20">
      <c r="A87" s="40">
        <f>+kri!A87</f>
        <v>86</v>
      </c>
      <c r="B87" s="27">
        <f>+Table1[[#This Row],[Volume P]]</f>
        <v>2330.6</v>
      </c>
      <c r="C87" s="41" t="str">
        <f>+Table1[[#This Row],[Modality]]</f>
        <v>mr</v>
      </c>
      <c r="D87" s="73"/>
      <c r="E87" s="52">
        <f>+Table1[[#This Row],[Volume A]]</f>
        <v>2489.8000000000002</v>
      </c>
      <c r="F87" s="5">
        <f>ABS((Table1[[#This Row],[Volume A]]-Table1[[#This Row],[Volume P]])/Table1[[#This Row],[Volume P]])</f>
        <v>6.8308590062644933E-2</v>
      </c>
      <c r="G87" s="79">
        <v>0.90799999999999992</v>
      </c>
      <c r="H87" s="3"/>
      <c r="J87" s="51"/>
      <c r="K87" s="56"/>
      <c r="M87" s="23">
        <v>2386.02</v>
      </c>
      <c r="N87" s="36">
        <f t="shared" si="6"/>
        <v>2.3779284304470984E-2</v>
      </c>
      <c r="O87" s="42">
        <v>0.92452000000000001</v>
      </c>
      <c r="Q87" s="44">
        <v>3027.5</v>
      </c>
      <c r="R87" s="81">
        <f t="shared" ref="R87:R104" si="8">+ABS((Q87-B87)/B87)</f>
        <v>0.2990217111473441</v>
      </c>
    </row>
    <row r="88" spans="1:20">
      <c r="A88" s="40">
        <f>+kri!A88</f>
        <v>87</v>
      </c>
      <c r="B88" s="27">
        <f>+Table1[[#This Row],[Volume P]]</f>
        <v>852</v>
      </c>
      <c r="C88" s="41" t="str">
        <f>+Table1[[#This Row],[Modality]]</f>
        <v>ct</v>
      </c>
      <c r="D88" s="73"/>
      <c r="E88" s="52">
        <f>+Table1[[#This Row],[Volume A]]</f>
        <v>882.2</v>
      </c>
      <c r="F88" s="5">
        <f>ABS((Table1[[#This Row],[Volume A]]-Table1[[#This Row],[Volume P]])/Table1[[#This Row],[Volume P]])</f>
        <v>3.5446009389671414E-2</v>
      </c>
      <c r="G88" s="79">
        <v>0.80299999999999994</v>
      </c>
      <c r="H88" s="3"/>
      <c r="I88" s="52">
        <v>864.98</v>
      </c>
      <c r="J88" s="51">
        <f t="shared" si="7"/>
        <v>1.5234741784037579E-2</v>
      </c>
      <c r="K88" s="55">
        <v>0.9012</v>
      </c>
      <c r="N88" s="36"/>
      <c r="R88" s="81">
        <f t="shared" si="8"/>
        <v>1</v>
      </c>
    </row>
    <row r="89" spans="1:20">
      <c r="A89" s="40">
        <f>+kri!A89</f>
        <v>88</v>
      </c>
      <c r="B89" s="27">
        <f>+Table1[[#This Row],[Volume P]]</f>
        <v>2785.2</v>
      </c>
      <c r="C89" s="41" t="str">
        <f>+Table1[[#This Row],[Modality]]</f>
        <v>mr</v>
      </c>
      <c r="D89" s="73"/>
      <c r="E89" s="52">
        <f>+Table1[[#This Row],[Volume A]]</f>
        <v>3200.9</v>
      </c>
      <c r="F89" s="5">
        <f>ABS((Table1[[#This Row],[Volume A]]-Table1[[#This Row],[Volume P]])/Table1[[#This Row],[Volume P]])</f>
        <v>0.14925319546172638</v>
      </c>
      <c r="G89" s="79">
        <v>0.90900000000000003</v>
      </c>
      <c r="H89" s="3"/>
      <c r="J89" s="51"/>
      <c r="K89" s="56"/>
      <c r="M89" s="23">
        <v>2811.37</v>
      </c>
      <c r="N89" s="36">
        <f t="shared" si="6"/>
        <v>9.3960936377998263E-3</v>
      </c>
      <c r="O89" s="42">
        <v>0.92738399999999999</v>
      </c>
      <c r="Q89" s="44">
        <v>2959.24</v>
      </c>
      <c r="R89" s="81">
        <f t="shared" si="8"/>
        <v>6.2487433577480961E-2</v>
      </c>
    </row>
    <row r="90" spans="1:20">
      <c r="A90" s="40">
        <f>+kri!A90</f>
        <v>89</v>
      </c>
      <c r="B90" s="27">
        <v>1035.0999999999999</v>
      </c>
      <c r="C90" s="41" t="str">
        <f>+Table1[[#This Row],[Modality]]</f>
        <v>ct</v>
      </c>
      <c r="D90" s="73"/>
      <c r="E90" s="52">
        <f>+Table1[[#This Row],[Volume A]]</f>
        <v>1116.3</v>
      </c>
      <c r="F90" s="6">
        <f>ABS((Table1[[#This Row],[Volume A]]-Table1[[#This Row],[Volume P]])/Table1[[#This Row],[Volume P]])</f>
        <v>7.8446526905613032E-2</v>
      </c>
      <c r="G90" s="79">
        <v>0.89200000000000002</v>
      </c>
      <c r="H90" s="3"/>
      <c r="I90" s="52">
        <v>1043.18</v>
      </c>
      <c r="J90" s="51">
        <f t="shared" si="7"/>
        <v>7.8060090812483388E-3</v>
      </c>
      <c r="K90" s="55">
        <v>0.8448</v>
      </c>
      <c r="N90" s="36"/>
      <c r="Q90" s="44">
        <v>415.39800000000002</v>
      </c>
      <c r="R90" s="81">
        <f t="shared" si="8"/>
        <v>0.59868804946381982</v>
      </c>
      <c r="T90" s="16" t="s">
        <v>36</v>
      </c>
    </row>
    <row r="91" spans="1:20">
      <c r="A91" s="40">
        <f>+kri!A91</f>
        <v>90</v>
      </c>
      <c r="B91" s="27">
        <f>+Table1[[#This Row],[Volume P]]</f>
        <v>3808.3</v>
      </c>
      <c r="C91" s="41" t="str">
        <f>+Table1[[#This Row],[Modality]]</f>
        <v>mr</v>
      </c>
      <c r="D91" s="73"/>
      <c r="E91" s="52">
        <f>+Table1[[#This Row],[Volume A]]</f>
        <v>4059.3</v>
      </c>
      <c r="F91" s="5">
        <f>ABS((Table1[[#This Row],[Volume A]]-Table1[[#This Row],[Volume P]])/Table1[[#This Row],[Volume P]])</f>
        <v>6.5908673161253054E-2</v>
      </c>
      <c r="G91" s="79">
        <v>0.91700000000000004</v>
      </c>
      <c r="H91" s="3"/>
      <c r="J91" s="51"/>
      <c r="K91" s="56"/>
      <c r="M91" s="23">
        <v>3751.2</v>
      </c>
      <c r="N91" s="36">
        <f t="shared" si="6"/>
        <v>1.4993566683297104E-2</v>
      </c>
      <c r="O91" s="42">
        <v>0.93768799999999997</v>
      </c>
      <c r="Q91" s="44">
        <v>4008.79</v>
      </c>
      <c r="R91" s="81">
        <f t="shared" si="8"/>
        <v>5.2645537378882903E-2</v>
      </c>
    </row>
    <row r="92" spans="1:20">
      <c r="A92" s="40">
        <f>+kri!A92</f>
        <v>91</v>
      </c>
      <c r="B92" s="27">
        <f>+Table1[[#This Row],[Volume P]]</f>
        <v>2383.3000000000002</v>
      </c>
      <c r="C92" s="41" t="str">
        <f>+Table1[[#This Row],[Modality]]</f>
        <v>mr</v>
      </c>
      <c r="D92" s="73"/>
      <c r="E92" s="52">
        <f>+Table1[[#This Row],[Volume A]]</f>
        <v>2365</v>
      </c>
      <c r="F92" s="5">
        <f>ABS((Table1[[#This Row],[Volume A]]-Table1[[#This Row],[Volume P]])/Table1[[#This Row],[Volume P]])</f>
        <v>7.6784290689381031E-3</v>
      </c>
      <c r="G92" s="79">
        <v>0.94499999999999995</v>
      </c>
      <c r="H92" s="3"/>
      <c r="J92" s="51"/>
      <c r="K92" s="56"/>
      <c r="M92" s="23">
        <v>2320.0300000000002</v>
      </c>
      <c r="N92" s="36">
        <f t="shared" si="6"/>
        <v>2.6547224436705399E-2</v>
      </c>
      <c r="O92" s="42">
        <v>0.95343199999999995</v>
      </c>
      <c r="Q92" s="44">
        <v>2202.6</v>
      </c>
      <c r="R92" s="81">
        <f t="shared" si="8"/>
        <v>7.581924222716413E-2</v>
      </c>
    </row>
    <row r="93" spans="1:20">
      <c r="A93" s="40">
        <f>+kri!A93</f>
        <v>92</v>
      </c>
      <c r="B93" s="27">
        <f>+Table1[[#This Row],[Volume P]]</f>
        <v>1903.7</v>
      </c>
      <c r="C93" s="41" t="str">
        <f>+Table1[[#This Row],[Modality]]</f>
        <v>mr</v>
      </c>
      <c r="D93" s="73"/>
      <c r="E93" s="52">
        <f>+Table1[[#This Row],[Volume A]]</f>
        <v>2052.1999999999998</v>
      </c>
      <c r="F93" s="5">
        <f>ABS((Table1[[#This Row],[Volume A]]-Table1[[#This Row],[Volume P]])/Table1[[#This Row],[Volume P]])</f>
        <v>7.8005988338498589E-2</v>
      </c>
      <c r="G93" s="79">
        <v>0.91500000000000004</v>
      </c>
      <c r="H93" s="3"/>
      <c r="J93" s="51"/>
      <c r="K93" s="56"/>
      <c r="M93" s="23">
        <v>1816.86</v>
      </c>
      <c r="N93" s="36">
        <f t="shared" si="6"/>
        <v>4.5616431160371985E-2</v>
      </c>
      <c r="O93" s="42">
        <v>0.91617900000000008</v>
      </c>
      <c r="Q93" s="44">
        <v>2022.86</v>
      </c>
      <c r="R93" s="81">
        <f t="shared" si="8"/>
        <v>6.2593896097074039E-2</v>
      </c>
    </row>
    <row r="94" spans="1:20">
      <c r="A94" s="40">
        <f>+kri!A94</f>
        <v>93</v>
      </c>
      <c r="B94" s="27">
        <f>+Table1[[#This Row],[Volume P]]</f>
        <v>1343.9</v>
      </c>
      <c r="C94" s="41" t="str">
        <f>+Table1[[#This Row],[Modality]]</f>
        <v>mr</v>
      </c>
      <c r="D94" s="73"/>
      <c r="E94" s="52">
        <f>+Table1[[#This Row],[Volume A]]</f>
        <v>1525</v>
      </c>
      <c r="F94" s="5">
        <f>ABS((Table1[[#This Row],[Volume A]]-Table1[[#This Row],[Volume P]])/Table1[[#This Row],[Volume P]])</f>
        <v>0.13475705037577193</v>
      </c>
      <c r="G94" s="79">
        <v>0.85199999999999998</v>
      </c>
      <c r="H94" s="3"/>
      <c r="J94" s="51"/>
      <c r="K94" s="56"/>
      <c r="M94" s="23">
        <v>1399.21</v>
      </c>
      <c r="N94" s="36">
        <f t="shared" si="6"/>
        <v>4.1156336036907465E-2</v>
      </c>
      <c r="O94" s="42">
        <v>0.92351399999999995</v>
      </c>
      <c r="Q94" s="44">
        <v>1407.75</v>
      </c>
      <c r="R94" s="81">
        <f t="shared" si="8"/>
        <v>4.7510975519011761E-2</v>
      </c>
    </row>
    <row r="95" spans="1:20">
      <c r="A95" s="40">
        <f>+kri!A95</f>
        <v>94</v>
      </c>
      <c r="B95" s="27">
        <f>+Table1[[#This Row],[Volume P]]</f>
        <v>2247.1</v>
      </c>
      <c r="C95" s="41" t="str">
        <f>+Table1[[#This Row],[Modality]]</f>
        <v>mr</v>
      </c>
      <c r="D95" s="73"/>
      <c r="E95" s="52">
        <f>+Table1[[#This Row],[Volume A]]</f>
        <v>2403.6999999999998</v>
      </c>
      <c r="F95" s="5">
        <f>ABS((Table1[[#This Row],[Volume A]]-Table1[[#This Row],[Volume P]])/Table1[[#This Row],[Volume P]])</f>
        <v>6.9689822437808691E-2</v>
      </c>
      <c r="G95" s="79">
        <v>0.91700000000000004</v>
      </c>
      <c r="H95" s="3"/>
      <c r="J95" s="51"/>
      <c r="K95" s="56"/>
      <c r="M95" s="23">
        <v>2253.86</v>
      </c>
      <c r="N95" s="36">
        <f t="shared" si="6"/>
        <v>3.0083218370344973E-3</v>
      </c>
      <c r="O95" s="42">
        <v>0.95493899999999998</v>
      </c>
      <c r="Q95" s="44">
        <v>2469.14</v>
      </c>
      <c r="R95" s="81">
        <f t="shared" si="8"/>
        <v>9.8811801877976044E-2</v>
      </c>
    </row>
    <row r="96" spans="1:20">
      <c r="A96" s="40">
        <f>+kri!A96</f>
        <v>95</v>
      </c>
      <c r="B96" s="27">
        <f>+Table1[[#This Row],[Volume P]]</f>
        <v>2579.6999999999998</v>
      </c>
      <c r="C96" s="41" t="str">
        <f>+Table1[[#This Row],[Modality]]</f>
        <v>mr</v>
      </c>
      <c r="D96" s="73"/>
      <c r="E96" s="52">
        <f>+Table1[[#This Row],[Volume A]]</f>
        <v>2865.4</v>
      </c>
      <c r="F96" s="5">
        <f>ABS((Table1[[#This Row],[Volume A]]-Table1[[#This Row],[Volume P]])/Table1[[#This Row],[Volume P]])</f>
        <v>0.11074931193549649</v>
      </c>
      <c r="G96" s="79">
        <v>0.89900000000000002</v>
      </c>
      <c r="H96" s="3"/>
      <c r="J96" s="51"/>
      <c r="K96" s="56"/>
      <c r="M96" s="23">
        <v>2649.56</v>
      </c>
      <c r="N96" s="36">
        <f t="shared" si="6"/>
        <v>2.7080668294763008E-2</v>
      </c>
      <c r="O96" s="42">
        <v>0.92559000000000002</v>
      </c>
      <c r="Q96" s="44">
        <v>2762.21</v>
      </c>
      <c r="R96" s="81">
        <f t="shared" si="8"/>
        <v>7.0748536651548719E-2</v>
      </c>
    </row>
    <row r="97" spans="1:20">
      <c r="A97" s="40">
        <f>+kri!A97</f>
        <v>96</v>
      </c>
      <c r="B97" s="27">
        <f>+Table1[[#This Row],[Volume P]]</f>
        <v>1868.8</v>
      </c>
      <c r="C97" s="41" t="str">
        <f>+Table1[[#This Row],[Modality]]</f>
        <v>mr</v>
      </c>
      <c r="D97" s="73"/>
      <c r="E97" s="52">
        <f>+Table1[[#This Row],[Volume A]]</f>
        <v>1994.9</v>
      </c>
      <c r="F97" s="5">
        <f>ABS((Table1[[#This Row],[Volume A]]-Table1[[#This Row],[Volume P]])/Table1[[#This Row],[Volume P]])</f>
        <v>6.7476455479452135E-2</v>
      </c>
      <c r="G97" s="79">
        <v>0.92700000000000005</v>
      </c>
      <c r="H97" s="3"/>
      <c r="J97" s="51"/>
      <c r="K97" s="56"/>
      <c r="M97" s="23">
        <v>2032.49</v>
      </c>
      <c r="N97" s="36">
        <f t="shared" si="6"/>
        <v>8.7590967465753455E-2</v>
      </c>
      <c r="O97" s="42">
        <v>0.86399199999999998</v>
      </c>
      <c r="Q97" s="44">
        <v>1576.98</v>
      </c>
      <c r="R97" s="81">
        <f t="shared" si="8"/>
        <v>0.15615368150684927</v>
      </c>
    </row>
    <row r="98" spans="1:20">
      <c r="A98" s="40">
        <f>+kri!A98</f>
        <v>97</v>
      </c>
      <c r="B98" s="27">
        <f>+Table1[[#This Row],[Volume P]]</f>
        <v>1907</v>
      </c>
      <c r="C98" s="41" t="str">
        <f>+Table1[[#This Row],[Modality]]</f>
        <v>mr</v>
      </c>
      <c r="D98" s="73"/>
      <c r="E98" s="52">
        <f>+Table1[[#This Row],[Volume A]]</f>
        <v>2088.6999999999998</v>
      </c>
      <c r="F98" s="5">
        <f>ABS((Table1[[#This Row],[Volume A]]-Table1[[#This Row],[Volume P]])/Table1[[#This Row],[Volume P]])</f>
        <v>9.5280545359202842E-2</v>
      </c>
      <c r="G98" s="79">
        <v>0.8909999999999999</v>
      </c>
      <c r="H98" s="3"/>
      <c r="J98" s="51"/>
      <c r="K98" s="56"/>
      <c r="M98" s="23">
        <v>1989.88</v>
      </c>
      <c r="N98" s="36">
        <f t="shared" si="6"/>
        <v>4.3460933403251238E-2</v>
      </c>
      <c r="O98" s="42">
        <v>0.93153400000000008</v>
      </c>
      <c r="Q98" s="44">
        <v>2039.7</v>
      </c>
      <c r="R98" s="81">
        <f t="shared" si="8"/>
        <v>6.9585736759307834E-2</v>
      </c>
    </row>
    <row r="99" spans="1:20">
      <c r="A99" s="40">
        <f>+kri!A99</f>
        <v>98</v>
      </c>
      <c r="B99" s="27">
        <f>+Table1[[#This Row],[Volume P]]</f>
        <v>1289.7</v>
      </c>
      <c r="C99" s="41" t="str">
        <f>+Table1[[#This Row],[Modality]]</f>
        <v>mr</v>
      </c>
      <c r="D99" s="73"/>
      <c r="E99" s="52">
        <f>+Table1[[#This Row],[Volume A]]</f>
        <v>1510.4</v>
      </c>
      <c r="F99" s="6">
        <f>ABS((Table1[[#This Row],[Volume A]]-Table1[[#This Row],[Volume P]])/Table1[[#This Row],[Volume P]])</f>
        <v>0.17112506784523535</v>
      </c>
      <c r="G99" s="79">
        <v>0.79599999999999993</v>
      </c>
      <c r="H99" s="3"/>
      <c r="J99" s="51"/>
      <c r="K99" s="56"/>
      <c r="M99" s="23">
        <v>1235.1300000000001</v>
      </c>
      <c r="N99" s="36">
        <f t="shared" si="6"/>
        <v>4.2312165619911558E-2</v>
      </c>
      <c r="O99" s="42">
        <v>0.88061400000000001</v>
      </c>
      <c r="Q99" s="44">
        <v>1446.6</v>
      </c>
      <c r="R99" s="81">
        <f t="shared" si="8"/>
        <v>0.12165619911607339</v>
      </c>
    </row>
    <row r="100" spans="1:20">
      <c r="A100" s="40">
        <f>+kri!A100</f>
        <v>99</v>
      </c>
      <c r="B100" s="27">
        <f>+Table1[[#This Row],[Volume P]]</f>
        <v>2259.8000000000002</v>
      </c>
      <c r="C100" s="41" t="str">
        <f>+Table1[[#This Row],[Modality]]</f>
        <v>mr</v>
      </c>
      <c r="D100" s="73"/>
      <c r="E100" s="52">
        <f>+Table1[[#This Row],[Volume A]]</f>
        <v>2365.5</v>
      </c>
      <c r="F100" s="5">
        <f>ABS((Table1[[#This Row],[Volume A]]-Table1[[#This Row],[Volume P]])/Table1[[#This Row],[Volume P]])</f>
        <v>4.6774050800955751E-2</v>
      </c>
      <c r="G100" s="79">
        <v>0.84699999999999998</v>
      </c>
      <c r="H100" s="3"/>
      <c r="J100" s="51"/>
      <c r="K100" s="56"/>
      <c r="M100" s="23">
        <v>2386.73</v>
      </c>
      <c r="N100" s="36">
        <f t="shared" si="6"/>
        <v>5.6168687494468461E-2</v>
      </c>
      <c r="O100" s="42">
        <v>0.93696600000000008</v>
      </c>
      <c r="Q100" s="44">
        <v>2326.4499999999998</v>
      </c>
      <c r="R100" s="81">
        <f t="shared" si="8"/>
        <v>2.9493760509779463E-2</v>
      </c>
    </row>
    <row r="101" spans="1:20">
      <c r="A101" s="40">
        <f>+kri!A101</f>
        <v>100</v>
      </c>
      <c r="B101" s="27">
        <f>+Table1[[#This Row],[Volume P]]</f>
        <v>1516.6</v>
      </c>
      <c r="C101" s="41" t="str">
        <f>+Table1[[#This Row],[Modality]]</f>
        <v>mr</v>
      </c>
      <c r="D101" s="73"/>
      <c r="E101" s="52">
        <f>+Table1[[#This Row],[Volume A]]</f>
        <v>1516.6</v>
      </c>
      <c r="F101" s="5">
        <f>ABS((Table1[[#This Row],[Volume A]]-Table1[[#This Row],[Volume P]])/Table1[[#This Row],[Volume P]])</f>
        <v>0</v>
      </c>
      <c r="G101" s="79">
        <v>0.93599999999999994</v>
      </c>
      <c r="H101" s="3"/>
      <c r="J101" s="51"/>
      <c r="K101" s="56"/>
      <c r="M101" s="23">
        <v>1489.94</v>
      </c>
      <c r="N101" s="36">
        <f t="shared" si="6"/>
        <v>1.7578794672293192E-2</v>
      </c>
      <c r="O101" s="42">
        <v>0.94909999999999994</v>
      </c>
      <c r="Q101" s="44">
        <v>1743.42</v>
      </c>
      <c r="R101" s="81">
        <f t="shared" si="8"/>
        <v>0.1495582223394436</v>
      </c>
    </row>
    <row r="102" spans="1:20">
      <c r="A102" s="40">
        <f>+kri!A102</f>
        <v>101</v>
      </c>
      <c r="B102" s="27">
        <f>+Table1[[#This Row],[Volume P]]</f>
        <v>3679.8</v>
      </c>
      <c r="C102" s="41" t="str">
        <f>+Table1[[#This Row],[Modality]]</f>
        <v>ct</v>
      </c>
      <c r="D102" s="73"/>
      <c r="E102" s="52">
        <f>+Table1[[#This Row],[Volume A]]</f>
        <v>3683.1</v>
      </c>
      <c r="F102" s="5">
        <f>ABS((Table1[[#This Row],[Volume A]]-Table1[[#This Row],[Volume P]])/Table1[[#This Row],[Volume P]])</f>
        <v>8.9678786890584465E-4</v>
      </c>
      <c r="G102" s="79">
        <v>0.96900000000000008</v>
      </c>
      <c r="H102" s="3"/>
      <c r="I102" s="52">
        <v>3521.54</v>
      </c>
      <c r="J102" s="51">
        <f t="shared" si="7"/>
        <v>4.3007772161530573E-2</v>
      </c>
      <c r="K102" s="55">
        <v>0.93300000000000005</v>
      </c>
      <c r="N102" s="36"/>
      <c r="Q102" s="44">
        <v>3221.66</v>
      </c>
      <c r="R102" s="81">
        <f t="shared" si="8"/>
        <v>0.12450133159410846</v>
      </c>
      <c r="T102" s="16" t="s">
        <v>33</v>
      </c>
    </row>
    <row r="103" spans="1:20">
      <c r="A103" s="40">
        <f>+kri!A103</f>
        <v>102</v>
      </c>
      <c r="B103" s="27">
        <f>+Table1[[#This Row],[Volume P]]</f>
        <v>1456.5</v>
      </c>
      <c r="C103" s="41" t="str">
        <f>+Table1[[#This Row],[Modality]]</f>
        <v>mr</v>
      </c>
      <c r="D103" s="73"/>
      <c r="E103" s="52">
        <f>+Table1[[#This Row],[Volume A]]</f>
        <v>1452.8</v>
      </c>
      <c r="F103" s="5">
        <f>ABS((Table1[[#This Row],[Volume A]]-Table1[[#This Row],[Volume P]])/Table1[[#This Row],[Volume P]])</f>
        <v>2.5403364229317168E-3</v>
      </c>
      <c r="G103" s="79">
        <v>0.85599999999999998</v>
      </c>
      <c r="H103" s="3"/>
      <c r="J103" s="51"/>
      <c r="M103" s="52">
        <v>1988.8</v>
      </c>
      <c r="N103" s="64">
        <f t="shared" si="6"/>
        <v>0.36546515619636111</v>
      </c>
      <c r="O103" s="63">
        <v>0.80160799999999999</v>
      </c>
      <c r="Q103" s="44">
        <v>381.05599999999998</v>
      </c>
      <c r="R103" s="81">
        <f t="shared" si="8"/>
        <v>0.73837555784414688</v>
      </c>
      <c r="T103" s="16" t="s">
        <v>36</v>
      </c>
    </row>
    <row r="104" spans="1:20">
      <c r="A104" s="40">
        <f>+kri!A104</f>
        <v>103</v>
      </c>
      <c r="B104" s="27">
        <f>+Table1[[#This Row],[Volume P]]</f>
        <v>1737.8</v>
      </c>
      <c r="C104" s="41" t="str">
        <f>+Table1[[#This Row],[Modality]]</f>
        <v>mr</v>
      </c>
      <c r="D104" s="73"/>
      <c r="E104" s="52">
        <f>+Table1[[#This Row],[Volume A]]</f>
        <v>1923.1</v>
      </c>
      <c r="F104" s="5">
        <f>ABS((Table1[[#This Row],[Volume A]]-Table1[[#This Row],[Volume P]])/Table1[[#This Row],[Volume P]])</f>
        <v>0.10662907123949819</v>
      </c>
      <c r="G104" s="79">
        <v>0.91099999999999992</v>
      </c>
      <c r="H104" s="3"/>
      <c r="J104" s="51"/>
      <c r="M104" s="23">
        <v>1781.79</v>
      </c>
      <c r="N104" s="29">
        <f t="shared" si="6"/>
        <v>2.5313614915410294E-2</v>
      </c>
      <c r="O104" s="42">
        <v>0.93269499999999994</v>
      </c>
      <c r="Q104" s="44">
        <v>2586.61</v>
      </c>
      <c r="R104" s="81">
        <f t="shared" si="8"/>
        <v>0.48843940614570158</v>
      </c>
    </row>
    <row r="105" spans="1:20">
      <c r="N105" s="37"/>
    </row>
    <row r="106" spans="1:20" ht="16.5" thickBot="1">
      <c r="N106" s="37"/>
    </row>
    <row r="107" spans="1:20">
      <c r="B107" s="58"/>
      <c r="C107" s="34">
        <f>COUNTIF(C2:C104,"=mr")</f>
        <v>55</v>
      </c>
      <c r="D107" s="74"/>
      <c r="N107" s="37"/>
    </row>
    <row r="108" spans="1:20" ht="16.5" thickBot="1">
      <c r="B108" s="59"/>
      <c r="C108" s="35">
        <f>COUNTIF(C2:C104,"=ct")</f>
        <v>46</v>
      </c>
      <c r="D108" s="74"/>
      <c r="F108" s="12"/>
      <c r="N108" s="37"/>
    </row>
    <row r="109" spans="1:20">
      <c r="F109" s="5"/>
      <c r="N109" s="37"/>
    </row>
    <row r="110" spans="1:20">
      <c r="N110" s="37"/>
    </row>
    <row r="111" spans="1:20">
      <c r="N111" s="37"/>
    </row>
    <row r="112" spans="1:20">
      <c r="N112" s="37"/>
    </row>
    <row r="113" spans="14:14">
      <c r="N113" s="37"/>
    </row>
    <row r="114" spans="14:14">
      <c r="N114" s="37"/>
    </row>
    <row r="115" spans="14:14">
      <c r="N115" s="37"/>
    </row>
    <row r="116" spans="14:14">
      <c r="N116" s="37"/>
    </row>
    <row r="117" spans="14:14">
      <c r="N117" s="37"/>
    </row>
    <row r="118" spans="14:14">
      <c r="N118" s="37"/>
    </row>
    <row r="119" spans="14:14">
      <c r="N119" s="37"/>
    </row>
    <row r="120" spans="14:14">
      <c r="N120" s="37"/>
    </row>
    <row r="121" spans="14:14">
      <c r="N121" s="37"/>
    </row>
    <row r="122" spans="14:14">
      <c r="N122" s="37"/>
    </row>
    <row r="123" spans="14:14">
      <c r="N123" s="37"/>
    </row>
    <row r="124" spans="14:14">
      <c r="N124" s="37"/>
    </row>
    <row r="125" spans="14:14">
      <c r="N125" s="37"/>
    </row>
    <row r="126" spans="14:14">
      <c r="N126" s="37"/>
    </row>
    <row r="127" spans="14:14">
      <c r="N127" s="37"/>
    </row>
    <row r="128" spans="14:14">
      <c r="N128" s="37"/>
    </row>
    <row r="129" spans="14:14">
      <c r="N129" s="37"/>
    </row>
    <row r="130" spans="14:14">
      <c r="N130" s="37"/>
    </row>
    <row r="131" spans="14:14">
      <c r="N131" s="37"/>
    </row>
    <row r="132" spans="14:14">
      <c r="N132" s="37"/>
    </row>
    <row r="133" spans="14:14">
      <c r="N133" s="37"/>
    </row>
    <row r="134" spans="14:14">
      <c r="N134" s="37"/>
    </row>
    <row r="135" spans="14:14">
      <c r="N135" s="37"/>
    </row>
    <row r="136" spans="14:14">
      <c r="N136" s="37"/>
    </row>
    <row r="137" spans="14:14">
      <c r="N137" s="37"/>
    </row>
    <row r="138" spans="14:14">
      <c r="N138" s="37"/>
    </row>
    <row r="139" spans="14:14">
      <c r="N139" s="37"/>
    </row>
    <row r="140" spans="14:14">
      <c r="N140" s="37"/>
    </row>
    <row r="141" spans="14:14">
      <c r="N141" s="37"/>
    </row>
    <row r="142" spans="14:14">
      <c r="N142" s="37"/>
    </row>
    <row r="143" spans="14:14">
      <c r="N143" s="37"/>
    </row>
    <row r="144" spans="14:14">
      <c r="N144" s="37"/>
    </row>
    <row r="145" spans="14:14">
      <c r="N145" s="37"/>
    </row>
    <row r="146" spans="14:14">
      <c r="N146" s="37"/>
    </row>
    <row r="147" spans="14:14">
      <c r="N147" s="37"/>
    </row>
    <row r="148" spans="14:14">
      <c r="N148" s="37"/>
    </row>
    <row r="149" spans="14:14">
      <c r="N149" s="37"/>
    </row>
    <row r="150" spans="14:14">
      <c r="N150" s="37"/>
    </row>
    <row r="151" spans="14:14">
      <c r="N151" s="37"/>
    </row>
    <row r="152" spans="14:14">
      <c r="N152" s="37"/>
    </row>
    <row r="153" spans="14:14">
      <c r="N153" s="37"/>
    </row>
    <row r="154" spans="14:14">
      <c r="N154" s="37"/>
    </row>
    <row r="155" spans="14:14">
      <c r="N155" s="37"/>
    </row>
    <row r="156" spans="14:14">
      <c r="N156" s="37"/>
    </row>
    <row r="157" spans="14:14">
      <c r="N157" s="37"/>
    </row>
    <row r="158" spans="14:14">
      <c r="N158" s="37"/>
    </row>
    <row r="159" spans="14:14">
      <c r="N159" s="37"/>
    </row>
    <row r="160" spans="14:14">
      <c r="N160" s="37"/>
    </row>
    <row r="161" spans="14:14">
      <c r="N161" s="37"/>
    </row>
    <row r="162" spans="14:14">
      <c r="N162" s="37"/>
    </row>
    <row r="163" spans="14:14">
      <c r="N163" s="37"/>
    </row>
    <row r="164" spans="14:14">
      <c r="N164" s="37"/>
    </row>
    <row r="165" spans="14:14">
      <c r="N165" s="37"/>
    </row>
    <row r="166" spans="14:14">
      <c r="N166" s="37"/>
    </row>
    <row r="167" spans="14:14">
      <c r="N167" s="37"/>
    </row>
    <row r="168" spans="14:14">
      <c r="N168" s="29"/>
    </row>
    <row r="169" spans="14:14">
      <c r="N169" s="29"/>
    </row>
    <row r="170" spans="14:14">
      <c r="N170" s="29"/>
    </row>
    <row r="171" spans="14:14">
      <c r="N171" s="29"/>
    </row>
    <row r="172" spans="14:14">
      <c r="N172" s="29"/>
    </row>
    <row r="173" spans="14:14">
      <c r="N173" s="29"/>
    </row>
    <row r="174" spans="14:14">
      <c r="N174" s="29"/>
    </row>
    <row r="175" spans="14:14">
      <c r="N175" s="29"/>
    </row>
    <row r="176" spans="14:14">
      <c r="N176" s="29"/>
    </row>
    <row r="177" spans="14:14">
      <c r="N177" s="29"/>
    </row>
    <row r="178" spans="14:14">
      <c r="N178" s="29"/>
    </row>
    <row r="179" spans="14:14">
      <c r="N179" s="29"/>
    </row>
    <row r="180" spans="14:14">
      <c r="N180" s="29"/>
    </row>
    <row r="181" spans="14:14">
      <c r="N181" s="29"/>
    </row>
    <row r="182" spans="14:14">
      <c r="N182" s="29"/>
    </row>
    <row r="183" spans="14:14">
      <c r="N183" s="29"/>
    </row>
    <row r="184" spans="14:14">
      <c r="N184" s="29"/>
    </row>
    <row r="185" spans="14:14">
      <c r="N185" s="29"/>
    </row>
    <row r="186" spans="14:14">
      <c r="N186" s="29"/>
    </row>
    <row r="187" spans="14:14">
      <c r="N187" s="29"/>
    </row>
    <row r="188" spans="14:14">
      <c r="N188" s="29"/>
    </row>
    <row r="189" spans="14:14">
      <c r="N189" s="29"/>
    </row>
    <row r="190" spans="14:14">
      <c r="N190" s="29"/>
    </row>
    <row r="191" spans="14:14">
      <c r="N191" s="29"/>
    </row>
    <row r="192" spans="14:14">
      <c r="N192" s="29"/>
    </row>
  </sheetData>
  <mergeCells count="12">
    <mergeCell ref="Y4:Z8"/>
    <mergeCell ref="V4:W4"/>
    <mergeCell ref="Y11:Y15"/>
    <mergeCell ref="Z11:Z15"/>
    <mergeCell ref="V11:W11"/>
    <mergeCell ref="Y26:Z32"/>
    <mergeCell ref="V25:W25"/>
    <mergeCell ref="V18:W18"/>
    <mergeCell ref="Y21:Y25"/>
    <mergeCell ref="Z21:Z25"/>
    <mergeCell ref="Y16:Y20"/>
    <mergeCell ref="Z16:Z20"/>
  </mergeCells>
  <conditionalFormatting sqref="R25:R28 R31:R36 R38:R41 R75:R104 R2:R23 R43:R73">
    <cfRule type="cellIs" dxfId="15" priority="22" operator="greaterThan">
      <formula>50</formula>
    </cfRule>
    <cfRule type="cellIs" dxfId="14" priority="23" operator="greaterThan">
      <formula>0.2</formula>
    </cfRule>
  </conditionalFormatting>
  <conditionalFormatting sqref="H2:H104 C2:D104">
    <cfRule type="containsText" dxfId="13" priority="20" operator="containsText" text="ct">
      <formula>NOT(ISERROR(SEARCH("ct",C2)))</formula>
    </cfRule>
    <cfRule type="containsText" dxfId="12" priority="21" operator="containsText" text="MR">
      <formula>NOT(ISERROR(SEARCH("MR",C2)))</formula>
    </cfRule>
  </conditionalFormatting>
  <conditionalFormatting sqref="R24">
    <cfRule type="cellIs" dxfId="11" priority="18" operator="greaterThan">
      <formula>50</formula>
    </cfRule>
    <cfRule type="cellIs" dxfId="10" priority="19" operator="greaterThan">
      <formula>0.2</formula>
    </cfRule>
  </conditionalFormatting>
  <conditionalFormatting sqref="R29:R30">
    <cfRule type="cellIs" dxfId="9" priority="16" operator="greaterThan">
      <formula>50</formula>
    </cfRule>
    <cfRule type="cellIs" dxfId="8" priority="17" operator="greaterThan">
      <formula>0.2</formula>
    </cfRule>
  </conditionalFormatting>
  <conditionalFormatting sqref="R37">
    <cfRule type="cellIs" dxfId="7" priority="14" operator="greaterThan">
      <formula>50</formula>
    </cfRule>
    <cfRule type="cellIs" dxfId="6" priority="15" operator="greaterThan">
      <formula>0.2</formula>
    </cfRule>
  </conditionalFormatting>
  <conditionalFormatting sqref="R42">
    <cfRule type="cellIs" dxfId="5" priority="12" operator="greaterThan">
      <formula>50</formula>
    </cfRule>
    <cfRule type="cellIs" dxfId="4" priority="13" operator="greaterThan">
      <formula>0.2</formula>
    </cfRule>
  </conditionalFormatting>
  <conditionalFormatting sqref="R74">
    <cfRule type="cellIs" dxfId="3" priority="10" operator="greaterThan">
      <formula>50</formula>
    </cfRule>
    <cfRule type="cellIs" dxfId="2" priority="11" operator="greaterThan">
      <formula>0.2</formula>
    </cfRule>
  </conditionalFormatting>
  <conditionalFormatting sqref="R1:R1048576">
    <cfRule type="colorScale" priority="7">
      <colorScale>
        <cfvo type="min"/>
        <cfvo type="max"/>
        <color rgb="FFFCFCFF"/>
        <color rgb="FFF8696B"/>
      </colorScale>
    </cfRule>
  </conditionalFormatting>
  <conditionalFormatting sqref="J1:J1048576">
    <cfRule type="colorScale" priority="3">
      <colorScale>
        <cfvo type="min"/>
        <cfvo type="max"/>
        <color rgb="FFFCFCFF"/>
        <color rgb="FFF8696B"/>
      </colorScale>
    </cfRule>
  </conditionalFormatting>
  <conditionalFormatting sqref="N1:N1048576">
    <cfRule type="colorScale" priority="2">
      <colorScale>
        <cfvo type="min"/>
        <cfvo type="max"/>
        <color rgb="FFFCFCFF"/>
        <color rgb="FFF8696B"/>
      </colorScale>
    </cfRule>
  </conditionalFormatting>
  <conditionalFormatting sqref="F1:F1048576">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workbookViewId="0">
      <selection activeCell="C12" sqref="C12"/>
    </sheetView>
  </sheetViews>
  <sheetFormatPr defaultColWidth="11.42578125" defaultRowHeight="15"/>
  <sheetData>
    <row r="1" spans="1:2">
      <c r="B1" t="s">
        <v>56</v>
      </c>
    </row>
    <row r="2" spans="1:2">
      <c r="A2">
        <v>84</v>
      </c>
      <c r="B2">
        <v>55.74</v>
      </c>
    </row>
    <row r="3" spans="1:2">
      <c r="A3">
        <v>87</v>
      </c>
      <c r="B3">
        <v>77.14</v>
      </c>
    </row>
    <row r="4" spans="1:2">
      <c r="A4">
        <v>88</v>
      </c>
      <c r="B4">
        <v>61.07</v>
      </c>
    </row>
    <row r="5" spans="1:2">
      <c r="A5">
        <v>89</v>
      </c>
      <c r="B5">
        <v>77.099999999999994</v>
      </c>
    </row>
    <row r="6" spans="1:2">
      <c r="A6">
        <v>90</v>
      </c>
      <c r="B6">
        <v>57.61</v>
      </c>
    </row>
    <row r="7" spans="1:2">
      <c r="A7">
        <v>91</v>
      </c>
      <c r="B7">
        <v>40.07</v>
      </c>
    </row>
    <row r="8" spans="1:2">
      <c r="A8">
        <v>92</v>
      </c>
      <c r="B8">
        <v>44.61</v>
      </c>
    </row>
    <row r="9" spans="1:2">
      <c r="A9">
        <v>93</v>
      </c>
      <c r="B9">
        <v>44.32</v>
      </c>
    </row>
    <row r="10" spans="1:2">
      <c r="A10">
        <v>94</v>
      </c>
      <c r="B10">
        <v>44.97</v>
      </c>
    </row>
    <row r="11" spans="1:2">
      <c r="A11">
        <v>95</v>
      </c>
      <c r="B11">
        <v>56.03</v>
      </c>
    </row>
    <row r="12" spans="1:2">
      <c r="A12">
        <v>96</v>
      </c>
      <c r="B12">
        <v>49.09</v>
      </c>
    </row>
    <row r="13" spans="1:2">
      <c r="A13">
        <v>97</v>
      </c>
      <c r="B13">
        <v>52.93</v>
      </c>
    </row>
    <row r="14" spans="1:2">
      <c r="A14">
        <v>98</v>
      </c>
      <c r="B14">
        <v>54.43</v>
      </c>
    </row>
    <row r="15" spans="1:2">
      <c r="A15">
        <v>99</v>
      </c>
      <c r="B15">
        <v>52.17</v>
      </c>
    </row>
    <row r="16" spans="1:2">
      <c r="A16">
        <v>100</v>
      </c>
      <c r="B16">
        <v>54.84</v>
      </c>
    </row>
    <row r="17" spans="1:2">
      <c r="A17">
        <v>101</v>
      </c>
      <c r="B17">
        <v>75.209999999999994</v>
      </c>
    </row>
    <row r="18" spans="1:2">
      <c r="A18">
        <v>102</v>
      </c>
      <c r="B18">
        <v>61.03</v>
      </c>
    </row>
    <row r="19" spans="1:2">
      <c r="A19">
        <v>103</v>
      </c>
      <c r="B19">
        <v>53.82</v>
      </c>
    </row>
    <row r="21" spans="1:2">
      <c r="A21" t="s">
        <v>58</v>
      </c>
      <c r="B21" s="70">
        <f>AVERAGE(B2:B19)</f>
        <v>56.232222222222219</v>
      </c>
    </row>
    <row r="22" spans="1:2">
      <c r="A22" t="s">
        <v>57</v>
      </c>
      <c r="B22" s="70">
        <f>STDEV(B2:B19)</f>
        <v>10.94320770026974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E945-0D8C-4E30-9002-CD1F7DD1041B}">
  <dimension ref="B2:AB66"/>
  <sheetViews>
    <sheetView tabSelected="1" topLeftCell="C11" zoomScale="115" zoomScaleNormal="115" workbookViewId="0">
      <selection activeCell="U56" sqref="U56"/>
    </sheetView>
  </sheetViews>
  <sheetFormatPr defaultRowHeight="15"/>
  <cols>
    <col min="1" max="1" width="3.5703125" customWidth="1"/>
    <col min="2" max="2" width="11.85546875" style="16" customWidth="1"/>
    <col min="3" max="3" width="9.140625" style="16"/>
    <col min="4" max="4" width="12.42578125" style="16" customWidth="1"/>
    <col min="5" max="5" width="11.85546875" style="16" customWidth="1"/>
    <col min="6" max="6" width="11.7109375" style="85" customWidth="1"/>
    <col min="10" max="15" width="9.140625" style="99"/>
    <col min="16" max="16" width="3.42578125" style="99" customWidth="1"/>
    <col min="17" max="28" width="9.140625" style="99"/>
  </cols>
  <sheetData>
    <row r="2" spans="2:21">
      <c r="B2" s="138" t="s">
        <v>78</v>
      </c>
      <c r="C2" s="139"/>
      <c r="D2" s="139"/>
      <c r="E2" s="139"/>
      <c r="F2" s="140"/>
      <c r="K2" s="109"/>
      <c r="L2" s="109"/>
      <c r="M2" s="109"/>
      <c r="N2" s="109"/>
      <c r="O2" s="109"/>
      <c r="P2" s="109"/>
      <c r="Q2" s="109"/>
      <c r="R2" s="109"/>
      <c r="S2" s="109"/>
      <c r="T2" s="109"/>
      <c r="U2" s="109"/>
    </row>
    <row r="3" spans="2:21">
      <c r="B3" s="141" t="s">
        <v>87</v>
      </c>
      <c r="C3" s="136" t="s">
        <v>38</v>
      </c>
      <c r="D3" s="143" t="s">
        <v>79</v>
      </c>
      <c r="E3" s="143"/>
      <c r="F3" s="144"/>
      <c r="I3" s="136" t="s">
        <v>76</v>
      </c>
      <c r="J3" s="136" t="s">
        <v>38</v>
      </c>
      <c r="K3" s="109"/>
      <c r="L3" s="109"/>
      <c r="M3" s="109"/>
      <c r="N3" s="109"/>
      <c r="O3" s="109"/>
      <c r="Q3" s="109"/>
      <c r="R3" s="109"/>
      <c r="S3" s="109"/>
      <c r="T3" s="109"/>
      <c r="U3" s="109"/>
    </row>
    <row r="4" spans="2:21">
      <c r="B4" s="142"/>
      <c r="C4" s="137"/>
      <c r="D4" s="91" t="s">
        <v>80</v>
      </c>
      <c r="E4" s="91" t="s">
        <v>81</v>
      </c>
      <c r="F4" s="92" t="s">
        <v>32</v>
      </c>
      <c r="I4" s="137"/>
      <c r="J4" s="137"/>
      <c r="K4" s="109"/>
      <c r="L4" s="109"/>
      <c r="M4" s="105"/>
      <c r="N4" s="105"/>
      <c r="O4" s="110"/>
      <c r="Q4" s="109"/>
      <c r="R4" s="109"/>
      <c r="S4" s="105"/>
      <c r="T4" s="105"/>
      <c r="U4" s="110"/>
    </row>
    <row r="5" spans="2:21">
      <c r="B5" s="87">
        <v>6</v>
      </c>
      <c r="C5" s="95">
        <v>0.94766400000000006</v>
      </c>
      <c r="D5" s="93">
        <v>1515.4</v>
      </c>
      <c r="E5" s="93">
        <v>1533.96</v>
      </c>
      <c r="F5" s="88">
        <v>1.2247591395011182E-2</v>
      </c>
      <c r="I5" s="87">
        <v>6</v>
      </c>
      <c r="J5" s="95">
        <v>0.94766400000000006</v>
      </c>
      <c r="K5" s="106"/>
      <c r="L5" s="37"/>
      <c r="M5" s="93"/>
      <c r="N5" s="93"/>
      <c r="O5" s="37"/>
      <c r="Q5" s="106"/>
      <c r="R5" s="37"/>
      <c r="S5" s="93"/>
      <c r="T5" s="93"/>
      <c r="U5" s="37"/>
    </row>
    <row r="6" spans="2:21">
      <c r="B6" s="87">
        <v>7</v>
      </c>
      <c r="C6" s="95">
        <v>0.869174</v>
      </c>
      <c r="D6" s="93">
        <v>1328.6</v>
      </c>
      <c r="E6" s="93">
        <v>1512.47</v>
      </c>
      <c r="F6" s="88">
        <v>0.13839379798283918</v>
      </c>
      <c r="I6" s="87">
        <v>7</v>
      </c>
      <c r="J6" s="95">
        <v>0.869174</v>
      </c>
      <c r="K6" s="106"/>
      <c r="L6" s="37"/>
      <c r="M6" s="93"/>
      <c r="N6" s="93"/>
      <c r="O6" s="37"/>
      <c r="Q6" s="106"/>
      <c r="R6" s="37"/>
      <c r="S6" s="93"/>
      <c r="T6" s="93"/>
      <c r="U6" s="37"/>
    </row>
    <row r="7" spans="2:21">
      <c r="B7" s="87">
        <v>8</v>
      </c>
      <c r="C7" s="95">
        <v>0.88927000000000012</v>
      </c>
      <c r="D7" s="93">
        <v>1243</v>
      </c>
      <c r="E7" s="93">
        <v>1277.24</v>
      </c>
      <c r="F7" s="88">
        <v>2.7546259050683836E-2</v>
      </c>
      <c r="I7" s="87">
        <v>8</v>
      </c>
      <c r="J7" s="95">
        <v>0.88927000000000012</v>
      </c>
      <c r="K7" s="106"/>
      <c r="L7" s="37"/>
      <c r="M7" s="93"/>
      <c r="N7" s="93"/>
      <c r="O7" s="37"/>
      <c r="Q7" s="106"/>
      <c r="R7" s="37"/>
      <c r="S7" s="93"/>
      <c r="T7" s="93"/>
      <c r="U7" s="37"/>
    </row>
    <row r="8" spans="2:21">
      <c r="B8" s="87">
        <v>10</v>
      </c>
      <c r="C8" s="95">
        <v>0.93800700000000004</v>
      </c>
      <c r="D8" s="93">
        <v>1330</v>
      </c>
      <c r="E8" s="93">
        <v>1338.03</v>
      </c>
      <c r="F8" s="88">
        <v>6.0375939849623859E-3</v>
      </c>
      <c r="I8" s="87">
        <v>10</v>
      </c>
      <c r="J8" s="95">
        <v>0.93800700000000004</v>
      </c>
      <c r="K8" s="106"/>
      <c r="L8" s="37"/>
      <c r="M8" s="93"/>
      <c r="N8" s="93"/>
      <c r="O8" s="37"/>
      <c r="Q8" s="106"/>
      <c r="R8" s="37"/>
      <c r="S8" s="93"/>
      <c r="T8" s="93"/>
      <c r="U8" s="37"/>
    </row>
    <row r="9" spans="2:21">
      <c r="B9" s="87">
        <v>11</v>
      </c>
      <c r="C9" s="95">
        <v>0.92682699999999996</v>
      </c>
      <c r="D9" s="93">
        <v>1549.1</v>
      </c>
      <c r="E9" s="93">
        <v>1494.06</v>
      </c>
      <c r="F9" s="88">
        <v>3.5530307920728144E-2</v>
      </c>
      <c r="I9" s="87">
        <v>11</v>
      </c>
      <c r="J9" s="95">
        <v>0.92682699999999996</v>
      </c>
      <c r="K9" s="106"/>
      <c r="L9" s="37"/>
      <c r="M9" s="93"/>
      <c r="N9" s="93"/>
      <c r="O9" s="37"/>
      <c r="Q9" s="106"/>
      <c r="R9" s="37"/>
      <c r="S9" s="93"/>
      <c r="T9" s="93"/>
      <c r="U9" s="37"/>
    </row>
    <row r="10" spans="2:21">
      <c r="B10" s="87">
        <v>13</v>
      </c>
      <c r="C10" s="95">
        <v>0.87819199999999997</v>
      </c>
      <c r="D10" s="93">
        <v>1557.7</v>
      </c>
      <c r="E10" s="93">
        <v>1700.27</v>
      </c>
      <c r="F10" s="88">
        <v>9.1525967772998609E-2</v>
      </c>
      <c r="I10" s="87">
        <v>13</v>
      </c>
      <c r="J10" s="95">
        <v>0.87819199999999997</v>
      </c>
      <c r="K10" s="106"/>
      <c r="L10" s="37"/>
      <c r="M10" s="93"/>
      <c r="N10" s="93"/>
      <c r="O10" s="37"/>
      <c r="Q10" s="106"/>
      <c r="R10" s="37"/>
      <c r="S10" s="93"/>
      <c r="T10" s="93"/>
      <c r="U10" s="37"/>
    </row>
    <row r="11" spans="2:21">
      <c r="B11" s="87">
        <v>20</v>
      </c>
      <c r="C11" s="95">
        <v>0.92710000000000004</v>
      </c>
      <c r="D11" s="93">
        <v>1668.2</v>
      </c>
      <c r="E11" s="93">
        <v>1681.62</v>
      </c>
      <c r="F11" s="88">
        <v>8.0445989689484736E-3</v>
      </c>
      <c r="I11" s="87">
        <v>20</v>
      </c>
      <c r="J11" s="95">
        <v>0.92710000000000004</v>
      </c>
      <c r="K11" s="106"/>
      <c r="L11" s="37"/>
      <c r="M11" s="93"/>
      <c r="N11" s="93"/>
      <c r="O11" s="37"/>
      <c r="Q11" s="106"/>
      <c r="R11" s="37"/>
      <c r="S11" s="93"/>
      <c r="T11" s="93"/>
      <c r="U11" s="37"/>
    </row>
    <row r="12" spans="2:21">
      <c r="B12" s="87">
        <v>21</v>
      </c>
      <c r="C12" s="95">
        <v>0.90654899999999994</v>
      </c>
      <c r="D12" s="93">
        <v>1799</v>
      </c>
      <c r="E12" s="93">
        <v>1934.24</v>
      </c>
      <c r="F12" s="88">
        <v>7.5175097276264591E-2</v>
      </c>
      <c r="I12" s="87">
        <v>21</v>
      </c>
      <c r="J12" s="95">
        <v>0.90654899999999994</v>
      </c>
      <c r="K12" s="106"/>
      <c r="L12" s="37"/>
      <c r="M12" s="93"/>
      <c r="N12" s="93"/>
      <c r="O12" s="37"/>
      <c r="Q12" s="106"/>
      <c r="R12" s="37"/>
      <c r="S12" s="93"/>
      <c r="T12" s="93"/>
      <c r="U12" s="37"/>
    </row>
    <row r="13" spans="2:21">
      <c r="B13" s="87">
        <v>22</v>
      </c>
      <c r="C13" s="95">
        <v>0.9077639999999999</v>
      </c>
      <c r="D13" s="93">
        <v>1394.5</v>
      </c>
      <c r="E13" s="93">
        <v>1276.94</v>
      </c>
      <c r="F13" s="88">
        <v>8.4302617425600537E-2</v>
      </c>
      <c r="I13" s="87">
        <v>22</v>
      </c>
      <c r="J13" s="95">
        <v>0.9077639999999999</v>
      </c>
      <c r="K13" s="106"/>
      <c r="L13" s="37"/>
      <c r="M13" s="93"/>
      <c r="N13" s="93"/>
      <c r="O13" s="37"/>
      <c r="Q13" s="106"/>
      <c r="R13" s="37"/>
      <c r="S13" s="93"/>
      <c r="T13" s="93"/>
      <c r="U13" s="37"/>
    </row>
    <row r="14" spans="2:21">
      <c r="B14" s="87">
        <v>23</v>
      </c>
      <c r="C14" s="95">
        <v>0.88949999999999996</v>
      </c>
      <c r="D14" s="93">
        <v>1033.5</v>
      </c>
      <c r="E14" s="93">
        <v>1012.37</v>
      </c>
      <c r="F14" s="88">
        <v>2.044508950169327E-2</v>
      </c>
      <c r="I14" s="87">
        <v>23</v>
      </c>
      <c r="J14" s="95">
        <v>0.88949999999999996</v>
      </c>
      <c r="K14" s="106"/>
      <c r="L14" s="37"/>
      <c r="M14" s="93"/>
      <c r="N14" s="93"/>
      <c r="O14" s="37"/>
      <c r="Q14" s="106"/>
      <c r="R14" s="37"/>
      <c r="S14" s="93"/>
      <c r="T14" s="93"/>
      <c r="U14" s="37"/>
    </row>
    <row r="15" spans="2:21">
      <c r="B15" s="87">
        <v>25</v>
      </c>
      <c r="C15" s="95">
        <v>0.89823600000000003</v>
      </c>
      <c r="D15" s="93">
        <v>1140.9000000000001</v>
      </c>
      <c r="E15" s="93">
        <v>1244.6600000000001</v>
      </c>
      <c r="F15" s="88">
        <v>9.0945744587606264E-2</v>
      </c>
      <c r="I15" s="87">
        <v>25</v>
      </c>
      <c r="J15" s="95">
        <v>0.89823600000000003</v>
      </c>
      <c r="K15" s="106"/>
      <c r="L15" s="37"/>
      <c r="M15" s="93"/>
      <c r="N15" s="93"/>
      <c r="O15" s="37"/>
      <c r="Q15" s="106"/>
      <c r="R15" s="37"/>
      <c r="S15" s="93"/>
      <c r="T15" s="93"/>
      <c r="U15" s="37"/>
    </row>
    <row r="16" spans="2:21">
      <c r="B16" s="87">
        <v>26</v>
      </c>
      <c r="C16" s="95">
        <v>0.94722499999999998</v>
      </c>
      <c r="D16" s="93">
        <v>1481.1</v>
      </c>
      <c r="E16" s="93">
        <v>1524.13</v>
      </c>
      <c r="F16" s="88">
        <v>2.9052731078252788E-2</v>
      </c>
      <c r="I16" s="87">
        <v>26</v>
      </c>
      <c r="J16" s="95">
        <v>0.94722499999999998</v>
      </c>
      <c r="K16" s="106"/>
      <c r="L16" s="37"/>
      <c r="M16" s="93"/>
      <c r="N16" s="93"/>
      <c r="O16" s="37"/>
      <c r="Q16" s="106"/>
      <c r="R16" s="37"/>
      <c r="S16" s="93"/>
      <c r="T16" s="93"/>
      <c r="U16" s="37"/>
    </row>
    <row r="17" spans="2:21">
      <c r="B17" s="87">
        <v>28</v>
      </c>
      <c r="C17" s="95">
        <v>0.93720000000000003</v>
      </c>
      <c r="D17" s="93">
        <v>1888.9</v>
      </c>
      <c r="E17" s="93">
        <v>2006.6</v>
      </c>
      <c r="F17" s="88">
        <v>6.231139816824597E-2</v>
      </c>
      <c r="I17" s="87">
        <v>28</v>
      </c>
      <c r="J17" s="95">
        <v>0.93720000000000003</v>
      </c>
      <c r="K17" s="106"/>
      <c r="L17" s="37"/>
      <c r="M17" s="93"/>
      <c r="N17" s="93"/>
      <c r="O17" s="37"/>
      <c r="Q17" s="106"/>
      <c r="R17" s="37"/>
      <c r="S17" s="93"/>
      <c r="T17" s="93"/>
      <c r="U17" s="37"/>
    </row>
    <row r="18" spans="2:21">
      <c r="B18" s="87">
        <v>30</v>
      </c>
      <c r="C18" s="95">
        <v>0.94917799999999997</v>
      </c>
      <c r="D18" s="93">
        <v>1989.8</v>
      </c>
      <c r="E18" s="93">
        <v>2030.28</v>
      </c>
      <c r="F18" s="88">
        <v>2.0343753141019206E-2</v>
      </c>
      <c r="I18" s="87">
        <v>30</v>
      </c>
      <c r="J18" s="95">
        <v>0.94917799999999997</v>
      </c>
      <c r="K18" s="106"/>
      <c r="L18" s="37"/>
      <c r="M18" s="93"/>
      <c r="N18" s="93"/>
      <c r="O18" s="37"/>
      <c r="Q18" s="106"/>
      <c r="R18" s="37"/>
      <c r="S18" s="93"/>
      <c r="T18" s="93"/>
      <c r="U18" s="37"/>
    </row>
    <row r="19" spans="2:21">
      <c r="B19" s="87">
        <v>34</v>
      </c>
      <c r="C19" s="95">
        <v>0.93512600000000001</v>
      </c>
      <c r="D19" s="93">
        <v>1294.5999999999999</v>
      </c>
      <c r="E19" s="93">
        <v>1336.71</v>
      </c>
      <c r="F19" s="88">
        <v>3.2527421597404703E-2</v>
      </c>
      <c r="I19" s="87">
        <v>34</v>
      </c>
      <c r="J19" s="95">
        <v>0.93512600000000001</v>
      </c>
      <c r="K19" s="106"/>
      <c r="L19" s="37"/>
      <c r="M19" s="93"/>
      <c r="N19" s="93"/>
      <c r="O19" s="37"/>
      <c r="Q19" s="106"/>
      <c r="R19" s="37"/>
      <c r="S19" s="93"/>
      <c r="T19" s="93"/>
      <c r="U19" s="37"/>
    </row>
    <row r="20" spans="2:21">
      <c r="B20" s="87">
        <v>36</v>
      </c>
      <c r="C20" s="95">
        <v>0.93354100000000007</v>
      </c>
      <c r="D20" s="93">
        <v>1062.8</v>
      </c>
      <c r="E20" s="93">
        <v>1109.0999999999999</v>
      </c>
      <c r="F20" s="88">
        <v>4.35641701166729E-2</v>
      </c>
      <c r="I20" s="87">
        <v>36</v>
      </c>
      <c r="J20" s="95">
        <v>0.93354100000000007</v>
      </c>
      <c r="K20" s="106"/>
      <c r="L20" s="37"/>
      <c r="M20" s="93"/>
      <c r="N20" s="93"/>
      <c r="O20" s="37"/>
      <c r="Q20" s="106"/>
      <c r="R20" s="37"/>
      <c r="S20" s="93"/>
      <c r="T20" s="93"/>
      <c r="U20" s="37"/>
    </row>
    <row r="21" spans="2:21">
      <c r="B21" s="87">
        <v>37</v>
      </c>
      <c r="C21" s="95">
        <v>0.91717899999999997</v>
      </c>
      <c r="D21" s="93">
        <v>1624.4</v>
      </c>
      <c r="E21" s="93">
        <v>1684.75</v>
      </c>
      <c r="F21" s="88">
        <v>3.7152179266190535E-2</v>
      </c>
      <c r="I21" s="87">
        <v>37</v>
      </c>
      <c r="J21" s="95">
        <v>0.91717899999999997</v>
      </c>
      <c r="K21" s="106"/>
      <c r="L21" s="37"/>
      <c r="M21" s="93"/>
      <c r="N21" s="93"/>
      <c r="O21" s="37"/>
      <c r="Q21" s="106"/>
      <c r="R21" s="37"/>
      <c r="S21" s="93"/>
      <c r="T21" s="93"/>
      <c r="U21" s="37"/>
    </row>
    <row r="22" spans="2:21">
      <c r="B22" s="87">
        <v>40</v>
      </c>
      <c r="C22" s="95">
        <v>0.93373500000000009</v>
      </c>
      <c r="D22" s="93">
        <v>1176.0999999999999</v>
      </c>
      <c r="E22" s="93">
        <v>1217.24</v>
      </c>
      <c r="F22" s="88">
        <v>3.4980018705892443E-2</v>
      </c>
      <c r="I22" s="87">
        <v>40</v>
      </c>
      <c r="J22" s="95">
        <v>0.93373500000000009</v>
      </c>
      <c r="K22" s="106"/>
      <c r="L22" s="37"/>
      <c r="M22" s="93"/>
      <c r="N22" s="93"/>
      <c r="O22" s="37"/>
      <c r="Q22" s="106"/>
      <c r="R22" s="37"/>
      <c r="S22" s="93"/>
      <c r="T22" s="93"/>
      <c r="U22" s="37"/>
    </row>
    <row r="23" spans="2:21">
      <c r="B23" s="87">
        <v>41</v>
      </c>
      <c r="C23" s="95">
        <v>0.92842200000000008</v>
      </c>
      <c r="D23" s="93">
        <v>2513.1</v>
      </c>
      <c r="E23" s="93">
        <v>2674.48</v>
      </c>
      <c r="F23" s="88">
        <v>6.4215510723807295E-2</v>
      </c>
      <c r="I23" s="87">
        <v>41</v>
      </c>
      <c r="J23" s="95">
        <v>0.92842200000000008</v>
      </c>
      <c r="K23" s="106"/>
      <c r="L23" s="37"/>
      <c r="M23" s="93"/>
      <c r="N23" s="93"/>
      <c r="O23" s="37"/>
      <c r="Q23" s="106"/>
      <c r="R23" s="37"/>
      <c r="S23" s="93"/>
      <c r="T23" s="93"/>
      <c r="U23" s="37"/>
    </row>
    <row r="24" spans="2:21">
      <c r="B24" s="87">
        <v>42</v>
      </c>
      <c r="C24" s="95">
        <v>0.789883</v>
      </c>
      <c r="D24" s="93">
        <v>2818.8</v>
      </c>
      <c r="E24" s="93">
        <v>2863.1</v>
      </c>
      <c r="F24" s="88">
        <v>1.6E-2</v>
      </c>
      <c r="I24" s="87">
        <v>42</v>
      </c>
      <c r="J24" s="95">
        <v>0.88900000000000001</v>
      </c>
      <c r="K24" s="106"/>
      <c r="L24" s="37"/>
      <c r="M24" s="93"/>
      <c r="N24" s="93"/>
      <c r="O24" s="37"/>
      <c r="Q24" s="106"/>
      <c r="R24" s="37"/>
      <c r="S24" s="93"/>
      <c r="T24" s="93"/>
      <c r="U24" s="37"/>
    </row>
    <row r="25" spans="2:21">
      <c r="B25" s="87">
        <v>46</v>
      </c>
      <c r="C25" s="95">
        <v>0.93404100000000001</v>
      </c>
      <c r="D25" s="93">
        <v>1182.5999999999999</v>
      </c>
      <c r="E25" s="93">
        <v>1224.79</v>
      </c>
      <c r="F25" s="88">
        <v>3.567562996786746E-2</v>
      </c>
      <c r="I25" s="87">
        <v>46</v>
      </c>
      <c r="J25" s="95">
        <v>0.93404100000000001</v>
      </c>
      <c r="K25" s="106"/>
      <c r="L25" s="37"/>
      <c r="M25" s="93"/>
      <c r="N25" s="93"/>
      <c r="O25" s="37"/>
      <c r="Q25" s="106"/>
      <c r="R25" s="37"/>
      <c r="S25" s="93"/>
      <c r="T25" s="93"/>
      <c r="U25" s="37"/>
    </row>
    <row r="26" spans="2:21">
      <c r="B26" s="87">
        <v>49</v>
      </c>
      <c r="C26" s="95">
        <v>0.94564599999999999</v>
      </c>
      <c r="D26" s="93">
        <v>1260.3</v>
      </c>
      <c r="E26" s="93">
        <v>1208.56</v>
      </c>
      <c r="F26" s="88">
        <v>4.1053717368880437E-2</v>
      </c>
      <c r="I26" s="87">
        <v>49</v>
      </c>
      <c r="J26" s="95">
        <v>0.94564599999999999</v>
      </c>
      <c r="K26" s="106"/>
      <c r="L26" s="37"/>
      <c r="M26" s="93"/>
      <c r="N26" s="93"/>
      <c r="O26" s="37"/>
      <c r="Q26" s="106"/>
      <c r="R26" s="37"/>
      <c r="S26" s="93"/>
      <c r="T26" s="93"/>
      <c r="U26" s="37"/>
    </row>
    <row r="27" spans="2:21">
      <c r="B27" s="87">
        <v>50</v>
      </c>
      <c r="C27" s="95">
        <v>0.94772800000000001</v>
      </c>
      <c r="D27" s="93">
        <v>1461.1</v>
      </c>
      <c r="E27" s="93">
        <v>1437.44</v>
      </c>
      <c r="F27" s="88">
        <v>1.6193279036342382E-2</v>
      </c>
      <c r="I27" s="87">
        <v>50</v>
      </c>
      <c r="J27" s="95">
        <v>0.94772800000000001</v>
      </c>
      <c r="K27" s="106"/>
      <c r="L27" s="37"/>
      <c r="M27" s="93"/>
      <c r="N27" s="93"/>
      <c r="O27" s="37"/>
      <c r="Q27" s="106"/>
      <c r="R27" s="37"/>
      <c r="S27" s="93"/>
      <c r="T27" s="93"/>
      <c r="U27" s="37"/>
    </row>
    <row r="28" spans="2:21">
      <c r="B28" s="87">
        <v>55</v>
      </c>
      <c r="C28" s="95">
        <v>0.948631</v>
      </c>
      <c r="D28" s="93">
        <v>2070.5</v>
      </c>
      <c r="E28" s="93">
        <v>1988.71</v>
      </c>
      <c r="F28" s="88">
        <v>3.950253561941558E-2</v>
      </c>
      <c r="I28" s="87">
        <v>55</v>
      </c>
      <c r="J28" s="95">
        <v>0.948631</v>
      </c>
      <c r="K28" s="106"/>
      <c r="L28" s="37"/>
      <c r="M28" s="93"/>
      <c r="N28" s="93"/>
      <c r="O28" s="37"/>
      <c r="Q28" s="106"/>
      <c r="R28" s="37"/>
      <c r="S28" s="93"/>
      <c r="T28" s="93"/>
      <c r="U28" s="37"/>
    </row>
    <row r="29" spans="2:21">
      <c r="B29" s="87">
        <v>56</v>
      </c>
      <c r="C29" s="95">
        <v>0.88887299999999991</v>
      </c>
      <c r="D29" s="93">
        <v>1946.3</v>
      </c>
      <c r="E29" s="93">
        <v>2184.8000000000002</v>
      </c>
      <c r="F29" s="88">
        <v>0.12254020449057197</v>
      </c>
      <c r="I29" s="87">
        <v>56</v>
      </c>
      <c r="J29" s="95">
        <v>0.88887299999999991</v>
      </c>
      <c r="K29" s="106"/>
      <c r="L29" s="37"/>
      <c r="M29" s="93"/>
      <c r="N29" s="93"/>
      <c r="O29" s="37"/>
      <c r="Q29" s="106"/>
      <c r="R29" s="37"/>
      <c r="S29" s="93"/>
      <c r="T29" s="93"/>
      <c r="U29" s="37"/>
    </row>
    <row r="30" spans="2:21">
      <c r="B30" s="87">
        <v>62</v>
      </c>
      <c r="C30" s="95">
        <v>0.92215800000000003</v>
      </c>
      <c r="D30" s="93">
        <v>1662.8</v>
      </c>
      <c r="E30" s="93">
        <v>1588.84</v>
      </c>
      <c r="F30" s="88">
        <v>4.447919172480156E-2</v>
      </c>
      <c r="I30" s="87">
        <v>62</v>
      </c>
      <c r="J30" s="95">
        <v>0.92215800000000003</v>
      </c>
      <c r="K30" s="106"/>
      <c r="L30" s="37"/>
      <c r="M30" s="93"/>
      <c r="N30" s="93"/>
      <c r="O30" s="37"/>
      <c r="Q30" s="106"/>
      <c r="R30" s="37"/>
      <c r="S30" s="93"/>
      <c r="T30" s="93"/>
      <c r="U30" s="37"/>
    </row>
    <row r="31" spans="2:21">
      <c r="B31" s="87">
        <v>66</v>
      </c>
      <c r="C31" s="95">
        <v>0.94334699999999994</v>
      </c>
      <c r="D31" s="93">
        <v>2494.6</v>
      </c>
      <c r="E31" s="93">
        <v>2389.33</v>
      </c>
      <c r="F31" s="88">
        <v>4.2199150164355E-2</v>
      </c>
      <c r="I31" s="87">
        <v>66</v>
      </c>
      <c r="J31" s="95">
        <v>0.94334699999999994</v>
      </c>
      <c r="K31" s="106"/>
      <c r="L31" s="37"/>
      <c r="M31" s="93"/>
      <c r="N31" s="93"/>
      <c r="O31" s="37"/>
      <c r="Q31" s="106"/>
      <c r="R31" s="37"/>
      <c r="S31" s="93"/>
      <c r="T31" s="93"/>
      <c r="U31" s="37"/>
    </row>
    <row r="32" spans="2:21">
      <c r="B32" s="87">
        <v>67</v>
      </c>
      <c r="C32" s="95">
        <v>0.89288100000000004</v>
      </c>
      <c r="D32" s="93">
        <v>1174.3</v>
      </c>
      <c r="E32" s="93">
        <v>1361.91</v>
      </c>
      <c r="F32" s="88">
        <v>0.15976326322064219</v>
      </c>
      <c r="I32" s="87">
        <v>67</v>
      </c>
      <c r="J32" s="95">
        <v>0.89288100000000004</v>
      </c>
    </row>
    <row r="33" spans="2:10">
      <c r="B33" s="87">
        <v>69</v>
      </c>
      <c r="C33" s="95">
        <v>0.93168499999999999</v>
      </c>
      <c r="D33" s="93">
        <v>1835.2</v>
      </c>
      <c r="E33" s="93">
        <v>1873.03</v>
      </c>
      <c r="F33" s="88">
        <v>2.061355710549255E-2</v>
      </c>
      <c r="I33" s="87">
        <v>69</v>
      </c>
      <c r="J33" s="95">
        <v>0.93168499999999999</v>
      </c>
    </row>
    <row r="34" spans="2:10">
      <c r="B34" s="87">
        <v>70</v>
      </c>
      <c r="C34" s="95">
        <v>0.95642899999999997</v>
      </c>
      <c r="D34" s="93">
        <v>2720.7</v>
      </c>
      <c r="E34" s="93">
        <v>2739.91</v>
      </c>
      <c r="F34" s="88">
        <v>7.0606829124857714E-3</v>
      </c>
      <c r="I34" s="87">
        <v>70</v>
      </c>
      <c r="J34" s="95">
        <v>0.95642899999999997</v>
      </c>
    </row>
    <row r="35" spans="2:10">
      <c r="B35" s="87">
        <v>71</v>
      </c>
      <c r="C35" s="95">
        <v>0.90966199999999997</v>
      </c>
      <c r="D35" s="93">
        <v>2136.1999999999998</v>
      </c>
      <c r="E35" s="93">
        <v>2166.4899999999998</v>
      </c>
      <c r="F35" s="88">
        <v>1.4179383952813391E-2</v>
      </c>
      <c r="I35" s="87">
        <v>71</v>
      </c>
      <c r="J35" s="95">
        <v>0.90966199999999997</v>
      </c>
    </row>
    <row r="36" spans="2:10">
      <c r="B36" s="87">
        <v>74</v>
      </c>
      <c r="C36" s="95">
        <v>0.886463</v>
      </c>
      <c r="D36" s="93">
        <v>1141.8</v>
      </c>
      <c r="E36" s="93">
        <v>1026.5999999999999</v>
      </c>
      <c r="F36" s="88">
        <v>0.10089332632685238</v>
      </c>
      <c r="I36" s="87">
        <v>74</v>
      </c>
      <c r="J36" s="95">
        <v>0.886463</v>
      </c>
    </row>
    <row r="37" spans="2:10">
      <c r="B37" s="87">
        <v>75</v>
      </c>
      <c r="C37" s="95">
        <v>0.94224299999999994</v>
      </c>
      <c r="D37" s="93">
        <v>1485.8</v>
      </c>
      <c r="E37" s="93">
        <v>1467.93</v>
      </c>
      <c r="F37" s="88">
        <v>1.2027190738995754E-2</v>
      </c>
      <c r="I37" s="87">
        <v>75</v>
      </c>
      <c r="J37" s="95">
        <v>0.94224299999999994</v>
      </c>
    </row>
    <row r="38" spans="2:10">
      <c r="B38" s="87">
        <v>78</v>
      </c>
      <c r="C38" s="95">
        <v>0.90231300000000003</v>
      </c>
      <c r="D38" s="93">
        <v>1951.7</v>
      </c>
      <c r="E38" s="93">
        <v>1922.03</v>
      </c>
      <c r="F38" s="88">
        <v>1.5202131475124288E-2</v>
      </c>
      <c r="I38" s="87">
        <v>78</v>
      </c>
      <c r="J38" s="95">
        <v>0.90231300000000003</v>
      </c>
    </row>
    <row r="39" spans="2:10">
      <c r="B39" s="87">
        <v>79</v>
      </c>
      <c r="C39" s="95">
        <v>0.92179800000000001</v>
      </c>
      <c r="D39" s="93">
        <v>2142.6999999999998</v>
      </c>
      <c r="E39" s="93">
        <v>2259.59</v>
      </c>
      <c r="F39" s="88">
        <v>5.4552667195594498E-2</v>
      </c>
      <c r="I39" s="87">
        <v>79</v>
      </c>
      <c r="J39" s="95">
        <v>0.92179800000000001</v>
      </c>
    </row>
    <row r="40" spans="2:10">
      <c r="B40" s="87">
        <v>80</v>
      </c>
      <c r="C40" s="95">
        <v>0.85251699999999997</v>
      </c>
      <c r="D40" s="93">
        <v>1644.7</v>
      </c>
      <c r="E40" s="93">
        <v>1426.86</v>
      </c>
      <c r="F40" s="88">
        <v>0.13244968687298603</v>
      </c>
      <c r="I40" s="87">
        <v>80</v>
      </c>
      <c r="J40" s="95">
        <v>0.85251699999999997</v>
      </c>
    </row>
    <row r="41" spans="2:10">
      <c r="B41" s="87">
        <v>81</v>
      </c>
      <c r="C41" s="95">
        <v>0.90825699999999998</v>
      </c>
      <c r="D41" s="93">
        <v>1284.0999999999999</v>
      </c>
      <c r="E41" s="93">
        <v>1440.9</v>
      </c>
      <c r="F41" s="88">
        <v>0.12210887002569909</v>
      </c>
      <c r="I41" s="87">
        <v>81</v>
      </c>
      <c r="J41" s="95">
        <v>0.90825699999999998</v>
      </c>
    </row>
    <row r="42" spans="2:10">
      <c r="B42" s="87">
        <v>82</v>
      </c>
      <c r="C42" s="95">
        <v>0.87204300000000001</v>
      </c>
      <c r="D42" s="93">
        <v>1268.3</v>
      </c>
      <c r="E42" s="93">
        <v>1418.24</v>
      </c>
      <c r="F42" s="88">
        <v>0.11822124103130179</v>
      </c>
      <c r="I42" s="87">
        <v>82</v>
      </c>
      <c r="J42" s="95">
        <v>0.87204300000000001</v>
      </c>
    </row>
    <row r="43" spans="2:10">
      <c r="B43" s="87">
        <v>83</v>
      </c>
      <c r="C43" s="95">
        <v>0.93339499999999997</v>
      </c>
      <c r="D43" s="93">
        <v>1954.3</v>
      </c>
      <c r="E43" s="93">
        <v>2080.9699999999998</v>
      </c>
      <c r="F43" s="88">
        <v>6.4816046666325455E-2</v>
      </c>
      <c r="I43" s="87">
        <v>83</v>
      </c>
      <c r="J43" s="95">
        <v>0.93339499999999997</v>
      </c>
    </row>
    <row r="44" spans="2:10">
      <c r="B44" s="87">
        <v>86</v>
      </c>
      <c r="C44" s="95">
        <v>0.92452000000000001</v>
      </c>
      <c r="D44" s="93">
        <v>2330.6</v>
      </c>
      <c r="E44" s="93">
        <v>2386.02</v>
      </c>
      <c r="F44" s="88">
        <v>2.3779284304470984E-2</v>
      </c>
      <c r="I44" s="87">
        <v>86</v>
      </c>
      <c r="J44" s="95">
        <v>0.92452000000000001</v>
      </c>
    </row>
    <row r="45" spans="2:10">
      <c r="B45" s="87">
        <v>88</v>
      </c>
      <c r="C45" s="95">
        <v>0.92738399999999999</v>
      </c>
      <c r="D45" s="93">
        <v>2785.2</v>
      </c>
      <c r="E45" s="93">
        <v>2811.37</v>
      </c>
      <c r="F45" s="88">
        <v>9.3960936377998263E-3</v>
      </c>
      <c r="I45" s="87">
        <v>88</v>
      </c>
      <c r="J45" s="95">
        <v>0.92738399999999999</v>
      </c>
    </row>
    <row r="46" spans="2:10">
      <c r="B46" s="87">
        <v>90</v>
      </c>
      <c r="C46" s="95">
        <v>0.93768799999999997</v>
      </c>
      <c r="D46" s="93">
        <v>3808.3</v>
      </c>
      <c r="E46" s="93">
        <v>3751.2</v>
      </c>
      <c r="F46" s="88">
        <v>1.4993566683297104E-2</v>
      </c>
      <c r="I46" s="87">
        <v>90</v>
      </c>
      <c r="J46" s="95">
        <v>0.93768799999999997</v>
      </c>
    </row>
    <row r="47" spans="2:10">
      <c r="B47" s="87">
        <v>91</v>
      </c>
      <c r="C47" s="95">
        <v>0.95343199999999995</v>
      </c>
      <c r="D47" s="93">
        <v>2383.3000000000002</v>
      </c>
      <c r="E47" s="93">
        <v>2320.0300000000002</v>
      </c>
      <c r="F47" s="88">
        <v>2.6547224436705399E-2</v>
      </c>
      <c r="I47" s="87">
        <v>91</v>
      </c>
      <c r="J47" s="95">
        <v>0.95343199999999995</v>
      </c>
    </row>
    <row r="48" spans="2:10">
      <c r="B48" s="87">
        <v>92</v>
      </c>
      <c r="C48" s="95">
        <v>0.91617900000000008</v>
      </c>
      <c r="D48" s="93">
        <v>1903.7</v>
      </c>
      <c r="E48" s="93">
        <v>1816.86</v>
      </c>
      <c r="F48" s="88">
        <v>4.5616431160371985E-2</v>
      </c>
      <c r="I48" s="87">
        <v>92</v>
      </c>
      <c r="J48" s="95">
        <v>0.91617900000000008</v>
      </c>
    </row>
    <row r="49" spans="2:10">
      <c r="B49" s="87">
        <v>93</v>
      </c>
      <c r="C49" s="95">
        <v>0.92351399999999995</v>
      </c>
      <c r="D49" s="93">
        <v>1343.9</v>
      </c>
      <c r="E49" s="93">
        <v>1399.21</v>
      </c>
      <c r="F49" s="88">
        <v>4.1156336036907465E-2</v>
      </c>
      <c r="I49" s="87">
        <v>93</v>
      </c>
      <c r="J49" s="95">
        <v>0.92351399999999995</v>
      </c>
    </row>
    <row r="50" spans="2:10">
      <c r="B50" s="87">
        <v>94</v>
      </c>
      <c r="C50" s="95">
        <v>0.95493899999999998</v>
      </c>
      <c r="D50" s="93">
        <v>2247.1</v>
      </c>
      <c r="E50" s="93">
        <v>2253.86</v>
      </c>
      <c r="F50" s="88">
        <v>3.0083218370344973E-3</v>
      </c>
      <c r="I50" s="87">
        <v>94</v>
      </c>
      <c r="J50" s="95">
        <v>0.95493899999999998</v>
      </c>
    </row>
    <row r="51" spans="2:10">
      <c r="B51" s="87">
        <v>95</v>
      </c>
      <c r="C51" s="95">
        <v>0.92559000000000002</v>
      </c>
      <c r="D51" s="93">
        <v>2579.6999999999998</v>
      </c>
      <c r="E51" s="93">
        <v>2649.56</v>
      </c>
      <c r="F51" s="88">
        <v>2.7080668294763008E-2</v>
      </c>
      <c r="I51" s="87">
        <v>95</v>
      </c>
      <c r="J51" s="95">
        <v>0.92559000000000002</v>
      </c>
    </row>
    <row r="52" spans="2:10">
      <c r="B52" s="87">
        <v>96</v>
      </c>
      <c r="C52" s="95">
        <v>0.86399199999999998</v>
      </c>
      <c r="D52" s="93">
        <v>1868.8</v>
      </c>
      <c r="E52" s="93">
        <v>2032.49</v>
      </c>
      <c r="F52" s="88">
        <v>8.7590967465753455E-2</v>
      </c>
      <c r="I52" s="87">
        <v>96</v>
      </c>
      <c r="J52" s="95">
        <v>0.86399199999999998</v>
      </c>
    </row>
    <row r="53" spans="2:10">
      <c r="B53" s="87">
        <v>97</v>
      </c>
      <c r="C53" s="95">
        <v>0.93153400000000008</v>
      </c>
      <c r="D53" s="93">
        <v>1907</v>
      </c>
      <c r="E53" s="93">
        <v>1989.88</v>
      </c>
      <c r="F53" s="88">
        <v>4.3460933403251238E-2</v>
      </c>
      <c r="I53" s="87">
        <v>97</v>
      </c>
      <c r="J53" s="95">
        <v>0.93153400000000008</v>
      </c>
    </row>
    <row r="54" spans="2:10">
      <c r="B54" s="87">
        <v>98</v>
      </c>
      <c r="C54" s="95">
        <v>0.88061400000000001</v>
      </c>
      <c r="D54" s="93">
        <v>1289.7</v>
      </c>
      <c r="E54" s="93">
        <v>1235.1300000000001</v>
      </c>
      <c r="F54" s="88">
        <v>4.2312165619911558E-2</v>
      </c>
      <c r="I54" s="87">
        <v>98</v>
      </c>
      <c r="J54" s="95">
        <v>0.88061400000000001</v>
      </c>
    </row>
    <row r="55" spans="2:10">
      <c r="B55" s="87">
        <v>99</v>
      </c>
      <c r="C55" s="95">
        <v>0.93696600000000008</v>
      </c>
      <c r="D55" s="93">
        <v>2259.8000000000002</v>
      </c>
      <c r="E55" s="93">
        <v>2386.73</v>
      </c>
      <c r="F55" s="88">
        <v>5.6168687494468461E-2</v>
      </c>
      <c r="I55" s="87">
        <v>99</v>
      </c>
      <c r="J55" s="95">
        <v>0.93696600000000008</v>
      </c>
    </row>
    <row r="56" spans="2:10">
      <c r="B56" s="87">
        <v>100</v>
      </c>
      <c r="C56" s="95">
        <v>0.94909999999999994</v>
      </c>
      <c r="D56" s="93">
        <v>1516.6</v>
      </c>
      <c r="E56" s="93">
        <v>1489.94</v>
      </c>
      <c r="F56" s="88">
        <v>1.7578794672293192E-2</v>
      </c>
      <c r="I56" s="87">
        <v>100</v>
      </c>
      <c r="J56" s="95">
        <v>0.94909999999999994</v>
      </c>
    </row>
    <row r="57" spans="2:10">
      <c r="B57" s="87">
        <v>102</v>
      </c>
      <c r="C57" s="95">
        <v>0.80160799999999999</v>
      </c>
      <c r="D57" s="93">
        <v>1456.5</v>
      </c>
      <c r="E57" s="93">
        <v>1988.8</v>
      </c>
      <c r="F57" s="88">
        <v>0.36546515619636111</v>
      </c>
      <c r="I57" s="87">
        <v>102</v>
      </c>
      <c r="J57" s="95">
        <v>0.80160799999999999</v>
      </c>
    </row>
    <row r="58" spans="2:10">
      <c r="B58" s="89">
        <v>103</v>
      </c>
      <c r="C58" s="96">
        <v>0.93269499999999994</v>
      </c>
      <c r="D58" s="94">
        <v>1737.8</v>
      </c>
      <c r="E58" s="94">
        <v>1781.79</v>
      </c>
      <c r="F58" s="90">
        <v>2.5313614915410294E-2</v>
      </c>
      <c r="I58" s="89">
        <v>103</v>
      </c>
      <c r="J58" s="96">
        <v>0.93269499999999994</v>
      </c>
    </row>
    <row r="60" spans="2:10">
      <c r="C60" s="98"/>
      <c r="D60" s="135" t="s">
        <v>83</v>
      </c>
      <c r="E60" s="135"/>
      <c r="F60" s="37">
        <f>AVERAGE(J5:J58)</f>
        <v>0.91756951851851853</v>
      </c>
      <c r="G60" s="99"/>
    </row>
    <row r="61" spans="2:10">
      <c r="C61" s="98"/>
      <c r="D61" s="135" t="s">
        <v>85</v>
      </c>
      <c r="E61" s="135"/>
      <c r="F61" s="37">
        <f>_xlfn.STDEV.P(J5:J58)</f>
        <v>3.0337476399441898E-2</v>
      </c>
      <c r="G61" s="99"/>
    </row>
    <row r="62" spans="2:10">
      <c r="C62" s="98"/>
      <c r="D62" s="135" t="s">
        <v>82</v>
      </c>
      <c r="E62" s="135"/>
      <c r="F62" s="37">
        <f>AVERAGE(F5:F58)</f>
        <v>5.4135960198521668E-2</v>
      </c>
      <c r="G62" s="99"/>
    </row>
    <row r="63" spans="2:10">
      <c r="C63" s="98"/>
      <c r="D63" s="135" t="s">
        <v>86</v>
      </c>
      <c r="E63" s="135"/>
      <c r="F63" s="37">
        <f>_xlfn.STDEV.P(F5:F58)</f>
        <v>5.7269872076240749E-2</v>
      </c>
      <c r="G63" s="99"/>
    </row>
    <row r="64" spans="2:10">
      <c r="B64" s="27"/>
      <c r="C64" s="27"/>
      <c r="D64" s="135" t="s">
        <v>98</v>
      </c>
      <c r="E64" s="135"/>
      <c r="F64" s="111">
        <f>COUNTIF(F4:F58, "&lt;10%")</f>
        <v>46</v>
      </c>
      <c r="G64" s="99"/>
    </row>
    <row r="65" spans="2:7">
      <c r="B65" s="27"/>
      <c r="C65" s="27"/>
      <c r="D65" s="135" t="s">
        <v>84</v>
      </c>
      <c r="E65" s="135"/>
      <c r="F65" s="106">
        <v>54</v>
      </c>
      <c r="G65" s="99"/>
    </row>
    <row r="66" spans="2:7">
      <c r="F66" s="148">
        <f>COUNTIF(F5:F58, "&lt;5%")</f>
        <v>36</v>
      </c>
    </row>
  </sheetData>
  <mergeCells count="12">
    <mergeCell ref="D65:E65"/>
    <mergeCell ref="D60:E60"/>
    <mergeCell ref="D61:E61"/>
    <mergeCell ref="D62:E62"/>
    <mergeCell ref="D63:E63"/>
    <mergeCell ref="D64:E64"/>
    <mergeCell ref="I3:I4"/>
    <mergeCell ref="J3:J4"/>
    <mergeCell ref="B2:F2"/>
    <mergeCell ref="B3:B4"/>
    <mergeCell ref="D3:F3"/>
    <mergeCell ref="C3:C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B8CC-F500-43DC-818F-16A6F162EB1E}">
  <dimension ref="B2:L104"/>
  <sheetViews>
    <sheetView topLeftCell="H4" zoomScale="130" zoomScaleNormal="130" workbookViewId="0">
      <selection activeCell="X18" sqref="X18"/>
    </sheetView>
  </sheetViews>
  <sheetFormatPr defaultRowHeight="15"/>
  <cols>
    <col min="1" max="7" width="9.140625" style="16"/>
    <col min="8" max="9" width="9.85546875" style="31" customWidth="1"/>
    <col min="10" max="10" width="10.85546875" style="31" bestFit="1" customWidth="1"/>
    <col min="11" max="11" width="9.140625" style="31" customWidth="1"/>
    <col min="12" max="12" width="9" style="31" customWidth="1"/>
    <col min="13" max="16384" width="9.140625" style="16"/>
  </cols>
  <sheetData>
    <row r="2" spans="2:12">
      <c r="H2" s="145" t="s">
        <v>78</v>
      </c>
      <c r="I2" s="145"/>
      <c r="J2" s="145"/>
      <c r="K2" s="145"/>
      <c r="L2" s="145"/>
    </row>
    <row r="3" spans="2:12">
      <c r="C3" s="146"/>
      <c r="D3" s="146"/>
      <c r="E3" s="146"/>
      <c r="F3" s="146"/>
      <c r="H3" s="145" t="s">
        <v>87</v>
      </c>
      <c r="I3" s="145" t="s">
        <v>4</v>
      </c>
      <c r="J3" s="145" t="s">
        <v>93</v>
      </c>
      <c r="K3" s="145"/>
      <c r="L3" s="145"/>
    </row>
    <row r="4" spans="2:12">
      <c r="B4" s="16" t="s">
        <v>76</v>
      </c>
      <c r="C4" s="16">
        <v>1</v>
      </c>
      <c r="D4" s="16">
        <v>2</v>
      </c>
      <c r="E4" s="16">
        <v>3</v>
      </c>
      <c r="F4" s="16">
        <v>4</v>
      </c>
      <c r="H4" s="145"/>
      <c r="I4" s="145"/>
      <c r="J4" s="31" t="s">
        <v>80</v>
      </c>
      <c r="K4" s="31" t="s">
        <v>81</v>
      </c>
      <c r="L4" s="31" t="s">
        <v>32</v>
      </c>
    </row>
    <row r="5" spans="2:12">
      <c r="B5" s="16">
        <v>6</v>
      </c>
      <c r="C5" s="86" t="s">
        <v>88</v>
      </c>
      <c r="D5" s="86" t="s">
        <v>88</v>
      </c>
      <c r="E5" s="86">
        <v>0.93</v>
      </c>
      <c r="F5" s="86">
        <v>0.90900000000000003</v>
      </c>
      <c r="H5" s="31">
        <v>1</v>
      </c>
      <c r="I5" s="31" t="s">
        <v>94</v>
      </c>
      <c r="J5" s="31">
        <v>1665.6</v>
      </c>
      <c r="K5" s="100">
        <v>1574.15</v>
      </c>
      <c r="L5" s="101">
        <v>5.490513928914495E-2</v>
      </c>
    </row>
    <row r="6" spans="2:12">
      <c r="B6" s="16">
        <v>7</v>
      </c>
      <c r="C6" s="86">
        <v>0.67800000000000005</v>
      </c>
      <c r="D6" s="86">
        <v>0.9</v>
      </c>
      <c r="E6" s="86">
        <v>0.749</v>
      </c>
      <c r="F6" s="86">
        <v>0.88400000000000001</v>
      </c>
      <c r="H6" s="31">
        <v>2</v>
      </c>
      <c r="I6" s="31" t="s">
        <v>94</v>
      </c>
      <c r="J6" s="31">
        <v>1172.5999999999999</v>
      </c>
      <c r="K6" s="100">
        <v>2308.64</v>
      </c>
      <c r="L6" s="101">
        <v>0.96882142247995906</v>
      </c>
    </row>
    <row r="7" spans="2:12">
      <c r="B7" s="16">
        <v>13</v>
      </c>
      <c r="C7" s="86">
        <v>0.89</v>
      </c>
      <c r="D7" s="86">
        <v>0.89500000000000002</v>
      </c>
      <c r="E7" s="86">
        <v>0.89500000000000002</v>
      </c>
      <c r="F7" s="86">
        <v>0.86199999999999999</v>
      </c>
      <c r="H7" s="31">
        <v>3</v>
      </c>
      <c r="I7" s="31" t="s">
        <v>94</v>
      </c>
      <c r="J7" s="31">
        <v>2073</v>
      </c>
      <c r="K7" s="100">
        <v>1385.37</v>
      </c>
      <c r="L7" s="101">
        <v>0.33170767004341539</v>
      </c>
    </row>
    <row r="8" spans="2:12">
      <c r="B8" s="16">
        <v>17</v>
      </c>
      <c r="C8" s="86">
        <v>0.89300000000000002</v>
      </c>
      <c r="D8" s="86">
        <v>0.83</v>
      </c>
      <c r="E8" s="86">
        <v>0.88400000000000001</v>
      </c>
      <c r="F8" s="86">
        <v>0.86</v>
      </c>
      <c r="H8" s="31">
        <v>4</v>
      </c>
      <c r="I8" s="31" t="s">
        <v>94</v>
      </c>
      <c r="J8" s="31">
        <v>1798</v>
      </c>
      <c r="K8" s="100">
        <v>1831.56</v>
      </c>
      <c r="L8" s="101">
        <v>1.8665183537263597E-2</v>
      </c>
    </row>
    <row r="9" spans="2:12">
      <c r="B9" s="16">
        <v>20</v>
      </c>
      <c r="C9" s="86">
        <v>0.89600000000000002</v>
      </c>
      <c r="D9" s="86" t="s">
        <v>89</v>
      </c>
      <c r="E9" s="86">
        <v>0.91300000000000003</v>
      </c>
      <c r="F9" s="86">
        <v>0.89900000000000002</v>
      </c>
      <c r="H9" s="31">
        <v>5</v>
      </c>
      <c r="I9" s="31" t="s">
        <v>94</v>
      </c>
      <c r="J9" s="31">
        <v>1775.9</v>
      </c>
      <c r="K9" s="100">
        <v>2310.2399999999998</v>
      </c>
      <c r="L9" s="101">
        <v>0.30088405878709368</v>
      </c>
    </row>
    <row r="10" spans="2:12">
      <c r="B10" s="16">
        <v>21</v>
      </c>
      <c r="C10" s="86">
        <v>0.89500000000000002</v>
      </c>
      <c r="D10" s="86" t="s">
        <v>90</v>
      </c>
      <c r="E10" s="86">
        <v>0.91700000000000004</v>
      </c>
      <c r="F10" s="86">
        <v>0.93100000000000005</v>
      </c>
      <c r="H10" s="31">
        <v>6</v>
      </c>
      <c r="I10" s="31" t="s">
        <v>77</v>
      </c>
      <c r="J10" s="31">
        <v>1515.4</v>
      </c>
      <c r="K10" s="100">
        <v>1426.42</v>
      </c>
      <c r="L10" s="101">
        <v>5.8717170384057021E-2</v>
      </c>
    </row>
    <row r="11" spans="2:12">
      <c r="B11" s="16">
        <v>25</v>
      </c>
      <c r="C11" s="86">
        <v>0.93</v>
      </c>
      <c r="D11" s="86">
        <v>0.92600000000000005</v>
      </c>
      <c r="E11" s="86">
        <v>0.94199999999999995</v>
      </c>
      <c r="F11" s="86">
        <v>0.93300000000000005</v>
      </c>
      <c r="H11" s="31">
        <v>7</v>
      </c>
      <c r="I11" s="31" t="s">
        <v>77</v>
      </c>
      <c r="J11" s="31">
        <v>1328.6</v>
      </c>
      <c r="K11" s="100">
        <v>880.64200000000005</v>
      </c>
      <c r="L11" s="101">
        <v>0.33716543730242354</v>
      </c>
    </row>
    <row r="12" spans="2:12">
      <c r="B12" s="16">
        <v>30</v>
      </c>
      <c r="C12" s="86">
        <v>0.92</v>
      </c>
      <c r="D12" s="86">
        <v>0.93300000000000005</v>
      </c>
      <c r="E12" s="86">
        <v>0.94299999999999995</v>
      </c>
      <c r="F12" s="86">
        <v>0.91700000000000004</v>
      </c>
      <c r="H12" s="31">
        <v>8</v>
      </c>
      <c r="I12" s="31" t="s">
        <v>77</v>
      </c>
      <c r="J12" s="31">
        <v>1243</v>
      </c>
      <c r="K12" s="100">
        <v>1430.88</v>
      </c>
      <c r="L12" s="101">
        <v>0.15115044247787621</v>
      </c>
    </row>
    <row r="13" spans="2:12">
      <c r="B13" s="16">
        <v>36</v>
      </c>
      <c r="C13" s="86">
        <v>0.876</v>
      </c>
      <c r="D13" s="86">
        <v>0.86099999999999999</v>
      </c>
      <c r="E13" s="86">
        <v>0.879</v>
      </c>
      <c r="F13" s="86">
        <v>0.73</v>
      </c>
      <c r="H13" s="31">
        <v>9</v>
      </c>
      <c r="I13" s="31" t="s">
        <v>94</v>
      </c>
      <c r="J13" s="31">
        <v>1516.3</v>
      </c>
      <c r="K13" s="100">
        <v>1519.63</v>
      </c>
      <c r="L13" s="101">
        <v>2.1961353294204016E-3</v>
      </c>
    </row>
    <row r="14" spans="2:12">
      <c r="B14" s="16">
        <v>37</v>
      </c>
      <c r="C14" s="86">
        <v>0.92100000000000004</v>
      </c>
      <c r="D14" s="86">
        <v>0.92400000000000004</v>
      </c>
      <c r="E14" s="86">
        <v>0.92</v>
      </c>
      <c r="F14" s="86">
        <v>0.90300000000000002</v>
      </c>
      <c r="H14" s="31">
        <v>10</v>
      </c>
      <c r="I14" s="31" t="s">
        <v>77</v>
      </c>
      <c r="J14" s="31">
        <v>1330</v>
      </c>
      <c r="K14" s="100">
        <v>1364.79</v>
      </c>
      <c r="L14" s="101">
        <v>2.6157894736842078E-2</v>
      </c>
    </row>
    <row r="15" spans="2:12">
      <c r="B15" s="16">
        <v>40</v>
      </c>
      <c r="C15" s="86">
        <v>0.90100000000000002</v>
      </c>
      <c r="D15" s="86">
        <v>0.88800000000000001</v>
      </c>
      <c r="E15" s="86">
        <v>0.89</v>
      </c>
      <c r="F15" s="86">
        <v>0.82299999999999995</v>
      </c>
      <c r="H15" s="31">
        <v>11</v>
      </c>
      <c r="I15" s="31" t="s">
        <v>77</v>
      </c>
      <c r="J15" s="31">
        <v>1549.1</v>
      </c>
      <c r="K15" s="100">
        <v>1398.73</v>
      </c>
      <c r="L15" s="101">
        <v>9.7069266025434059E-2</v>
      </c>
    </row>
    <row r="16" spans="2:12">
      <c r="B16" s="16">
        <v>65</v>
      </c>
      <c r="C16" s="86">
        <v>0.93600000000000005</v>
      </c>
      <c r="D16" s="86">
        <v>0.92700000000000005</v>
      </c>
      <c r="E16" s="86">
        <v>0.93899999999999995</v>
      </c>
      <c r="F16" s="86">
        <v>0.92200000000000004</v>
      </c>
      <c r="H16" s="31">
        <v>12</v>
      </c>
      <c r="I16" s="31" t="s">
        <v>94</v>
      </c>
      <c r="J16" s="31">
        <v>1466.1</v>
      </c>
      <c r="K16" s="100">
        <v>1702.24</v>
      </c>
      <c r="L16" s="101">
        <v>0.16106677579974088</v>
      </c>
    </row>
    <row r="17" spans="3:12">
      <c r="C17" s="97">
        <f>+AVERAGE(C5:C16)</f>
        <v>0.88509090909090915</v>
      </c>
      <c r="D17" s="97">
        <f t="shared" ref="D17:F17" si="0">+AVERAGE(D5:D16)</f>
        <v>0.89822222222222214</v>
      </c>
      <c r="E17" s="97">
        <f t="shared" si="0"/>
        <v>0.90008333333333335</v>
      </c>
      <c r="F17" s="97">
        <f t="shared" si="0"/>
        <v>0.88108333333333333</v>
      </c>
      <c r="H17" s="31">
        <v>13</v>
      </c>
      <c r="I17" s="31" t="s">
        <v>77</v>
      </c>
      <c r="J17" s="31">
        <v>1557.7</v>
      </c>
      <c r="K17" s="100">
        <v>1526.97</v>
      </c>
      <c r="L17" s="101">
        <v>1.9727803813314512E-2</v>
      </c>
    </row>
    <row r="18" spans="3:12">
      <c r="H18" s="31">
        <v>14</v>
      </c>
      <c r="I18" s="31" t="s">
        <v>94</v>
      </c>
      <c r="J18" s="31">
        <v>1781.4</v>
      </c>
      <c r="K18" s="100">
        <v>1670.41</v>
      </c>
      <c r="L18" s="101">
        <v>6.2304928707757945E-2</v>
      </c>
    </row>
    <row r="19" spans="3:12">
      <c r="E19" s="16" t="s">
        <v>91</v>
      </c>
      <c r="H19" s="31">
        <v>15</v>
      </c>
      <c r="I19" s="31" t="s">
        <v>94</v>
      </c>
      <c r="J19" s="31">
        <v>2274</v>
      </c>
      <c r="K19" s="100">
        <v>2333.04</v>
      </c>
      <c r="L19" s="101">
        <v>2.5963060686015817E-2</v>
      </c>
    </row>
    <row r="20" spans="3:12">
      <c r="E20" s="16" t="s">
        <v>92</v>
      </c>
      <c r="H20" s="31">
        <v>16</v>
      </c>
      <c r="I20" s="31" t="s">
        <v>94</v>
      </c>
      <c r="J20" s="31">
        <v>1807.1</v>
      </c>
      <c r="K20" s="100">
        <v>1798.79</v>
      </c>
      <c r="L20" s="101">
        <v>4.5985280283326576E-3</v>
      </c>
    </row>
    <row r="21" spans="3:12">
      <c r="H21" s="31">
        <v>17</v>
      </c>
      <c r="I21" s="31" t="s">
        <v>94</v>
      </c>
      <c r="J21" s="31">
        <v>1506.5</v>
      </c>
      <c r="K21" s="100">
        <v>1321.49</v>
      </c>
      <c r="L21" s="101">
        <v>0.12280783272485894</v>
      </c>
    </row>
    <row r="22" spans="3:12">
      <c r="H22" s="31">
        <v>18</v>
      </c>
      <c r="I22" s="31" t="s">
        <v>94</v>
      </c>
      <c r="J22" s="31">
        <v>2019.5</v>
      </c>
      <c r="K22" s="100">
        <v>1644.36</v>
      </c>
      <c r="L22" s="101">
        <v>0.18575885120079233</v>
      </c>
    </row>
    <row r="23" spans="3:12">
      <c r="H23" s="31">
        <v>19</v>
      </c>
      <c r="I23" s="31" t="s">
        <v>94</v>
      </c>
      <c r="J23" s="31">
        <v>1613</v>
      </c>
      <c r="K23" s="100">
        <v>1327.65</v>
      </c>
      <c r="L23" s="101">
        <v>0.17690638561686292</v>
      </c>
    </row>
    <row r="24" spans="3:12">
      <c r="H24" s="31">
        <v>20</v>
      </c>
      <c r="I24" s="31" t="s">
        <v>77</v>
      </c>
      <c r="J24" s="31">
        <v>1668.2</v>
      </c>
      <c r="K24" s="100">
        <v>1569.41</v>
      </c>
      <c r="L24" s="101">
        <v>5.9219518043400046E-2</v>
      </c>
    </row>
    <row r="25" spans="3:12">
      <c r="H25" s="31">
        <v>21</v>
      </c>
      <c r="I25" s="31" t="s">
        <v>77</v>
      </c>
      <c r="J25" s="31">
        <v>1799</v>
      </c>
      <c r="K25" s="100">
        <v>2825.98</v>
      </c>
      <c r="L25" s="101">
        <v>0.57086158977209567</v>
      </c>
    </row>
    <row r="26" spans="3:12">
      <c r="H26" s="31">
        <v>22</v>
      </c>
      <c r="I26" s="31" t="s">
        <v>77</v>
      </c>
      <c r="J26" s="31">
        <v>1394.5</v>
      </c>
      <c r="K26" s="100">
        <v>1379.75</v>
      </c>
      <c r="L26" s="101">
        <v>1.0577267837934744E-2</v>
      </c>
    </row>
    <row r="27" spans="3:12">
      <c r="H27" s="31">
        <v>23</v>
      </c>
      <c r="I27" s="31" t="s">
        <v>77</v>
      </c>
      <c r="J27" s="31">
        <v>1033.5</v>
      </c>
      <c r="K27" s="100">
        <v>859.33</v>
      </c>
      <c r="L27" s="101">
        <v>0.16852443154329944</v>
      </c>
    </row>
    <row r="28" spans="3:12">
      <c r="H28" s="31">
        <v>24</v>
      </c>
      <c r="I28" s="31" t="s">
        <v>94</v>
      </c>
      <c r="J28" s="31">
        <v>1941.2</v>
      </c>
      <c r="K28" s="100">
        <v>2426.37</v>
      </c>
      <c r="L28" s="101">
        <v>0.24993303111477427</v>
      </c>
    </row>
    <row r="29" spans="3:12">
      <c r="H29" s="31">
        <v>25</v>
      </c>
      <c r="I29" s="31" t="s">
        <v>77</v>
      </c>
      <c r="J29" s="31">
        <v>1140.9000000000001</v>
      </c>
      <c r="K29" s="100">
        <v>1338.72</v>
      </c>
      <c r="L29" s="101">
        <v>0.17338942939784374</v>
      </c>
    </row>
    <row r="30" spans="3:12">
      <c r="H30" s="31">
        <v>26</v>
      </c>
      <c r="I30" s="31" t="s">
        <v>77</v>
      </c>
      <c r="J30" s="31">
        <v>1481.1</v>
      </c>
      <c r="K30" s="100">
        <v>1678.06</v>
      </c>
      <c r="L30" s="101">
        <v>0.13298224292755387</v>
      </c>
    </row>
    <row r="31" spans="3:12">
      <c r="H31" s="31">
        <v>27</v>
      </c>
      <c r="I31" s="31" t="s">
        <v>94</v>
      </c>
      <c r="J31" s="31">
        <v>1186.5</v>
      </c>
      <c r="K31" s="100">
        <v>1222.3</v>
      </c>
      <c r="L31" s="101">
        <v>3.0172777075431905E-2</v>
      </c>
    </row>
    <row r="32" spans="3:12">
      <c r="H32" s="31">
        <v>28</v>
      </c>
      <c r="I32" s="31" t="s">
        <v>77</v>
      </c>
      <c r="J32" s="31">
        <v>1888.9</v>
      </c>
      <c r="K32" s="100">
        <v>1977.03</v>
      </c>
      <c r="L32" s="101">
        <v>4.6656784371856573E-2</v>
      </c>
    </row>
    <row r="33" spans="8:12">
      <c r="H33" s="31">
        <v>29</v>
      </c>
      <c r="I33" s="31" t="s">
        <v>94</v>
      </c>
      <c r="J33" s="31">
        <v>1317.3</v>
      </c>
      <c r="K33" s="100">
        <v>1167.4100000000001</v>
      </c>
      <c r="L33" s="101">
        <v>0.11378577393152652</v>
      </c>
    </row>
    <row r="34" spans="8:12">
      <c r="H34" s="31">
        <v>30</v>
      </c>
      <c r="I34" s="31" t="s">
        <v>77</v>
      </c>
      <c r="J34" s="31">
        <v>1989.8</v>
      </c>
      <c r="K34" s="100">
        <v>2643.27</v>
      </c>
      <c r="L34" s="101">
        <v>0.32840989044125041</v>
      </c>
    </row>
    <row r="35" spans="8:12">
      <c r="H35" s="31">
        <v>31</v>
      </c>
      <c r="I35" s="31" t="s">
        <v>94</v>
      </c>
      <c r="J35" s="31">
        <v>1511.3</v>
      </c>
      <c r="K35" s="100">
        <v>1706.59</v>
      </c>
      <c r="L35" s="101">
        <v>0.12921987692714879</v>
      </c>
    </row>
    <row r="36" spans="8:12">
      <c r="H36" s="31">
        <v>32</v>
      </c>
      <c r="I36" s="31" t="s">
        <v>94</v>
      </c>
      <c r="J36" s="31">
        <v>1205.5</v>
      </c>
      <c r="K36" s="100">
        <v>1210.6300000000001</v>
      </c>
      <c r="L36" s="101">
        <v>4.2554956449606879E-3</v>
      </c>
    </row>
    <row r="37" spans="8:12">
      <c r="H37" s="31">
        <v>33</v>
      </c>
      <c r="I37" s="31" t="s">
        <v>94</v>
      </c>
      <c r="J37" s="31">
        <v>1556.7</v>
      </c>
      <c r="K37" s="100">
        <v>833.41499999999996</v>
      </c>
      <c r="L37" s="101">
        <v>0.46462709577953365</v>
      </c>
    </row>
    <row r="38" spans="8:12">
      <c r="H38" s="31">
        <v>34</v>
      </c>
      <c r="I38" s="31" t="s">
        <v>77</v>
      </c>
      <c r="J38" s="31">
        <v>1294.5999999999999</v>
      </c>
      <c r="K38" s="100">
        <v>1037.95</v>
      </c>
      <c r="L38" s="101">
        <v>0.19824656264483229</v>
      </c>
    </row>
    <row r="39" spans="8:12">
      <c r="H39" s="31">
        <v>35</v>
      </c>
      <c r="I39" s="31" t="s">
        <v>94</v>
      </c>
      <c r="J39" s="31">
        <v>1109.0999999999999</v>
      </c>
      <c r="K39" s="100">
        <v>1279.22</v>
      </c>
      <c r="L39" s="101">
        <v>0.15338562798665598</v>
      </c>
    </row>
    <row r="40" spans="8:12">
      <c r="H40" s="31">
        <v>36</v>
      </c>
      <c r="I40" s="31" t="s">
        <v>77</v>
      </c>
      <c r="J40" s="31">
        <v>1062.8</v>
      </c>
      <c r="K40" s="100">
        <v>1220.81</v>
      </c>
      <c r="L40" s="101">
        <v>0.14867331576966503</v>
      </c>
    </row>
    <row r="41" spans="8:12">
      <c r="H41" s="31">
        <v>37</v>
      </c>
      <c r="I41" s="31" t="s">
        <v>77</v>
      </c>
      <c r="J41" s="31">
        <v>1624.4</v>
      </c>
      <c r="K41" s="100">
        <v>1746.34</v>
      </c>
      <c r="L41" s="101">
        <v>7.5067717311007032E-2</v>
      </c>
    </row>
    <row r="42" spans="8:12">
      <c r="H42" s="31">
        <v>38</v>
      </c>
      <c r="I42" s="31" t="s">
        <v>94</v>
      </c>
      <c r="J42" s="31">
        <v>3489.7</v>
      </c>
      <c r="K42" s="100">
        <v>3474.18</v>
      </c>
      <c r="L42" s="101">
        <v>4.4473736997449591E-3</v>
      </c>
    </row>
    <row r="43" spans="8:12">
      <c r="H43" s="31">
        <v>40</v>
      </c>
      <c r="I43" s="31" t="s">
        <v>77</v>
      </c>
      <c r="J43" s="31">
        <v>1176.0999999999999</v>
      </c>
      <c r="K43" s="100">
        <v>1188.3399999999999</v>
      </c>
      <c r="L43" s="101">
        <v>1.0407278292662197E-2</v>
      </c>
    </row>
    <row r="44" spans="8:12">
      <c r="H44" s="31">
        <v>41</v>
      </c>
      <c r="I44" s="31" t="s">
        <v>77</v>
      </c>
      <c r="J44" s="31">
        <v>2513.1</v>
      </c>
      <c r="K44" s="100">
        <v>3089.17</v>
      </c>
      <c r="L44" s="101">
        <v>0.22922685129919232</v>
      </c>
    </row>
    <row r="45" spans="8:12">
      <c r="H45" s="31">
        <v>42</v>
      </c>
      <c r="I45" s="31" t="s">
        <v>77</v>
      </c>
      <c r="J45" s="31">
        <v>2818.8</v>
      </c>
      <c r="K45" s="100">
        <v>3256.97</v>
      </c>
      <c r="L45" s="101">
        <v>0.15544557967929601</v>
      </c>
    </row>
    <row r="46" spans="8:12">
      <c r="H46" s="31">
        <v>43</v>
      </c>
      <c r="I46" s="31" t="s">
        <v>94</v>
      </c>
      <c r="J46" s="31">
        <v>3648.8</v>
      </c>
      <c r="K46" s="100">
        <v>2848.14</v>
      </c>
      <c r="L46" s="101">
        <v>0.21943104582328443</v>
      </c>
    </row>
    <row r="47" spans="8:12">
      <c r="H47" s="31">
        <v>44</v>
      </c>
      <c r="I47" s="31" t="s">
        <v>77</v>
      </c>
      <c r="J47" s="31">
        <v>2262.6999999999998</v>
      </c>
      <c r="K47" s="100">
        <v>2483.09</v>
      </c>
      <c r="L47" s="101">
        <v>9.7401334688646465E-2</v>
      </c>
    </row>
    <row r="48" spans="8:12">
      <c r="H48" s="31">
        <v>45</v>
      </c>
      <c r="I48" s="31" t="s">
        <v>94</v>
      </c>
      <c r="J48" s="31">
        <v>1299.3</v>
      </c>
      <c r="K48" s="100">
        <v>1144.73</v>
      </c>
      <c r="L48" s="101">
        <v>0.11896405756946044</v>
      </c>
    </row>
    <row r="49" spans="8:12">
      <c r="H49" s="31">
        <v>46</v>
      </c>
      <c r="I49" s="31" t="s">
        <v>77</v>
      </c>
      <c r="J49" s="31">
        <v>1182.5999999999999</v>
      </c>
      <c r="K49" s="100">
        <v>1250.8800000000001</v>
      </c>
      <c r="L49" s="101">
        <v>5.7737189244038735E-2</v>
      </c>
    </row>
    <row r="50" spans="8:12">
      <c r="H50" s="31">
        <v>47</v>
      </c>
      <c r="I50" s="31" t="s">
        <v>94</v>
      </c>
      <c r="J50" s="31">
        <v>1298.4000000000001</v>
      </c>
      <c r="K50" s="100">
        <v>1578.94</v>
      </c>
      <c r="L50" s="101">
        <v>0.21606592729513244</v>
      </c>
    </row>
    <row r="51" spans="8:12">
      <c r="H51" s="31">
        <v>48</v>
      </c>
      <c r="I51" s="31" t="s">
        <v>94</v>
      </c>
      <c r="J51" s="31">
        <v>1361.1</v>
      </c>
      <c r="K51" s="100">
        <v>1505.33</v>
      </c>
      <c r="L51" s="101">
        <v>0.10596576298582032</v>
      </c>
    </row>
    <row r="52" spans="8:12">
      <c r="H52" s="31">
        <v>49</v>
      </c>
      <c r="I52" s="31" t="s">
        <v>77</v>
      </c>
      <c r="J52" s="31">
        <v>1260.3</v>
      </c>
      <c r="K52" s="100">
        <v>986.79100000000005</v>
      </c>
      <c r="L52" s="101">
        <v>0.21701896373879229</v>
      </c>
    </row>
    <row r="53" spans="8:12">
      <c r="H53" s="31">
        <v>50</v>
      </c>
      <c r="I53" s="31" t="s">
        <v>77</v>
      </c>
      <c r="J53" s="31">
        <v>1461.1</v>
      </c>
      <c r="K53" s="100">
        <v>1385.28</v>
      </c>
      <c r="L53" s="101">
        <v>5.1892409828211583E-2</v>
      </c>
    </row>
    <row r="54" spans="8:12">
      <c r="H54" s="31">
        <v>51</v>
      </c>
      <c r="I54" s="31" t="s">
        <v>94</v>
      </c>
      <c r="J54" s="31">
        <v>1521</v>
      </c>
      <c r="K54" s="100">
        <v>1180.6500000000001</v>
      </c>
      <c r="L54" s="101">
        <v>0.22376725838264294</v>
      </c>
    </row>
    <row r="55" spans="8:12">
      <c r="H55" s="31">
        <v>52</v>
      </c>
      <c r="I55" s="31" t="s">
        <v>94</v>
      </c>
      <c r="J55" s="31">
        <v>2069.1</v>
      </c>
      <c r="K55" s="100">
        <v>2103.15</v>
      </c>
      <c r="L55" s="101">
        <v>1.6456430332028506E-2</v>
      </c>
    </row>
    <row r="56" spans="8:12">
      <c r="H56" s="31">
        <v>53</v>
      </c>
      <c r="I56" s="31" t="s">
        <v>94</v>
      </c>
      <c r="J56" s="31">
        <v>3021.9</v>
      </c>
      <c r="K56" s="100">
        <v>2834.3</v>
      </c>
      <c r="L56" s="101">
        <v>6.2080148251100267E-2</v>
      </c>
    </row>
    <row r="57" spans="8:12">
      <c r="H57" s="31">
        <v>54</v>
      </c>
      <c r="I57" s="31" t="s">
        <v>94</v>
      </c>
      <c r="J57" s="31">
        <v>2208.3000000000002</v>
      </c>
      <c r="K57" s="100">
        <v>2666.23</v>
      </c>
      <c r="L57" s="101">
        <v>0.20736765837974905</v>
      </c>
    </row>
    <row r="58" spans="8:12">
      <c r="H58" s="31">
        <v>55</v>
      </c>
      <c r="I58" s="31" t="s">
        <v>77</v>
      </c>
      <c r="J58" s="31">
        <v>2070.5</v>
      </c>
      <c r="K58" s="100">
        <v>2044.38</v>
      </c>
      <c r="L58" s="101">
        <v>1.2615310311518904E-2</v>
      </c>
    </row>
    <row r="59" spans="8:12">
      <c r="H59" s="31">
        <v>56</v>
      </c>
      <c r="I59" s="31" t="s">
        <v>77</v>
      </c>
      <c r="J59" s="31">
        <v>1946.3</v>
      </c>
      <c r="K59" s="100">
        <v>1809.44</v>
      </c>
      <c r="L59" s="101">
        <v>7.0318039356728104E-2</v>
      </c>
    </row>
    <row r="60" spans="8:12">
      <c r="H60" s="31">
        <v>57</v>
      </c>
      <c r="I60" s="31" t="s">
        <v>94</v>
      </c>
      <c r="J60" s="31">
        <v>1566.8</v>
      </c>
      <c r="K60" s="100">
        <v>1892.8</v>
      </c>
      <c r="L60" s="101">
        <v>0.20806739851927497</v>
      </c>
    </row>
    <row r="61" spans="8:12">
      <c r="H61" s="31">
        <v>58</v>
      </c>
      <c r="I61" s="31" t="s">
        <v>94</v>
      </c>
      <c r="J61" s="31">
        <v>1748.6</v>
      </c>
      <c r="K61" s="100">
        <v>2167.96</v>
      </c>
      <c r="L61" s="101">
        <v>0.23982614663159108</v>
      </c>
    </row>
    <row r="62" spans="8:12">
      <c r="H62" s="31">
        <v>59</v>
      </c>
      <c r="I62" s="31" t="s">
        <v>94</v>
      </c>
      <c r="J62" s="31">
        <v>1504.3</v>
      </c>
      <c r="K62" s="100">
        <v>1530.38</v>
      </c>
      <c r="L62" s="101">
        <v>1.7336967360234098E-2</v>
      </c>
    </row>
    <row r="63" spans="8:12">
      <c r="H63" s="31">
        <v>60</v>
      </c>
      <c r="I63" s="31" t="s">
        <v>94</v>
      </c>
      <c r="J63" s="31">
        <v>6702.5</v>
      </c>
      <c r="K63" s="100">
        <v>6760.81</v>
      </c>
      <c r="L63" s="101">
        <v>8.6997389033943162E-3</v>
      </c>
    </row>
    <row r="64" spans="8:12">
      <c r="H64" s="31">
        <v>61</v>
      </c>
      <c r="I64" s="31" t="s">
        <v>94</v>
      </c>
      <c r="J64" s="31">
        <v>1557.1</v>
      </c>
      <c r="K64" s="100">
        <v>1893.57</v>
      </c>
      <c r="L64" s="101">
        <v>0.21608759874124978</v>
      </c>
    </row>
    <row r="65" spans="8:12">
      <c r="H65" s="31">
        <v>62</v>
      </c>
      <c r="I65" s="31" t="s">
        <v>77</v>
      </c>
      <c r="J65" s="31">
        <v>1662.8</v>
      </c>
      <c r="K65" s="100">
        <v>1420.11</v>
      </c>
      <c r="L65" s="101">
        <v>0.14595261005532839</v>
      </c>
    </row>
    <row r="66" spans="8:12">
      <c r="H66" s="31">
        <v>63</v>
      </c>
      <c r="I66" s="31" t="s">
        <v>94</v>
      </c>
      <c r="J66" s="31">
        <v>1639.9</v>
      </c>
      <c r="K66" s="100">
        <v>1566.81</v>
      </c>
      <c r="L66" s="101">
        <v>4.4569790840905017E-2</v>
      </c>
    </row>
    <row r="67" spans="8:12">
      <c r="H67" s="31">
        <v>64</v>
      </c>
      <c r="I67" s="31" t="s">
        <v>94</v>
      </c>
      <c r="J67" s="31">
        <v>2413.9</v>
      </c>
      <c r="K67" s="100">
        <v>2919.93</v>
      </c>
      <c r="L67" s="101">
        <v>0.20963171630970617</v>
      </c>
    </row>
    <row r="68" spans="8:12">
      <c r="H68" s="31">
        <v>65</v>
      </c>
      <c r="I68" s="31" t="s">
        <v>94</v>
      </c>
      <c r="J68" s="31">
        <v>1520.4</v>
      </c>
      <c r="K68" s="100">
        <v>1989.72</v>
      </c>
      <c r="L68" s="101">
        <v>0.30868192580899756</v>
      </c>
    </row>
    <row r="69" spans="8:12">
      <c r="H69" s="31">
        <v>66</v>
      </c>
      <c r="I69" s="31" t="s">
        <v>77</v>
      </c>
      <c r="J69" s="31">
        <v>2494.6</v>
      </c>
      <c r="K69" s="100">
        <v>2421.12</v>
      </c>
      <c r="L69" s="101">
        <v>2.9455624148160033E-2</v>
      </c>
    </row>
    <row r="70" spans="8:12">
      <c r="H70" s="31">
        <v>67</v>
      </c>
      <c r="I70" s="31" t="s">
        <v>77</v>
      </c>
      <c r="J70" s="31">
        <v>1174.3</v>
      </c>
      <c r="K70" s="100">
        <v>1088.8599999999999</v>
      </c>
      <c r="L70" s="101">
        <v>7.275823895086439E-2</v>
      </c>
    </row>
    <row r="71" spans="8:12">
      <c r="H71" s="31">
        <v>68</v>
      </c>
      <c r="I71" s="31" t="s">
        <v>94</v>
      </c>
      <c r="J71" s="31">
        <v>2448.1999999999998</v>
      </c>
      <c r="K71" s="100">
        <v>2715.15</v>
      </c>
      <c r="L71" s="101">
        <v>0.10903929417531259</v>
      </c>
    </row>
    <row r="72" spans="8:12">
      <c r="H72" s="31">
        <v>69</v>
      </c>
      <c r="I72" s="31" t="s">
        <v>77</v>
      </c>
      <c r="J72" s="31">
        <v>1835.2</v>
      </c>
      <c r="K72" s="100">
        <v>1690.46</v>
      </c>
      <c r="L72" s="101">
        <v>7.8868788142981691E-2</v>
      </c>
    </row>
    <row r="73" spans="8:12">
      <c r="H73" s="31">
        <v>70</v>
      </c>
      <c r="I73" s="31" t="s">
        <v>77</v>
      </c>
      <c r="J73" s="31">
        <v>2720.7</v>
      </c>
      <c r="K73" s="100">
        <v>2796.21</v>
      </c>
      <c r="L73" s="101">
        <v>2.7753886867350395E-2</v>
      </c>
    </row>
    <row r="74" spans="8:12">
      <c r="H74" s="31">
        <v>71</v>
      </c>
      <c r="I74" s="31" t="s">
        <v>77</v>
      </c>
      <c r="J74" s="31">
        <v>2136.1999999999998</v>
      </c>
      <c r="K74" s="100">
        <v>2051.7399999999998</v>
      </c>
      <c r="L74" s="101">
        <v>3.9537496489092799E-2</v>
      </c>
    </row>
    <row r="75" spans="8:12">
      <c r="H75" s="31">
        <v>72</v>
      </c>
      <c r="I75" s="31" t="s">
        <v>94</v>
      </c>
      <c r="J75" s="31">
        <v>1944</v>
      </c>
      <c r="K75" s="100">
        <v>2521.66</v>
      </c>
      <c r="L75" s="101">
        <v>0.29715020576131679</v>
      </c>
    </row>
    <row r="76" spans="8:12">
      <c r="H76" s="31">
        <v>73</v>
      </c>
      <c r="I76" s="31" t="s">
        <v>94</v>
      </c>
      <c r="J76" s="31">
        <v>1532.7</v>
      </c>
      <c r="K76" s="100">
        <v>1735.03</v>
      </c>
      <c r="L76" s="101">
        <v>0.13200887323024724</v>
      </c>
    </row>
    <row r="77" spans="8:12">
      <c r="H77" s="31">
        <v>74</v>
      </c>
      <c r="I77" s="31" t="s">
        <v>77</v>
      </c>
      <c r="J77" s="31">
        <v>1141.8</v>
      </c>
      <c r="K77" s="100">
        <v>1010.37</v>
      </c>
      <c r="L77" s="101">
        <v>0.11510772464529687</v>
      </c>
    </row>
    <row r="78" spans="8:12">
      <c r="H78" s="31">
        <v>75</v>
      </c>
      <c r="I78" s="31" t="s">
        <v>77</v>
      </c>
      <c r="J78" s="31">
        <v>1485.8</v>
      </c>
      <c r="K78" s="100">
        <v>1736.02</v>
      </c>
      <c r="L78" s="101">
        <v>0.16840759186969984</v>
      </c>
    </row>
    <row r="79" spans="8:12">
      <c r="H79" s="31">
        <v>76</v>
      </c>
      <c r="I79" s="31" t="s">
        <v>94</v>
      </c>
      <c r="J79" s="31">
        <v>1593.1</v>
      </c>
      <c r="K79" s="100">
        <v>1533.68</v>
      </c>
      <c r="L79" s="101">
        <v>3.7298349130625727E-2</v>
      </c>
    </row>
    <row r="80" spans="8:12">
      <c r="H80" s="31">
        <v>77</v>
      </c>
      <c r="I80" s="31" t="s">
        <v>94</v>
      </c>
      <c r="J80" s="31">
        <v>2074.1</v>
      </c>
      <c r="K80" s="100">
        <v>2119.84</v>
      </c>
      <c r="L80" s="101">
        <v>2.20529386239816E-2</v>
      </c>
    </row>
    <row r="81" spans="8:12">
      <c r="H81" s="31">
        <v>78</v>
      </c>
      <c r="I81" s="31" t="s">
        <v>77</v>
      </c>
      <c r="J81" s="31">
        <v>1951.7</v>
      </c>
      <c r="K81" s="100">
        <v>2422.75</v>
      </c>
      <c r="L81" s="101">
        <v>0.24135369165343032</v>
      </c>
    </row>
    <row r="82" spans="8:12">
      <c r="H82" s="31">
        <v>79</v>
      </c>
      <c r="I82" s="31" t="s">
        <v>77</v>
      </c>
      <c r="J82" s="31">
        <v>2142.6999999999998</v>
      </c>
      <c r="K82" s="100">
        <v>2379.73</v>
      </c>
      <c r="L82" s="101">
        <v>0.11062211228823457</v>
      </c>
    </row>
    <row r="83" spans="8:12">
      <c r="H83" s="31">
        <v>80</v>
      </c>
      <c r="I83" s="31" t="s">
        <v>77</v>
      </c>
      <c r="J83" s="31">
        <v>1644.7</v>
      </c>
      <c r="K83" s="100">
        <v>1289.8499999999999</v>
      </c>
      <c r="L83" s="101">
        <v>0.21575363288137661</v>
      </c>
    </row>
    <row r="84" spans="8:12">
      <c r="H84" s="31">
        <v>81</v>
      </c>
      <c r="I84" s="31" t="s">
        <v>77</v>
      </c>
      <c r="J84" s="31">
        <v>1284.0999999999999</v>
      </c>
      <c r="K84" s="100">
        <v>1336.74</v>
      </c>
      <c r="L84" s="101">
        <v>4.0993692080056154E-2</v>
      </c>
    </row>
    <row r="85" spans="8:12">
      <c r="H85" s="31">
        <v>82</v>
      </c>
      <c r="I85" s="31" t="s">
        <v>77</v>
      </c>
      <c r="J85" s="31">
        <v>1268.3</v>
      </c>
      <c r="K85" s="100">
        <v>1500.93</v>
      </c>
      <c r="L85" s="101">
        <v>0.18341874950721448</v>
      </c>
    </row>
    <row r="86" spans="8:12">
      <c r="H86" s="31">
        <v>83</v>
      </c>
      <c r="I86" s="31" t="s">
        <v>77</v>
      </c>
      <c r="J86" s="31">
        <v>1954.3</v>
      </c>
      <c r="K86" s="100">
        <v>2145.6999999999998</v>
      </c>
      <c r="L86" s="101">
        <v>9.7937880571048394E-2</v>
      </c>
    </row>
    <row r="87" spans="8:12">
      <c r="H87" s="31">
        <v>84</v>
      </c>
      <c r="I87" s="31" t="s">
        <v>94</v>
      </c>
      <c r="J87" s="31">
        <v>2063.5</v>
      </c>
      <c r="K87" s="100">
        <v>1385.37</v>
      </c>
      <c r="L87" s="101">
        <v>0.32863096680397386</v>
      </c>
    </row>
    <row r="88" spans="8:12">
      <c r="H88" s="31">
        <v>86</v>
      </c>
      <c r="I88" s="31" t="s">
        <v>77</v>
      </c>
      <c r="J88" s="31">
        <v>2330.6</v>
      </c>
      <c r="K88" s="100">
        <v>3027.5</v>
      </c>
      <c r="L88" s="101">
        <v>0.2990217111473441</v>
      </c>
    </row>
    <row r="89" spans="8:12">
      <c r="H89" s="31">
        <v>88</v>
      </c>
      <c r="I89" s="31" t="s">
        <v>77</v>
      </c>
      <c r="J89" s="31">
        <v>2785.2</v>
      </c>
      <c r="K89" s="100">
        <v>2959.24</v>
      </c>
      <c r="L89" s="101">
        <v>6.2487433577480961E-2</v>
      </c>
    </row>
    <row r="90" spans="8:12">
      <c r="H90" s="31">
        <v>89</v>
      </c>
      <c r="I90" s="31" t="s">
        <v>94</v>
      </c>
      <c r="J90" s="31">
        <v>1035.0999999999999</v>
      </c>
      <c r="K90" s="100">
        <v>415.39800000000002</v>
      </c>
      <c r="L90" s="101">
        <v>0.59868804946381982</v>
      </c>
    </row>
    <row r="91" spans="8:12">
      <c r="H91" s="31">
        <v>90</v>
      </c>
      <c r="I91" s="31" t="s">
        <v>77</v>
      </c>
      <c r="J91" s="31">
        <v>3808.3</v>
      </c>
      <c r="K91" s="100">
        <v>4008.79</v>
      </c>
      <c r="L91" s="101">
        <v>5.2645537378882903E-2</v>
      </c>
    </row>
    <row r="92" spans="8:12">
      <c r="H92" s="31">
        <v>91</v>
      </c>
      <c r="I92" s="31" t="s">
        <v>77</v>
      </c>
      <c r="J92" s="31">
        <v>2383.3000000000002</v>
      </c>
      <c r="K92" s="100">
        <v>2202.6</v>
      </c>
      <c r="L92" s="101">
        <v>7.581924222716413E-2</v>
      </c>
    </row>
    <row r="93" spans="8:12">
      <c r="H93" s="31">
        <v>92</v>
      </c>
      <c r="I93" s="31" t="s">
        <v>77</v>
      </c>
      <c r="J93" s="31">
        <v>1903.7</v>
      </c>
      <c r="K93" s="100">
        <v>2022.86</v>
      </c>
      <c r="L93" s="101">
        <v>6.2593896097074039E-2</v>
      </c>
    </row>
    <row r="94" spans="8:12">
      <c r="H94" s="31">
        <v>93</v>
      </c>
      <c r="I94" s="31" t="s">
        <v>77</v>
      </c>
      <c r="J94" s="31">
        <v>1343.9</v>
      </c>
      <c r="K94" s="100">
        <v>1407.75</v>
      </c>
      <c r="L94" s="101">
        <v>4.7510975519011761E-2</v>
      </c>
    </row>
    <row r="95" spans="8:12">
      <c r="H95" s="31">
        <v>94</v>
      </c>
      <c r="I95" s="31" t="s">
        <v>77</v>
      </c>
      <c r="J95" s="31">
        <v>2247.1</v>
      </c>
      <c r="K95" s="100">
        <v>2469.14</v>
      </c>
      <c r="L95" s="101">
        <v>9.8811801877976044E-2</v>
      </c>
    </row>
    <row r="96" spans="8:12">
      <c r="H96" s="31">
        <v>95</v>
      </c>
      <c r="I96" s="31" t="s">
        <v>77</v>
      </c>
      <c r="J96" s="31">
        <v>2579.6999999999998</v>
      </c>
      <c r="K96" s="100">
        <v>2762.21</v>
      </c>
      <c r="L96" s="101">
        <v>7.0748536651548719E-2</v>
      </c>
    </row>
    <row r="97" spans="8:12">
      <c r="H97" s="31">
        <v>96</v>
      </c>
      <c r="I97" s="31" t="s">
        <v>77</v>
      </c>
      <c r="J97" s="31">
        <v>1868.8</v>
      </c>
      <c r="K97" s="100">
        <v>1576.98</v>
      </c>
      <c r="L97" s="101">
        <v>0.15615368150684927</v>
      </c>
    </row>
    <row r="98" spans="8:12">
      <c r="H98" s="31">
        <v>97</v>
      </c>
      <c r="I98" s="31" t="s">
        <v>77</v>
      </c>
      <c r="J98" s="31">
        <v>1907</v>
      </c>
      <c r="K98" s="100">
        <v>2039.7</v>
      </c>
      <c r="L98" s="101">
        <v>6.9585736759307834E-2</v>
      </c>
    </row>
    <row r="99" spans="8:12">
      <c r="H99" s="31">
        <v>98</v>
      </c>
      <c r="I99" s="31" t="s">
        <v>77</v>
      </c>
      <c r="J99" s="31">
        <v>1289.7</v>
      </c>
      <c r="K99" s="100">
        <v>1446.6</v>
      </c>
      <c r="L99" s="101">
        <v>0.12165619911607339</v>
      </c>
    </row>
    <row r="100" spans="8:12">
      <c r="H100" s="31">
        <v>99</v>
      </c>
      <c r="I100" s="31" t="s">
        <v>77</v>
      </c>
      <c r="J100" s="31">
        <v>2259.8000000000002</v>
      </c>
      <c r="K100" s="100">
        <v>2326.4499999999998</v>
      </c>
      <c r="L100" s="101">
        <v>2.9493760509779463E-2</v>
      </c>
    </row>
    <row r="101" spans="8:12">
      <c r="H101" s="31">
        <v>100</v>
      </c>
      <c r="I101" s="31" t="s">
        <v>77</v>
      </c>
      <c r="J101" s="31">
        <v>1516.6</v>
      </c>
      <c r="K101" s="100">
        <v>1743.42</v>
      </c>
      <c r="L101" s="101">
        <v>0.1495582223394436</v>
      </c>
    </row>
    <row r="102" spans="8:12">
      <c r="H102" s="31">
        <v>101</v>
      </c>
      <c r="I102" s="31" t="s">
        <v>94</v>
      </c>
      <c r="J102" s="31">
        <v>3679.8</v>
      </c>
      <c r="K102" s="100">
        <v>3221.66</v>
      </c>
      <c r="L102" s="101">
        <v>0.12450133159410846</v>
      </c>
    </row>
    <row r="103" spans="8:12">
      <c r="H103" s="31">
        <v>102</v>
      </c>
      <c r="I103" s="31" t="s">
        <v>77</v>
      </c>
      <c r="J103" s="31">
        <v>1456.5</v>
      </c>
      <c r="K103" s="100">
        <v>381.05599999999998</v>
      </c>
      <c r="L103" s="101">
        <v>0.73837555784414688</v>
      </c>
    </row>
    <row r="104" spans="8:12">
      <c r="H104" s="31">
        <v>103</v>
      </c>
      <c r="I104" s="31" t="s">
        <v>77</v>
      </c>
      <c r="J104" s="31">
        <v>1737.8</v>
      </c>
      <c r="K104" s="100">
        <v>2586.61</v>
      </c>
      <c r="L104" s="101">
        <v>0.48843940614570158</v>
      </c>
    </row>
  </sheetData>
  <mergeCells count="5">
    <mergeCell ref="H3:H4"/>
    <mergeCell ref="H2:L2"/>
    <mergeCell ref="C3:F3"/>
    <mergeCell ref="I3:I4"/>
    <mergeCell ref="J3:L3"/>
  </mergeCells>
  <conditionalFormatting sqref="L5:L104">
    <cfRule type="cellIs" dxfId="1" priority="1" operator="greaterThan">
      <formula>0.3</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G19" sqref="G19"/>
    </sheetView>
  </sheetViews>
  <sheetFormatPr defaultColWidth="9.140625"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3A97-7EBE-4390-B883-B7D30445AC99}">
  <dimension ref="B1:U53"/>
  <sheetViews>
    <sheetView workbookViewId="0">
      <selection activeCell="E22" sqref="E22"/>
    </sheetView>
  </sheetViews>
  <sheetFormatPr defaultRowHeight="15"/>
  <cols>
    <col min="2" max="6" width="9.140625" style="99"/>
  </cols>
  <sheetData>
    <row r="1" spans="2:21">
      <c r="B1" s="147" t="s">
        <v>87</v>
      </c>
      <c r="C1" s="147" t="s">
        <v>95</v>
      </c>
      <c r="D1" s="147" t="s">
        <v>96</v>
      </c>
      <c r="E1" s="147"/>
      <c r="F1" s="147"/>
    </row>
    <row r="2" spans="2:21">
      <c r="B2" s="147"/>
      <c r="C2" s="147"/>
      <c r="D2" s="27" t="s">
        <v>77</v>
      </c>
      <c r="E2" s="27" t="s">
        <v>94</v>
      </c>
      <c r="F2" s="27" t="s">
        <v>97</v>
      </c>
    </row>
    <row r="3" spans="2:21">
      <c r="B3" s="103">
        <v>6</v>
      </c>
      <c r="C3" s="93">
        <v>14.317</v>
      </c>
      <c r="D3" s="82">
        <v>1.2247591395011182E-2</v>
      </c>
      <c r="E3" s="82">
        <f>INDEX('lowdose-study'!$L$5:$L$104, MATCH(B3, 'lowdose-study'!$H$5:$H$104))</f>
        <v>5.8717170384057021E-2</v>
      </c>
      <c r="F3" s="108">
        <f>+AVERAGE(D3:E3)</f>
        <v>3.54823808895341E-2</v>
      </c>
      <c r="P3" s="104"/>
      <c r="Q3" s="102"/>
    </row>
    <row r="4" spans="2:21">
      <c r="B4" s="103">
        <v>8</v>
      </c>
      <c r="C4" s="93">
        <v>15.355600000000001</v>
      </c>
      <c r="D4" s="82">
        <v>2.7546259050683836E-2</v>
      </c>
      <c r="E4" s="82">
        <f>INDEX('lowdose-study'!$L$5:$L$104, MATCH(B4, 'lowdose-study'!$H$5:$H$104))</f>
        <v>0.15115044247787621</v>
      </c>
      <c r="F4" s="108">
        <f t="shared" ref="F4:F53" si="0">+AVERAGE(D4:E4)</f>
        <v>8.9348350764280021E-2</v>
      </c>
      <c r="P4" s="104"/>
      <c r="Q4" s="102"/>
    </row>
    <row r="5" spans="2:21">
      <c r="B5" s="103">
        <v>10</v>
      </c>
      <c r="C5" s="93">
        <v>16.115300000000001</v>
      </c>
      <c r="D5" s="82">
        <v>6.0375939849623859E-3</v>
      </c>
      <c r="E5" s="82">
        <f>INDEX('lowdose-study'!$L$5:$L$104, MATCH(B5, 'lowdose-study'!$H$5:$H$104))</f>
        <v>2.6157894736842078E-2</v>
      </c>
      <c r="F5" s="108">
        <f t="shared" si="0"/>
        <v>1.6097744360902232E-2</v>
      </c>
      <c r="P5" s="104"/>
      <c r="Q5" s="102"/>
    </row>
    <row r="6" spans="2:21">
      <c r="B6" s="103">
        <v>11</v>
      </c>
      <c r="C6" s="93">
        <v>14.9489</v>
      </c>
      <c r="D6" s="82">
        <v>3.5530307920728144E-2</v>
      </c>
      <c r="E6" s="82">
        <f>INDEX('lowdose-study'!$L$5:$L$104, MATCH(B6, 'lowdose-study'!$H$5:$H$104))</f>
        <v>9.7069266025434059E-2</v>
      </c>
      <c r="F6" s="108">
        <f t="shared" si="0"/>
        <v>6.6299786973081101E-2</v>
      </c>
      <c r="P6" s="104"/>
    </row>
    <row r="7" spans="2:21">
      <c r="B7" s="103">
        <v>13</v>
      </c>
      <c r="C7" s="93">
        <v>16.8489</v>
      </c>
      <c r="D7" s="82">
        <v>9.1525967772998609E-2</v>
      </c>
      <c r="E7" s="82">
        <f>INDEX('lowdose-study'!$L$5:$L$104, MATCH(B7, 'lowdose-study'!$H$5:$H$104))</f>
        <v>1.9727803813314512E-2</v>
      </c>
      <c r="F7" s="108">
        <f t="shared" si="0"/>
        <v>5.5626885793156562E-2</v>
      </c>
      <c r="P7" s="104"/>
    </row>
    <row r="8" spans="2:21">
      <c r="B8" s="103">
        <v>20</v>
      </c>
      <c r="C8" s="93">
        <v>16.6313</v>
      </c>
      <c r="D8" s="82">
        <v>8.0445989689484736E-3</v>
      </c>
      <c r="E8" s="82">
        <f>INDEX('lowdose-study'!$L$5:$L$104, MATCH(B8, 'lowdose-study'!$H$5:$H$104))</f>
        <v>5.9219518043400046E-2</v>
      </c>
      <c r="F8" s="108">
        <f t="shared" si="0"/>
        <v>3.3632058506174262E-2</v>
      </c>
      <c r="P8" s="104"/>
    </row>
    <row r="9" spans="2:21">
      <c r="B9" s="103">
        <v>21</v>
      </c>
      <c r="C9" s="93">
        <v>15.1555</v>
      </c>
      <c r="D9" s="82">
        <v>7.5175097276264591E-2</v>
      </c>
      <c r="E9" s="82">
        <f>INDEX('lowdose-study'!$L$5:$L$104, MATCH(B9, 'lowdose-study'!$H$5:$H$104))</f>
        <v>0.57086158977209567</v>
      </c>
      <c r="F9" s="108">
        <f t="shared" si="0"/>
        <v>0.32301834352418013</v>
      </c>
      <c r="P9" s="104"/>
    </row>
    <row r="10" spans="2:21">
      <c r="B10" s="103">
        <v>22</v>
      </c>
      <c r="C10" s="93">
        <v>14.946099999999999</v>
      </c>
      <c r="D10" s="82">
        <v>8.4302617425600537E-2</v>
      </c>
      <c r="E10" s="82">
        <f>INDEX('lowdose-study'!$L$5:$L$104, MATCH(B10, 'lowdose-study'!$H$5:$H$104))</f>
        <v>1.0577267837934744E-2</v>
      </c>
      <c r="F10" s="108">
        <f t="shared" si="0"/>
        <v>4.7439942631767637E-2</v>
      </c>
      <c r="P10" s="104"/>
    </row>
    <row r="11" spans="2:21">
      <c r="B11" s="103">
        <v>23</v>
      </c>
      <c r="C11" s="93">
        <v>28.6356</v>
      </c>
      <c r="D11" s="82">
        <v>2.044508950169327E-2</v>
      </c>
      <c r="E11" s="82">
        <f>INDEX('lowdose-study'!$L$5:$L$104, MATCH(B11, 'lowdose-study'!$H$5:$H$104))</f>
        <v>0.16852443154329944</v>
      </c>
      <c r="F11" s="108">
        <f t="shared" si="0"/>
        <v>9.4484760522496353E-2</v>
      </c>
      <c r="P11" s="104"/>
    </row>
    <row r="12" spans="2:21">
      <c r="B12" s="103">
        <v>25</v>
      </c>
      <c r="C12" s="93">
        <v>11.12</v>
      </c>
      <c r="D12" s="82">
        <v>9.0945744587606264E-2</v>
      </c>
      <c r="E12" s="82">
        <f>INDEX('lowdose-study'!$L$5:$L$104, MATCH(B12, 'lowdose-study'!$H$5:$H$104))</f>
        <v>0.17338942939784374</v>
      </c>
      <c r="F12" s="108">
        <f t="shared" si="0"/>
        <v>0.13216758699272502</v>
      </c>
      <c r="P12" s="104"/>
    </row>
    <row r="13" spans="2:21">
      <c r="B13" s="103">
        <v>26</v>
      </c>
      <c r="C13" s="93">
        <v>18.245000000000001</v>
      </c>
      <c r="D13" s="82">
        <v>2.9052731078252788E-2</v>
      </c>
      <c r="E13" s="82">
        <f>INDEX('lowdose-study'!$L$5:$L$104, MATCH(B13, 'lowdose-study'!$H$5:$H$104))</f>
        <v>0.13298224292755387</v>
      </c>
      <c r="F13" s="108">
        <f t="shared" si="0"/>
        <v>8.1017487002903329E-2</v>
      </c>
      <c r="P13" s="104"/>
    </row>
    <row r="14" spans="2:21">
      <c r="B14" s="103">
        <v>28</v>
      </c>
      <c r="C14" s="93">
        <v>16.16</v>
      </c>
      <c r="D14" s="82">
        <v>6.231139816824597E-2</v>
      </c>
      <c r="E14" s="82">
        <f>INDEX('lowdose-study'!$L$5:$L$104, MATCH(B14, 'lowdose-study'!$H$5:$H$104))</f>
        <v>4.6656784371856573E-2</v>
      </c>
      <c r="F14" s="108">
        <f t="shared" si="0"/>
        <v>5.4484091270051271E-2</v>
      </c>
      <c r="P14" s="104"/>
    </row>
    <row r="15" spans="2:21">
      <c r="B15" s="103">
        <v>30</v>
      </c>
      <c r="C15" s="93">
        <v>11.9519</v>
      </c>
      <c r="D15" s="82">
        <v>2.0343753141019206E-2</v>
      </c>
      <c r="E15" s="82">
        <f>INDEX('lowdose-study'!$L$5:$L$104, MATCH(B15, 'lowdose-study'!$H$5:$H$104))</f>
        <v>0.32840989044125041</v>
      </c>
      <c r="F15" s="108">
        <f t="shared" si="0"/>
        <v>0.17437682179113481</v>
      </c>
      <c r="U15" s="107"/>
    </row>
    <row r="16" spans="2:21">
      <c r="B16" s="103">
        <v>34</v>
      </c>
      <c r="C16" s="93">
        <v>229.91200000000001</v>
      </c>
      <c r="D16" s="82">
        <v>3.2527421597404703E-2</v>
      </c>
      <c r="E16" s="82">
        <f>INDEX('lowdose-study'!$L$5:$L$104, MATCH(B16, 'lowdose-study'!$H$5:$H$104))</f>
        <v>0.19824656264483229</v>
      </c>
      <c r="F16" s="108">
        <f t="shared" si="0"/>
        <v>0.1153869921211185</v>
      </c>
    </row>
    <row r="17" spans="2:6">
      <c r="B17" s="103">
        <v>36</v>
      </c>
      <c r="C17" s="93">
        <v>11.116199999999999</v>
      </c>
      <c r="D17" s="82">
        <v>4.35641701166729E-2</v>
      </c>
      <c r="E17" s="82">
        <f>INDEX('lowdose-study'!$L$5:$L$104, MATCH(B17, 'lowdose-study'!$H$5:$H$104))</f>
        <v>0.14867331576966503</v>
      </c>
      <c r="F17" s="108">
        <f t="shared" si="0"/>
        <v>9.6118742943168967E-2</v>
      </c>
    </row>
    <row r="18" spans="2:6">
      <c r="B18" s="103">
        <v>37</v>
      </c>
      <c r="C18" s="93">
        <v>8.6941000000000006</v>
      </c>
      <c r="D18" s="82">
        <v>3.7152179266190535E-2</v>
      </c>
      <c r="E18" s="82">
        <f>INDEX('lowdose-study'!$L$5:$L$104, MATCH(B18, 'lowdose-study'!$H$5:$H$104))</f>
        <v>7.5067717311007032E-2</v>
      </c>
      <c r="F18" s="108">
        <f t="shared" si="0"/>
        <v>5.6109948288598784E-2</v>
      </c>
    </row>
    <row r="19" spans="2:6">
      <c r="B19" s="103">
        <v>40</v>
      </c>
      <c r="C19" s="93">
        <v>16.3948</v>
      </c>
      <c r="D19" s="82">
        <v>3.4980018705892443E-2</v>
      </c>
      <c r="E19" s="82">
        <f>INDEX('lowdose-study'!$L$5:$L$104, MATCH(B19, 'lowdose-study'!$H$5:$H$104))</f>
        <v>1.0407278292662197E-2</v>
      </c>
      <c r="F19" s="108">
        <f t="shared" si="0"/>
        <v>2.2693648499277321E-2</v>
      </c>
    </row>
    <row r="20" spans="2:6">
      <c r="B20" s="103">
        <v>41</v>
      </c>
      <c r="C20" s="93">
        <v>9.1877200000000006</v>
      </c>
      <c r="D20" s="82">
        <v>6.4215510723807295E-2</v>
      </c>
      <c r="E20" s="82">
        <f>INDEX('lowdose-study'!$L$5:$L$104, MATCH(B20, 'lowdose-study'!$H$5:$H$104))</f>
        <v>0.22922685129919232</v>
      </c>
      <c r="F20" s="108">
        <f t="shared" si="0"/>
        <v>0.14672118101149981</v>
      </c>
    </row>
    <row r="21" spans="2:6">
      <c r="B21" s="103">
        <v>46</v>
      </c>
      <c r="C21" s="93">
        <v>9.7514699999999994</v>
      </c>
      <c r="D21" s="82">
        <v>3.567562996786746E-2</v>
      </c>
      <c r="E21" s="82">
        <f>INDEX('lowdose-study'!$L$5:$L$104, MATCH(B21, 'lowdose-study'!$H$5:$H$104))</f>
        <v>5.7737189244038735E-2</v>
      </c>
      <c r="F21" s="108">
        <f t="shared" si="0"/>
        <v>4.6706409605953098E-2</v>
      </c>
    </row>
    <row r="22" spans="2:6">
      <c r="B22" s="103">
        <v>49</v>
      </c>
      <c r="C22" s="93">
        <v>14.5603</v>
      </c>
      <c r="D22" s="82">
        <v>4.1053717368880437E-2</v>
      </c>
      <c r="E22" s="82">
        <f>INDEX('lowdose-study'!$L$5:$L$104, MATCH(B22, 'lowdose-study'!$H$5:$H$104))</f>
        <v>0.21701896373879229</v>
      </c>
      <c r="F22" s="108">
        <f t="shared" si="0"/>
        <v>0.12903634055383637</v>
      </c>
    </row>
    <row r="23" spans="2:6">
      <c r="B23" s="103">
        <v>50</v>
      </c>
      <c r="C23" s="93">
        <v>45.878300000000003</v>
      </c>
      <c r="D23" s="82">
        <v>1.6193279036342382E-2</v>
      </c>
      <c r="E23" s="82">
        <f>INDEX('lowdose-study'!$L$5:$L$104, MATCH(B23, 'lowdose-study'!$H$5:$H$104))</f>
        <v>5.1892409828211583E-2</v>
      </c>
      <c r="F23" s="108">
        <f t="shared" si="0"/>
        <v>3.4042844432276981E-2</v>
      </c>
    </row>
    <row r="24" spans="2:6">
      <c r="B24" s="103">
        <v>55</v>
      </c>
      <c r="C24" s="93">
        <v>10.3111</v>
      </c>
      <c r="D24" s="82">
        <v>3.950253561941558E-2</v>
      </c>
      <c r="E24" s="82">
        <f>INDEX('lowdose-study'!$L$5:$L$104, MATCH(B24, 'lowdose-study'!$H$5:$H$104))</f>
        <v>1.2615310311518904E-2</v>
      </c>
      <c r="F24" s="108">
        <f t="shared" si="0"/>
        <v>2.6058922965467243E-2</v>
      </c>
    </row>
    <row r="25" spans="2:6">
      <c r="B25" s="103">
        <v>56</v>
      </c>
      <c r="C25" s="93">
        <v>18.6081</v>
      </c>
      <c r="D25" s="82">
        <v>0.12254020449057197</v>
      </c>
      <c r="E25" s="82">
        <f>INDEX('lowdose-study'!$L$5:$L$104, MATCH(B25, 'lowdose-study'!$H$5:$H$104))</f>
        <v>7.0318039356728104E-2</v>
      </c>
      <c r="F25" s="108">
        <f t="shared" si="0"/>
        <v>9.6429121923650038E-2</v>
      </c>
    </row>
    <row r="26" spans="2:6">
      <c r="B26" s="103">
        <v>62</v>
      </c>
      <c r="C26" s="93">
        <v>9.39574</v>
      </c>
      <c r="D26" s="82">
        <v>4.447919172480156E-2</v>
      </c>
      <c r="E26" s="82">
        <f>INDEX('lowdose-study'!$L$5:$L$104, MATCH(B26, 'lowdose-study'!$H$5:$H$104))</f>
        <v>0.14595261005532839</v>
      </c>
      <c r="F26" s="108">
        <f t="shared" si="0"/>
        <v>9.5215900890064972E-2</v>
      </c>
    </row>
    <row r="27" spans="2:6">
      <c r="B27" s="103">
        <v>66</v>
      </c>
      <c r="C27" s="93">
        <v>23.064399999999999</v>
      </c>
      <c r="D27" s="82">
        <v>4.2199150164355E-2</v>
      </c>
      <c r="E27" s="82">
        <f>INDEX('lowdose-study'!$L$5:$L$104, MATCH(B27, 'lowdose-study'!$H$5:$H$104))</f>
        <v>2.9455624148160033E-2</v>
      </c>
      <c r="F27" s="108">
        <f t="shared" si="0"/>
        <v>3.5827387156257516E-2</v>
      </c>
    </row>
    <row r="28" spans="2:6">
      <c r="B28" s="103">
        <v>67</v>
      </c>
      <c r="C28" s="93">
        <v>15.991199999999999</v>
      </c>
      <c r="D28" s="82">
        <v>0.15976326322064219</v>
      </c>
      <c r="E28" s="82">
        <f>INDEX('lowdose-study'!$L$5:$L$104, MATCH(B28, 'lowdose-study'!$H$5:$H$104))</f>
        <v>7.275823895086439E-2</v>
      </c>
      <c r="F28" s="108">
        <f t="shared" si="0"/>
        <v>0.11626075108575329</v>
      </c>
    </row>
    <row r="29" spans="2:6">
      <c r="B29" s="103">
        <v>69</v>
      </c>
      <c r="C29" s="93">
        <v>21.774799999999999</v>
      </c>
      <c r="D29" s="82">
        <v>2.061355710549255E-2</v>
      </c>
      <c r="E29" s="82">
        <f>INDEX('lowdose-study'!$L$5:$L$104, MATCH(B29, 'lowdose-study'!$H$5:$H$104))</f>
        <v>7.8868788142981691E-2</v>
      </c>
      <c r="F29" s="108">
        <f t="shared" si="0"/>
        <v>4.974117262423712E-2</v>
      </c>
    </row>
    <row r="30" spans="2:6">
      <c r="B30" s="103">
        <v>70</v>
      </c>
      <c r="C30" s="93">
        <v>8.2635299999999994</v>
      </c>
      <c r="D30" s="82">
        <v>7.0606829124857714E-3</v>
      </c>
      <c r="E30" s="82">
        <f>INDEX('lowdose-study'!$L$5:$L$104, MATCH(B30, 'lowdose-study'!$H$5:$H$104))</f>
        <v>2.7753886867350395E-2</v>
      </c>
      <c r="F30" s="108">
        <f t="shared" si="0"/>
        <v>1.7407284889918082E-2</v>
      </c>
    </row>
    <row r="31" spans="2:6">
      <c r="B31" s="103">
        <v>71</v>
      </c>
      <c r="C31" s="93">
        <v>18.4969</v>
      </c>
      <c r="D31" s="82">
        <v>1.4179383952813391E-2</v>
      </c>
      <c r="E31" s="82">
        <f>INDEX('lowdose-study'!$L$5:$L$104, MATCH(B31, 'lowdose-study'!$H$5:$H$104))</f>
        <v>3.9537496489092799E-2</v>
      </c>
      <c r="F31" s="108">
        <f t="shared" si="0"/>
        <v>2.6858440220953093E-2</v>
      </c>
    </row>
    <row r="32" spans="2:6">
      <c r="B32" s="103">
        <v>74</v>
      </c>
      <c r="C32" s="93">
        <v>17.104099999999999</v>
      </c>
      <c r="D32" s="82">
        <v>0.10089332632685238</v>
      </c>
      <c r="E32" s="82">
        <f>INDEX('lowdose-study'!$L$5:$L$104, MATCH(B32, 'lowdose-study'!$H$5:$H$104))</f>
        <v>0.11510772464529687</v>
      </c>
      <c r="F32" s="108">
        <f t="shared" si="0"/>
        <v>0.10800052548607462</v>
      </c>
    </row>
    <row r="33" spans="2:6">
      <c r="B33" s="103">
        <v>75</v>
      </c>
      <c r="C33" s="93">
        <v>6.3888400000000001</v>
      </c>
      <c r="D33" s="82">
        <v>1.2027190738995754E-2</v>
      </c>
      <c r="E33" s="82">
        <f>INDEX('lowdose-study'!$L$5:$L$104, MATCH(B33, 'lowdose-study'!$H$5:$H$104))</f>
        <v>0.16840759186969984</v>
      </c>
      <c r="F33" s="108">
        <f t="shared" si="0"/>
        <v>9.0217391304347791E-2</v>
      </c>
    </row>
    <row r="34" spans="2:6">
      <c r="B34" s="103">
        <v>78</v>
      </c>
      <c r="C34" s="93">
        <v>13.615399999999999</v>
      </c>
      <c r="D34" s="82">
        <v>1.5202131475124288E-2</v>
      </c>
      <c r="E34" s="82">
        <f>INDEX('lowdose-study'!$L$5:$L$104, MATCH(B34, 'lowdose-study'!$H$5:$H$104))</f>
        <v>0.24135369165343032</v>
      </c>
      <c r="F34" s="108">
        <f t="shared" si="0"/>
        <v>0.12827791156427731</v>
      </c>
    </row>
    <row r="35" spans="2:6">
      <c r="B35" s="103">
        <v>79</v>
      </c>
      <c r="C35" s="93">
        <v>15.07</v>
      </c>
      <c r="D35" s="82">
        <v>5.4552667195594498E-2</v>
      </c>
      <c r="E35" s="82">
        <f>INDEX('lowdose-study'!$L$5:$L$104, MATCH(B35, 'lowdose-study'!$H$5:$H$104))</f>
        <v>0.11062211228823457</v>
      </c>
      <c r="F35" s="108">
        <f t="shared" si="0"/>
        <v>8.2587389741914541E-2</v>
      </c>
    </row>
    <row r="36" spans="2:6">
      <c r="B36" s="103">
        <v>80</v>
      </c>
      <c r="C36" s="93">
        <v>8.5310000000000006</v>
      </c>
      <c r="D36" s="82">
        <v>0.13244968687298603</v>
      </c>
      <c r="E36" s="82">
        <f>INDEX('lowdose-study'!$L$5:$L$104, MATCH(B36, 'lowdose-study'!$H$5:$H$104))</f>
        <v>0.21575363288137661</v>
      </c>
      <c r="F36" s="108">
        <f t="shared" si="0"/>
        <v>0.17410165987718132</v>
      </c>
    </row>
    <row r="37" spans="2:6">
      <c r="B37" s="103">
        <v>81</v>
      </c>
      <c r="C37" s="93">
        <v>22.801100000000002</v>
      </c>
      <c r="D37" s="82">
        <v>0.12210887002569909</v>
      </c>
      <c r="E37" s="82">
        <f>INDEX('lowdose-study'!$L$5:$L$104, MATCH(B37, 'lowdose-study'!$H$5:$H$104))</f>
        <v>4.0993692080056154E-2</v>
      </c>
      <c r="F37" s="108">
        <f t="shared" si="0"/>
        <v>8.1551281052877622E-2</v>
      </c>
    </row>
    <row r="38" spans="2:6">
      <c r="B38" s="103">
        <v>82</v>
      </c>
      <c r="C38" s="93">
        <v>21.8644</v>
      </c>
      <c r="D38" s="82">
        <v>0.11822124103130179</v>
      </c>
      <c r="E38" s="82">
        <f>INDEX('lowdose-study'!$L$5:$L$104, MATCH(B38, 'lowdose-study'!$H$5:$H$104))</f>
        <v>0.18341874950721448</v>
      </c>
      <c r="F38" s="108">
        <f t="shared" si="0"/>
        <v>0.15081999526925813</v>
      </c>
    </row>
    <row r="39" spans="2:6">
      <c r="B39" s="103">
        <v>83</v>
      </c>
      <c r="C39" s="93">
        <v>11.968400000000001</v>
      </c>
      <c r="D39" s="82">
        <v>6.4816046666325455E-2</v>
      </c>
      <c r="E39" s="82">
        <f>INDEX('lowdose-study'!$L$5:$L$104, MATCH(B39, 'lowdose-study'!$H$5:$H$104))</f>
        <v>9.7937880571048394E-2</v>
      </c>
      <c r="F39" s="108">
        <f t="shared" si="0"/>
        <v>8.1376963618686932E-2</v>
      </c>
    </row>
    <row r="40" spans="2:6">
      <c r="B40" s="103">
        <v>86</v>
      </c>
      <c r="C40" s="93">
        <v>10.656599999999999</v>
      </c>
      <c r="D40" s="82">
        <v>2.3779284304470984E-2</v>
      </c>
      <c r="E40" s="82">
        <f>INDEX('lowdose-study'!$L$5:$L$104, MATCH(B40, 'lowdose-study'!$H$5:$H$104))</f>
        <v>0.2990217111473441</v>
      </c>
      <c r="F40" s="108">
        <f t="shared" si="0"/>
        <v>0.16140049772590753</v>
      </c>
    </row>
    <row r="41" spans="2:6">
      <c r="B41" s="103">
        <v>88</v>
      </c>
      <c r="C41" s="93">
        <v>21.233799999999999</v>
      </c>
      <c r="D41" s="82">
        <v>9.3960936377998263E-3</v>
      </c>
      <c r="E41" s="82">
        <f>INDEX('lowdose-study'!$L$5:$L$104, MATCH(B41, 'lowdose-study'!$H$5:$H$104))</f>
        <v>6.2487433577480961E-2</v>
      </c>
      <c r="F41" s="108">
        <f t="shared" si="0"/>
        <v>3.5941763607640391E-2</v>
      </c>
    </row>
    <row r="42" spans="2:6">
      <c r="B42" s="103">
        <v>90</v>
      </c>
      <c r="C42" s="93">
        <v>21.5246</v>
      </c>
      <c r="D42" s="82">
        <v>1.4993566683297104E-2</v>
      </c>
      <c r="E42" s="82">
        <f>INDEX('lowdose-study'!$L$5:$L$104, MATCH(B42, 'lowdose-study'!$H$5:$H$104))</f>
        <v>5.2645537378882903E-2</v>
      </c>
      <c r="F42" s="108">
        <f t="shared" si="0"/>
        <v>3.3819552031090001E-2</v>
      </c>
    </row>
    <row r="43" spans="2:6">
      <c r="B43" s="103">
        <v>91</v>
      </c>
      <c r="C43" s="93">
        <v>11.8483</v>
      </c>
      <c r="D43" s="82">
        <v>2.6547224436705399E-2</v>
      </c>
      <c r="E43" s="82">
        <f>INDEX('lowdose-study'!$L$5:$L$104, MATCH(B43, 'lowdose-study'!$H$5:$H$104))</f>
        <v>7.581924222716413E-2</v>
      </c>
      <c r="F43" s="108">
        <f t="shared" si="0"/>
        <v>5.1183233331934766E-2</v>
      </c>
    </row>
    <row r="44" spans="2:6">
      <c r="B44" s="103">
        <v>92</v>
      </c>
      <c r="C44" s="93">
        <v>13.23</v>
      </c>
      <c r="D44" s="82">
        <v>4.5616431160371985E-2</v>
      </c>
      <c r="E44" s="82">
        <f>INDEX('lowdose-study'!$L$5:$L$104, MATCH(B44, 'lowdose-study'!$H$5:$H$104))</f>
        <v>6.2593896097074039E-2</v>
      </c>
      <c r="F44" s="108">
        <f t="shared" si="0"/>
        <v>5.4105163628723016E-2</v>
      </c>
    </row>
    <row r="45" spans="2:6">
      <c r="B45" s="103">
        <v>93</v>
      </c>
      <c r="C45" s="93">
        <v>8.3450000000000006</v>
      </c>
      <c r="D45" s="82">
        <v>4.1156336036907465E-2</v>
      </c>
      <c r="E45" s="82">
        <f>INDEX('lowdose-study'!$L$5:$L$104, MATCH(B45, 'lowdose-study'!$H$5:$H$104))</f>
        <v>4.7510975519011761E-2</v>
      </c>
      <c r="F45" s="108">
        <f t="shared" si="0"/>
        <v>4.4333655777959613E-2</v>
      </c>
    </row>
    <row r="46" spans="2:6">
      <c r="B46" s="103">
        <v>94</v>
      </c>
      <c r="C46" s="93">
        <v>6.3259100000000004</v>
      </c>
      <c r="D46" s="82">
        <v>3.0083218370344973E-3</v>
      </c>
      <c r="E46" s="82">
        <f>INDEX('lowdose-study'!$L$5:$L$104, MATCH(B46, 'lowdose-study'!$H$5:$H$104))</f>
        <v>9.8811801877976044E-2</v>
      </c>
      <c r="F46" s="108">
        <f t="shared" si="0"/>
        <v>5.0910061857505268E-2</v>
      </c>
    </row>
    <row r="47" spans="2:6">
      <c r="B47" s="103">
        <v>95</v>
      </c>
      <c r="C47" s="93">
        <v>8.4713700000000003</v>
      </c>
      <c r="D47" s="82">
        <v>2.7080668294763008E-2</v>
      </c>
      <c r="E47" s="82">
        <f>INDEX('lowdose-study'!$L$5:$L$104, MATCH(B47, 'lowdose-study'!$H$5:$H$104))</f>
        <v>7.0748536651548719E-2</v>
      </c>
      <c r="F47" s="108">
        <f t="shared" si="0"/>
        <v>4.8914602473155863E-2</v>
      </c>
    </row>
    <row r="48" spans="2:6">
      <c r="B48" s="103">
        <v>96</v>
      </c>
      <c r="C48" s="93">
        <v>9.8608799999999999</v>
      </c>
      <c r="D48" s="82">
        <v>8.7590967465753455E-2</v>
      </c>
      <c r="E48" s="82">
        <f>INDEX('lowdose-study'!$L$5:$L$104, MATCH(B48, 'lowdose-study'!$H$5:$H$104))</f>
        <v>0.15615368150684927</v>
      </c>
      <c r="F48" s="108">
        <f t="shared" si="0"/>
        <v>0.12187232448630136</v>
      </c>
    </row>
    <row r="49" spans="2:6">
      <c r="B49" s="103">
        <v>97</v>
      </c>
      <c r="C49" s="93">
        <v>17.686199999999999</v>
      </c>
      <c r="D49" s="82">
        <v>4.3460933403251238E-2</v>
      </c>
      <c r="E49" s="82">
        <f>INDEX('lowdose-study'!$L$5:$L$104, MATCH(B49, 'lowdose-study'!$H$5:$H$104))</f>
        <v>6.9585736759307834E-2</v>
      </c>
      <c r="F49" s="108">
        <f t="shared" si="0"/>
        <v>5.6523335081279533E-2</v>
      </c>
    </row>
    <row r="50" spans="2:6">
      <c r="B50" s="103">
        <v>98</v>
      </c>
      <c r="C50" s="93">
        <v>11.7354</v>
      </c>
      <c r="D50" s="82">
        <v>4.2312165619911558E-2</v>
      </c>
      <c r="E50" s="82">
        <f>INDEX('lowdose-study'!$L$5:$L$104, MATCH(B50, 'lowdose-study'!$H$5:$H$104))</f>
        <v>0.12165619911607339</v>
      </c>
      <c r="F50" s="108">
        <f t="shared" si="0"/>
        <v>8.1984182367992472E-2</v>
      </c>
    </row>
    <row r="51" spans="2:6">
      <c r="B51" s="103">
        <v>99</v>
      </c>
      <c r="C51" s="93">
        <v>14.711399999999999</v>
      </c>
      <c r="D51" s="82">
        <v>5.6168687494468461E-2</v>
      </c>
      <c r="E51" s="82">
        <f>INDEX('lowdose-study'!$L$5:$L$104, MATCH(B51, 'lowdose-study'!$H$5:$H$104))</f>
        <v>2.9493760509779463E-2</v>
      </c>
      <c r="F51" s="108">
        <f t="shared" si="0"/>
        <v>4.2831224002123962E-2</v>
      </c>
    </row>
    <row r="52" spans="2:6">
      <c r="B52" s="103">
        <v>100</v>
      </c>
      <c r="C52" s="93">
        <v>10.4777</v>
      </c>
      <c r="D52" s="82">
        <v>1.7578794672293192E-2</v>
      </c>
      <c r="E52" s="82">
        <f>INDEX('lowdose-study'!$L$5:$L$104, MATCH(B52, 'lowdose-study'!$H$5:$H$104))</f>
        <v>0.1495582223394436</v>
      </c>
      <c r="F52" s="108">
        <f t="shared" si="0"/>
        <v>8.3568508505868402E-2</v>
      </c>
    </row>
    <row r="53" spans="2:6">
      <c r="B53" s="103">
        <v>103</v>
      </c>
      <c r="C53" s="93">
        <v>9.7399299999999993</v>
      </c>
      <c r="D53" s="82">
        <v>2.5313614915410294E-2</v>
      </c>
      <c r="E53" s="82">
        <f>INDEX('lowdose-study'!$L$5:$L$104, MATCH(B53, 'lowdose-study'!$H$5:$H$104))</f>
        <v>0.48843940614570158</v>
      </c>
      <c r="F53" s="108">
        <f t="shared" si="0"/>
        <v>0.25687651053055593</v>
      </c>
    </row>
  </sheetData>
  <mergeCells count="3">
    <mergeCell ref="C1:C2"/>
    <mergeCell ref="D1:F1"/>
    <mergeCell ref="B1:B2"/>
  </mergeCells>
  <conditionalFormatting sqref="C3:C53">
    <cfRule type="cellIs" dxfId="0" priority="4" operator="greaterThan">
      <formula>20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0.6</DLCPolicyLabelValue>
  </documentManagement>
</p:properties>
</file>

<file path=customXml/itemProps1.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A933A0-2E29-4D82-A4A8-6FECA8CC0598}">
  <ds:schemaRefs>
    <ds:schemaRef ds:uri="office.server.policy"/>
  </ds:schemaRefs>
</ds:datastoreItem>
</file>

<file path=customXml/itemProps3.xml><?xml version="1.0" encoding="utf-8"?>
<ds:datastoreItem xmlns:ds="http://schemas.openxmlformats.org/officeDocument/2006/customXml" ds:itemID="{3611D48C-6B4F-4CD9-8579-A2A41CE94ADA}">
  <ds:schemaRefs>
    <ds:schemaRef ds:uri="http://schemas.microsoft.com/sharepoint/v3/contenttype/forms"/>
  </ds:schemaRefs>
</ds:datastoreItem>
</file>

<file path=customXml/itemProps4.xml><?xml version="1.0" encoding="utf-8"?>
<ds:datastoreItem xmlns:ds="http://schemas.openxmlformats.org/officeDocument/2006/customXml" ds:itemID="{EAB86876-AAC8-4339-8E74-E0DFE2CA9AC3}">
  <ds:schemaRefs>
    <ds:schemaRef ds:uri="http://purl.org/dc/dcmitype/"/>
    <ds:schemaRef ds:uri="http://purl.org/dc/terms/"/>
    <ds:schemaRef ds:uri="http://schemas.microsoft.com/office/2006/documentManagement/types"/>
    <ds:schemaRef ds:uri="http://schemas.microsoft.com/sharepoint/v3"/>
    <ds:schemaRef ds:uri="http://www.w3.org/XML/1998/namespace"/>
    <ds:schemaRef ds:uri="http://purl.org/dc/elements/1.1/"/>
    <ds:schemaRef ds:uri="http://schemas.openxmlformats.org/package/2006/metadata/core-properties"/>
    <ds:schemaRef ds:uri="http://schemas.microsoft.com/office/infopath/2007/PartnerControls"/>
    <ds:schemaRef ds:uri="e2656bbd-0e15-4aa0-af00-25744e3855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kri</vt:lpstr>
      <vt:lpstr>kri-nn-postpr</vt:lpstr>
      <vt:lpstr>time</vt:lpstr>
      <vt:lpstr>nn-mri-only</vt:lpstr>
      <vt:lpstr>lowdose-study</vt:lpstr>
      <vt:lpstr>etc</vt:lpstr>
      <vt:lpstr>mr vs lowdose</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2020-08-11T11:48:49Z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