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\Dropbox\LowPower\"/>
    </mc:Choice>
  </mc:AlternateContent>
  <bookViews>
    <workbookView xWindow="480" yWindow="90" windowWidth="19320" windowHeight="12120" tabRatio="731"/>
  </bookViews>
  <sheets>
    <sheet name="Supply &amp; Processor" sheetId="9" r:id="rId1"/>
    <sheet name="Device Data" sheetId="1" r:id="rId2"/>
    <sheet name="Summary" sheetId="10" r:id="rId3"/>
    <sheet name="UC_Template" sheetId="4" r:id="rId4"/>
    <sheet name="ActivtyMonitorUC" sheetId="5" r:id="rId5"/>
    <sheet name="BLE_Calculations" sheetId="7" r:id="rId6"/>
  </sheets>
  <definedNames>
    <definedName name="ADC_Periph">'Supply &amp; Processor'!$G$28</definedName>
    <definedName name="AP_EFFMIPS">'Supply &amp; Processor'!$F$14</definedName>
    <definedName name="AP_FastMIPS">'Supply &amp; Processor'!$F$12</definedName>
    <definedName name="AP_FlashWR">'Supply &amp; Processor'!$E$30</definedName>
    <definedName name="AP_RUNEFF">'Supply &amp; Processor'!$G$14</definedName>
    <definedName name="AP_RUNFAST">'Supply &amp; Processor'!$G$12</definedName>
    <definedName name="AP_STOP">'Supply &amp; Processor'!$G$20</definedName>
    <definedName name="AP_tFlashWR">'Supply &amp; Processor'!$C$30</definedName>
    <definedName name="AP_tWU_STOP">'Supply &amp; Processor'!$I$20</definedName>
    <definedName name="AP_WU_STOP">'Supply &amp; Processor'!$I$21</definedName>
    <definedName name="Available_Coulombs">'Supply &amp; Processor'!$C$8</definedName>
    <definedName name="BLE_ADV">BLE_Calculations!$F$24</definedName>
    <definedName name="BLE_RATE">'Device Data'!$D$25</definedName>
    <definedName name="BLE_RX">'Device Data'!$C$27</definedName>
    <definedName name="BLE_Sleep">'Device Data'!$C$29</definedName>
    <definedName name="BLE_TX">'Device Data'!$C$25</definedName>
    <definedName name="BLE_TXB_C">BLE_Calculations!$E$34</definedName>
    <definedName name="BLE_TXCperB">BLE_Calculations!$E$34</definedName>
    <definedName name="BytesPerPage">256</definedName>
    <definedName name="CHG_BUDGET">'Supply &amp; Processor'!$C$8</definedName>
    <definedName name="continuous">1</definedName>
    <definedName name="EXEE_RD">'Device Data'!$C$21</definedName>
    <definedName name="EXEE_tWR">'Device Data'!$G$19</definedName>
    <definedName name="EXEE_WR">'Device Data'!$D$19</definedName>
    <definedName name="EXEE_WR_C">'Device Data'!$J$20</definedName>
    <definedName name="GPIO_Periph">'Supply &amp; Processor'!$H$25</definedName>
    <definedName name="I2C_OH_100">'Device Data'!$G$4</definedName>
    <definedName name="I2C_OH_400">'Device Data'!$G$3</definedName>
    <definedName name="I2C_Periph">'Supply &amp; Processor'!$G$26</definedName>
    <definedName name="LED">'Device Data'!$C$33</definedName>
    <definedName name="micro">0.000001</definedName>
    <definedName name="Million">1000000</definedName>
    <definedName name="minutes">1</definedName>
    <definedName name="MOTOR">'Device Data'!$C$32</definedName>
    <definedName name="MP_MIPS">'Device Data'!$D$8</definedName>
    <definedName name="MP_RUN">'Device Data'!$E$8</definedName>
    <definedName name="MP_RUN_OLD">'Supply &amp; Processor'!$E$35</definedName>
    <definedName name="MP_SLEEP">'Device Data'!$E$9</definedName>
    <definedName name="nano">0.000000001</definedName>
    <definedName name="seconds">1</definedName>
    <definedName name="SecondsPerDay">24*60*60</definedName>
    <definedName name="SecPerHour">60*60</definedName>
    <definedName name="SEN_ACC">'Device Data'!$C$14</definedName>
    <definedName name="SEN_GYRO">'Device Data'!$C$12</definedName>
    <definedName name="SEN_MACC">'Device Data'!$C$13</definedName>
    <definedName name="SEN_PD">'Device Data'!$C$15</definedName>
    <definedName name="SPI_Periph">'Supply &amp; Processor'!$G$27</definedName>
    <definedName name="SYSTEM_IQ">'Device Data'!$C$43</definedName>
    <definedName name="μA">0.000001</definedName>
  </definedNames>
  <calcPr calcId="152511"/>
</workbook>
</file>

<file path=xl/calcChain.xml><?xml version="1.0" encoding="utf-8"?>
<calcChain xmlns="http://schemas.openxmlformats.org/spreadsheetml/2006/main">
  <c r="C8" i="9" l="1"/>
  <c r="J7" i="9"/>
  <c r="H7" i="9"/>
  <c r="F7" i="9"/>
  <c r="E7" i="9"/>
  <c r="E36" i="7" l="1"/>
  <c r="G33" i="7"/>
  <c r="G30" i="7"/>
  <c r="G31" i="7"/>
  <c r="G32" i="7"/>
  <c r="G29" i="7"/>
  <c r="I42" i="5" l="1"/>
  <c r="I33" i="5"/>
  <c r="H33" i="5"/>
  <c r="I32" i="5"/>
  <c r="F32" i="5"/>
  <c r="G29" i="5"/>
  <c r="H38" i="5"/>
  <c r="J38" i="5" s="1"/>
  <c r="G16" i="9"/>
  <c r="H16" i="9" s="1"/>
  <c r="G15" i="9"/>
  <c r="H15" i="9" s="1"/>
  <c r="G14" i="9"/>
  <c r="I21" i="9" s="1"/>
  <c r="G13" i="9"/>
  <c r="H13" i="9" s="1"/>
  <c r="G12" i="9"/>
  <c r="G26" i="9"/>
  <c r="G27" i="9"/>
  <c r="G28" i="9"/>
  <c r="H39" i="5"/>
  <c r="J39" i="5" s="1"/>
  <c r="H36" i="4"/>
  <c r="J36" i="4" s="1"/>
  <c r="H33" i="4"/>
  <c r="J33" i="4" s="1"/>
  <c r="J38" i="4"/>
  <c r="J39" i="4"/>
  <c r="J40" i="4"/>
  <c r="J41" i="4"/>
  <c r="J42" i="4"/>
  <c r="J43" i="4"/>
  <c r="J37" i="4"/>
  <c r="G24" i="5"/>
  <c r="B24" i="5"/>
  <c r="G23" i="5"/>
  <c r="B23" i="5"/>
  <c r="G22" i="5"/>
  <c r="B22" i="5"/>
  <c r="G21" i="5"/>
  <c r="B21" i="5"/>
  <c r="H20" i="5"/>
  <c r="G19" i="5"/>
  <c r="B19" i="5"/>
  <c r="H18" i="5"/>
  <c r="G18" i="5"/>
  <c r="B18" i="5"/>
  <c r="H17" i="5"/>
  <c r="G17" i="5"/>
  <c r="B17" i="5"/>
  <c r="H16" i="5"/>
  <c r="G16" i="5"/>
  <c r="E16" i="5"/>
  <c r="B16" i="5"/>
  <c r="G15" i="5"/>
  <c r="B15" i="5"/>
  <c r="G14" i="5"/>
  <c r="B14" i="5"/>
  <c r="G13" i="5"/>
  <c r="B13" i="5"/>
  <c r="G12" i="5"/>
  <c r="B12" i="5"/>
  <c r="G11" i="5"/>
  <c r="B11" i="5"/>
  <c r="H10" i="5"/>
  <c r="G10" i="5"/>
  <c r="E10" i="5"/>
  <c r="B10" i="5"/>
  <c r="G9" i="5"/>
  <c r="B9" i="5"/>
  <c r="G7" i="5"/>
  <c r="B7" i="5"/>
  <c r="E6" i="5"/>
  <c r="E5" i="5"/>
  <c r="G25" i="4"/>
  <c r="B25" i="4"/>
  <c r="G24" i="4"/>
  <c r="B24" i="4"/>
  <c r="G22" i="4"/>
  <c r="B22" i="4"/>
  <c r="G21" i="4"/>
  <c r="B21" i="4"/>
  <c r="H20" i="4"/>
  <c r="G19" i="4"/>
  <c r="B19" i="4"/>
  <c r="H18" i="4"/>
  <c r="H32" i="4" s="1"/>
  <c r="J32" i="4" s="1"/>
  <c r="G18" i="4"/>
  <c r="B18" i="4"/>
  <c r="H17" i="4"/>
  <c r="G17" i="4"/>
  <c r="B17" i="4"/>
  <c r="H16" i="4"/>
  <c r="G16" i="4"/>
  <c r="E16" i="4"/>
  <c r="B16" i="4"/>
  <c r="G15" i="4"/>
  <c r="B15" i="4"/>
  <c r="G14" i="4"/>
  <c r="B14" i="4"/>
  <c r="G13" i="4"/>
  <c r="B13" i="4"/>
  <c r="G12" i="4"/>
  <c r="B12" i="4"/>
  <c r="G11" i="4"/>
  <c r="B11" i="4"/>
  <c r="H10" i="4"/>
  <c r="G10" i="4"/>
  <c r="E10" i="4"/>
  <c r="B10" i="4"/>
  <c r="G9" i="4"/>
  <c r="B9" i="4"/>
  <c r="G7" i="4"/>
  <c r="B7" i="4"/>
  <c r="E6" i="4"/>
  <c r="E5" i="4"/>
  <c r="G23" i="10"/>
  <c r="B23" i="10"/>
  <c r="G22" i="10"/>
  <c r="B22" i="10"/>
  <c r="G21" i="10"/>
  <c r="B21" i="10"/>
  <c r="G20" i="10"/>
  <c r="B20" i="10"/>
  <c r="H19" i="10"/>
  <c r="G18" i="10"/>
  <c r="B18" i="10"/>
  <c r="H17" i="10"/>
  <c r="G17" i="10"/>
  <c r="B17" i="10"/>
  <c r="H16" i="10"/>
  <c r="G16" i="10"/>
  <c r="B16" i="10"/>
  <c r="H15" i="10"/>
  <c r="G15" i="10"/>
  <c r="E15" i="10"/>
  <c r="B15" i="10"/>
  <c r="G14" i="10"/>
  <c r="B14" i="10"/>
  <c r="G13" i="10"/>
  <c r="B13" i="10"/>
  <c r="G12" i="10"/>
  <c r="B12" i="10"/>
  <c r="G11" i="10"/>
  <c r="B11" i="10"/>
  <c r="G10" i="10"/>
  <c r="B10" i="10"/>
  <c r="H9" i="10"/>
  <c r="G9" i="10"/>
  <c r="E9" i="10"/>
  <c r="B9" i="10"/>
  <c r="G8" i="10"/>
  <c r="B8" i="10"/>
  <c r="G7" i="10"/>
  <c r="B7" i="10"/>
  <c r="E6" i="10"/>
  <c r="E5" i="10"/>
  <c r="G25" i="5"/>
  <c r="C30" i="9"/>
  <c r="C31" i="9"/>
  <c r="G21" i="9" l="1"/>
  <c r="B5" i="5"/>
  <c r="H5" i="10"/>
  <c r="K5" i="10" s="1"/>
  <c r="H5" i="4"/>
  <c r="B5" i="4"/>
  <c r="B5" i="10"/>
  <c r="H5" i="5"/>
  <c r="H12" i="9"/>
  <c r="G5" i="10"/>
  <c r="G5" i="4"/>
  <c r="G5" i="5"/>
  <c r="J13" i="10"/>
  <c r="F30" i="9"/>
  <c r="J30" i="9" s="1"/>
  <c r="J9" i="10"/>
  <c r="E9" i="4"/>
  <c r="E9" i="5"/>
  <c r="F31" i="9"/>
  <c r="E8" i="10"/>
  <c r="J12" i="10"/>
  <c r="G24" i="10"/>
  <c r="J11" i="10"/>
  <c r="H8" i="10"/>
  <c r="K8" i="10" s="1"/>
  <c r="J10" i="10"/>
  <c r="J14" i="10"/>
  <c r="H9" i="4"/>
  <c r="K7" i="10"/>
  <c r="K9" i="10"/>
  <c r="K10" i="10"/>
  <c r="K11" i="10"/>
  <c r="K12" i="10"/>
  <c r="K13" i="10"/>
  <c r="K14" i="10"/>
  <c r="K15" i="10"/>
  <c r="K16" i="10"/>
  <c r="G26" i="4"/>
  <c r="J5" i="10"/>
  <c r="J7" i="10"/>
  <c r="J15" i="10"/>
  <c r="J16" i="10"/>
  <c r="J17" i="10"/>
  <c r="J20" i="10"/>
  <c r="J21" i="10"/>
  <c r="J22" i="10"/>
  <c r="J23" i="10"/>
  <c r="J8" i="10"/>
  <c r="K17" i="10"/>
  <c r="K19" i="10"/>
  <c r="K20" i="10"/>
  <c r="K21" i="10"/>
  <c r="K22" i="10"/>
  <c r="K23" i="10"/>
  <c r="H9" i="5"/>
  <c r="E26" i="1"/>
  <c r="E28" i="1"/>
  <c r="H19" i="1"/>
  <c r="F4" i="1" l="1"/>
  <c r="F3" i="1"/>
  <c r="E3" i="1"/>
  <c r="E30" i="7"/>
  <c r="E31" i="7"/>
  <c r="E32" i="7"/>
  <c r="E29" i="7"/>
  <c r="D33" i="7"/>
  <c r="C33" i="7"/>
  <c r="F24" i="7"/>
  <c r="C20" i="7"/>
  <c r="D20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O6" i="7"/>
  <c r="O7" i="7"/>
  <c r="O8" i="7"/>
  <c r="Q8" i="7" s="1"/>
  <c r="O9" i="7"/>
  <c r="Q9" i="7" s="1"/>
  <c r="O10" i="7"/>
  <c r="O11" i="7"/>
  <c r="O12" i="7"/>
  <c r="Q12" i="7" s="1"/>
  <c r="O13" i="7"/>
  <c r="Q13" i="7" s="1"/>
  <c r="O14" i="7"/>
  <c r="O15" i="7"/>
  <c r="O16" i="7"/>
  <c r="Q16" i="7" s="1"/>
  <c r="O17" i="7"/>
  <c r="Q17" i="7" s="1"/>
  <c r="O18" i="7"/>
  <c r="O19" i="7"/>
  <c r="O5" i="7"/>
  <c r="O20" i="7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5" i="7"/>
  <c r="F43" i="5"/>
  <c r="H32" i="5"/>
  <c r="J32" i="5" s="1"/>
  <c r="X11" i="1"/>
  <c r="X12" i="1"/>
  <c r="X13" i="1"/>
  <c r="X9" i="1"/>
  <c r="X10" i="1"/>
  <c r="B30" i="4"/>
  <c r="I34" i="4" s="1"/>
  <c r="H35" i="4"/>
  <c r="J35" i="4" s="1"/>
  <c r="H34" i="4"/>
  <c r="J34" i="4" s="1"/>
  <c r="C42" i="1"/>
  <c r="C43" i="1" s="1"/>
  <c r="D25" i="1"/>
  <c r="G4" i="1" l="1"/>
  <c r="G3" i="1"/>
  <c r="I19" i="1" s="1"/>
  <c r="J19" i="1" s="1"/>
  <c r="I35" i="4"/>
  <c r="F36" i="4"/>
  <c r="Q18" i="7"/>
  <c r="Q14" i="7"/>
  <c r="Q10" i="7"/>
  <c r="Q6" i="7"/>
  <c r="E33" i="7"/>
  <c r="E34" i="7" s="1"/>
  <c r="P20" i="7"/>
  <c r="F44" i="4"/>
  <c r="Q19" i="7"/>
  <c r="Q15" i="7"/>
  <c r="Q11" i="7"/>
  <c r="Q7" i="7"/>
  <c r="H43" i="5"/>
  <c r="J43" i="5" s="1"/>
  <c r="Q5" i="7"/>
  <c r="E20" i="7"/>
  <c r="H34" i="5"/>
  <c r="I34" i="5"/>
  <c r="D43" i="1"/>
  <c r="J20" i="1" l="1"/>
  <c r="H31" i="5"/>
  <c r="J31" i="5" s="1"/>
  <c r="Q20" i="7"/>
  <c r="H44" i="4"/>
  <c r="J44" i="4" s="1"/>
  <c r="F35" i="5"/>
  <c r="J34" i="5"/>
  <c r="J33" i="5"/>
  <c r="F43" i="1"/>
  <c r="F8" i="1"/>
  <c r="J45" i="4" l="1"/>
  <c r="J46" i="4" s="1"/>
  <c r="J47" i="4" s="1"/>
  <c r="H35" i="5"/>
  <c r="J35" i="5" s="1"/>
  <c r="H42" i="5"/>
  <c r="J42" i="5" s="1"/>
  <c r="B6" i="5"/>
  <c r="J6" i="10"/>
  <c r="G6" i="4"/>
  <c r="H6" i="4"/>
  <c r="G6" i="5"/>
  <c r="G6" i="10"/>
  <c r="B6" i="10"/>
  <c r="B6" i="4"/>
  <c r="H6" i="10"/>
  <c r="K6" i="10" s="1"/>
  <c r="H6" i="5"/>
  <c r="H37" i="5" s="1"/>
  <c r="J37" i="5" s="1"/>
  <c r="H14" i="9"/>
  <c r="H8" i="5"/>
  <c r="H36" i="5"/>
  <c r="J36" i="5" s="1"/>
  <c r="J44" i="5" l="1"/>
  <c r="J45" i="5" s="1"/>
  <c r="J46" i="5" s="1"/>
</calcChain>
</file>

<file path=xl/comments1.xml><?xml version="1.0" encoding="utf-8"?>
<comments xmlns="http://schemas.openxmlformats.org/spreadsheetml/2006/main">
  <authors>
    <author>jmiller</author>
    <author>Joe</author>
  </authors>
  <commentList>
    <comment ref="A1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I made up the names of the modes. The firt two chars denote the Device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one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one</t>
        </r>
      </text>
    </comment>
  </commentList>
</comments>
</file>

<file path=xl/sharedStrings.xml><?xml version="1.0" encoding="utf-8"?>
<sst xmlns="http://schemas.openxmlformats.org/spreadsheetml/2006/main" count="588" uniqueCount="318">
  <si>
    <t>Clock Rate
(~MIPS)</t>
  </si>
  <si>
    <t>Current
(uA)</t>
  </si>
  <si>
    <t>RTC</t>
  </si>
  <si>
    <t>RAM</t>
  </si>
  <si>
    <t>FLASH</t>
  </si>
  <si>
    <t>CPU</t>
  </si>
  <si>
    <t>WakeUp</t>
  </si>
  <si>
    <t>Timers</t>
  </si>
  <si>
    <t>Wakup
Time</t>
  </si>
  <si>
    <t>STM32L Power Mode</t>
  </si>
  <si>
    <t>Max Throughput Flash</t>
  </si>
  <si>
    <t>Max Throughput RAM</t>
  </si>
  <si>
    <t>HSI</t>
  </si>
  <si>
    <t>Run</t>
  </si>
  <si>
    <t>Core V Range</t>
  </si>
  <si>
    <t>Max Efficiency Flash</t>
  </si>
  <si>
    <t>Max Efficiency RAM</t>
  </si>
  <si>
    <t>MSI</t>
  </si>
  <si>
    <t>Clock Source</t>
  </si>
  <si>
    <t>SENTRAL Power Mode</t>
  </si>
  <si>
    <t>External EEPROM</t>
  </si>
  <si>
    <t xml:space="preserve">Ext EEPROM Write </t>
  </si>
  <si>
    <t>Low Power Sleep</t>
  </si>
  <si>
    <t>Stop With RTC</t>
  </si>
  <si>
    <t>Stop</t>
  </si>
  <si>
    <t>Standby</t>
  </si>
  <si>
    <t>Must wakeup to RAM program</t>
  </si>
  <si>
    <t>Sleep</t>
  </si>
  <si>
    <t>LPSleep</t>
  </si>
  <si>
    <t>Sleep Efficiently</t>
  </si>
  <si>
    <t>LP</t>
  </si>
  <si>
    <t>ADC</t>
  </si>
  <si>
    <t>3pins</t>
  </si>
  <si>
    <t>RTC/GPIO</t>
  </si>
  <si>
    <t>J.Miller</t>
  </si>
  <si>
    <t>Application Processor - STM32L</t>
  </si>
  <si>
    <t>Best for timely processes</t>
  </si>
  <si>
    <t>Best sleep mode while retaining RAM data and RTC running</t>
  </si>
  <si>
    <t>Most efficient use of the battery if you have time</t>
  </si>
  <si>
    <t>must have extra code and complexity to manage running code from ram</t>
  </si>
  <si>
    <t>LPRun</t>
  </si>
  <si>
    <t>LowPower Run</t>
  </si>
  <si>
    <t>Lowest ABS current but LESS efficient</t>
  </si>
  <si>
    <t>65ms?</t>
  </si>
  <si>
    <t>RAM/Registers get trashed,  long wakeup</t>
  </si>
  <si>
    <t>AP_RUNFAST</t>
  </si>
  <si>
    <t>AP_RUNEFF</t>
  </si>
  <si>
    <t>AP_STOP</t>
  </si>
  <si>
    <t>AP_RUNLOW</t>
  </si>
  <si>
    <t>EE_IWR 
(uA)</t>
  </si>
  <si>
    <t>BlueNRG</t>
  </si>
  <si>
    <t>BLESleep</t>
  </si>
  <si>
    <t>BLE sleep mode</t>
  </si>
  <si>
    <t>I(uA)</t>
  </si>
  <si>
    <t>STM32L</t>
  </si>
  <si>
    <t>Quiescent Currents (uA)</t>
  </si>
  <si>
    <t>Deep Sleep</t>
  </si>
  <si>
    <t>TPS780</t>
  </si>
  <si>
    <t>Iq</t>
  </si>
  <si>
    <t xml:space="preserve">BATTERY </t>
  </si>
  <si>
    <t>Iq prot.circ.</t>
  </si>
  <si>
    <t>EEPROM</t>
  </si>
  <si>
    <t>iq x2</t>
  </si>
  <si>
    <t>LSM9DS0</t>
  </si>
  <si>
    <t>idd_PD</t>
  </si>
  <si>
    <t>User Interface</t>
  </si>
  <si>
    <t>Battery</t>
  </si>
  <si>
    <t>(Coulombs)</t>
  </si>
  <si>
    <t>AP_ALLSTOP</t>
  </si>
  <si>
    <t>(uA)</t>
  </si>
  <si>
    <t>Coulombs/day</t>
  </si>
  <si>
    <t>%Battery/day</t>
  </si>
  <si>
    <t>MOTOR</t>
  </si>
  <si>
    <t>LED</t>
  </si>
  <si>
    <t>1 LED</t>
  </si>
  <si>
    <t>MP_SLEEP</t>
  </si>
  <si>
    <t>MP_RUN</t>
  </si>
  <si>
    <t>EXEE_WR</t>
  </si>
  <si>
    <t>EXEE_RD</t>
  </si>
  <si>
    <t xml:space="preserve">Ext EEPROM Read </t>
  </si>
  <si>
    <t>BLE_TX</t>
  </si>
  <si>
    <t>BLE_RX</t>
  </si>
  <si>
    <t>BLE_Sleep</t>
  </si>
  <si>
    <t>BLE_RATE
(Bytes/s)</t>
  </si>
  <si>
    <t>s/page</t>
  </si>
  <si>
    <t>nanoCoulombs/Byte</t>
  </si>
  <si>
    <t>sec/page</t>
  </si>
  <si>
    <t>EXEE_tWR (sec/page)</t>
  </si>
  <si>
    <t>MIPS</t>
  </si>
  <si>
    <t>(μA)</t>
  </si>
  <si>
    <t>Rates</t>
  </si>
  <si>
    <t>AP_FastMIPS</t>
  </si>
  <si>
    <t>AP_EFFMIPS</t>
  </si>
  <si>
    <t>AP_FlashWR</t>
  </si>
  <si>
    <t>AP_tFlashWR</t>
  </si>
  <si>
    <t>MP_MIPS</t>
  </si>
  <si>
    <t>EXEE_tWR</t>
  </si>
  <si>
    <t>BLE_RATE</t>
  </si>
  <si>
    <t>bytes/s</t>
  </si>
  <si>
    <t>Device_mode</t>
  </si>
  <si>
    <t>Modes with shortcomings highlighted in red</t>
  </si>
  <si>
    <t>Modes with key attributes highlighted in green</t>
  </si>
  <si>
    <t>Downselected modes highlighted in yellow</t>
  </si>
  <si>
    <t>Total</t>
  </si>
  <si>
    <t>Charge Transferred from battery</t>
  </si>
  <si>
    <t>μC/MI</t>
  </si>
  <si>
    <t>μC/page</t>
  </si>
  <si>
    <t>μC/second</t>
  </si>
  <si>
    <t>Available Charge in Battery =</t>
  </si>
  <si>
    <t>μC/byte</t>
  </si>
  <si>
    <t>μCoulombs (μC)</t>
  </si>
  <si>
    <t xml:space="preserve"> In Process Units</t>
  </si>
  <si>
    <t>Sentral samples Accelerometer at 10Hz</t>
  </si>
  <si>
    <t>Every 21.33 hours Sentral stores 256 stillness values to the Eternal EEPROM</t>
  </si>
  <si>
    <t>After 5 days  user uploads data to phone</t>
  </si>
  <si>
    <t>Default</t>
  </si>
  <si>
    <t>Activity Duration</t>
  </si>
  <si>
    <t>hrs</t>
  </si>
  <si>
    <t>Compute "stillness" store value in local RAM</t>
  </si>
  <si>
    <t>Device Mode</t>
  </si>
  <si>
    <t>SEN_ACC</t>
  </si>
  <si>
    <t>Notes</t>
  </si>
  <si>
    <t>User changes activity in GUI (phone)</t>
  </si>
  <si>
    <t>Every 5minutes intervals.  Assume 100KI to wakeup, figure out what to do then compute stillness</t>
  </si>
  <si>
    <t>Transfer 256byte RAM cache to EEPROM</t>
  </si>
  <si>
    <t>bytes</t>
  </si>
  <si>
    <t>Units of measure</t>
  </si>
  <si>
    <t>MI</t>
  </si>
  <si>
    <t>pages</t>
  </si>
  <si>
    <t>Assume 10kbyte to advertise, connect and download action profile</t>
  </si>
  <si>
    <t>%Battery</t>
  </si>
  <si>
    <t>Assume 200byte overhead for transfer</t>
  </si>
  <si>
    <t>Quescent Current</t>
  </si>
  <si>
    <t>hours</t>
  </si>
  <si>
    <t>μC per Occurance</t>
  </si>
  <si>
    <t>Total Charge Used</t>
  </si>
  <si>
    <t>Description</t>
  </si>
  <si>
    <t>Coefficient Data:</t>
  </si>
  <si>
    <t>a =</t>
  </si>
  <si>
    <t>b =</t>
  </si>
  <si>
    <t>Linear Fit:  y=a+bx</t>
  </si>
  <si>
    <t>Sensor</t>
  </si>
  <si>
    <t>SEN_PD</t>
  </si>
  <si>
    <t>Powerdown current</t>
  </si>
  <si>
    <t>Accels only</t>
  </si>
  <si>
    <t>SEN_GYRO</t>
  </si>
  <si>
    <t>SEN_ACCEL</t>
  </si>
  <si>
    <t>Gyro only</t>
  </si>
  <si>
    <t>SEN_MACC</t>
  </si>
  <si>
    <t>Mags and Accel</t>
  </si>
  <si>
    <t>ODR=6.25Hz</t>
  </si>
  <si>
    <t>Accelerometer Current Vs ODR</t>
  </si>
  <si>
    <t>ODR</t>
  </si>
  <si>
    <t>ODR=10</t>
  </si>
  <si>
    <t>Do NOT change the values on the table below</t>
  </si>
  <si>
    <t>Occurances /Duration</t>
  </si>
  <si>
    <t>20% error allowance</t>
  </si>
  <si>
    <t>Activity Monitor</t>
  </si>
  <si>
    <t>Charge used (uC)</t>
  </si>
  <si>
    <t>Qty</t>
  </si>
  <si>
    <t>BLE_ADV</t>
  </si>
  <si>
    <t>advert</t>
  </si>
  <si>
    <t>.2Hz BLE advertise beacon for host discovery</t>
  </si>
  <si>
    <t>Advertise session</t>
  </si>
  <si>
    <t>From the white paper:</t>
  </si>
  <si>
    <t>uS</t>
  </si>
  <si>
    <t>uC</t>
  </si>
  <si>
    <t xml:space="preserve">Energy Analysis of Neighbor Discovery </t>
  </si>
  <si>
    <t>wake-up</t>
  </si>
  <si>
    <t>in Bluetooth Low Energy Networks</t>
  </si>
  <si>
    <t>pre-processing(*1)</t>
  </si>
  <si>
    <t>Jia Liu, Canfeng Chen</t>
  </si>
  <si>
    <t>pre-Tx</t>
  </si>
  <si>
    <t>Radio Systems Lab, Nokia Research Center</t>
  </si>
  <si>
    <t>Tx_on_Ch37</t>
  </si>
  <si>
    <t>Rx-to-Tx</t>
  </si>
  <si>
    <t xml:space="preserve">*1)The microprocessor energy consumption used in this paper </t>
  </si>
  <si>
    <t>Rxon_ch37</t>
  </si>
  <si>
    <t>appears to be much higher than the STM32L power consumption</t>
  </si>
  <si>
    <t>Inter-ch37&amp;38</t>
  </si>
  <si>
    <t>However, this value will be used for conservative estimation purposes</t>
  </si>
  <si>
    <t>Txon_ch38</t>
  </si>
  <si>
    <t>Rxonch38</t>
  </si>
  <si>
    <t>Inter-ch38&amp;39</t>
  </si>
  <si>
    <t>Txonch39</t>
  </si>
  <si>
    <t>Rxonch39</t>
  </si>
  <si>
    <t>post-processing(*1)</t>
  </si>
  <si>
    <t>BLE Advertising Beacon power consumption calculation</t>
  </si>
  <si>
    <t>ua</t>
  </si>
  <si>
    <t>Total (micro Coulombs)</t>
  </si>
  <si>
    <t>Data from table 1</t>
  </si>
  <si>
    <t>μC/Advertisement session</t>
  </si>
  <si>
    <t>See sheet "BLE_ADV" for source</t>
  </si>
  <si>
    <t>User Checks status (LEDs fire)</t>
  </si>
  <si>
    <t>Days</t>
  </si>
  <si>
    <t>Hours</t>
  </si>
  <si>
    <t>Bytes Recv'd</t>
  </si>
  <si>
    <t>Minutes</t>
  </si>
  <si>
    <t>MBytes written</t>
  </si>
  <si>
    <t>MBytes read</t>
  </si>
  <si>
    <t>MBytes Xfer'd</t>
  </si>
  <si>
    <t>LED/Minutes</t>
  </si>
  <si>
    <t>μC/AdvSes</t>
  </si>
  <si>
    <t>Percent of Battery/day</t>
  </si>
  <si>
    <t>+20% error allowance</t>
  </si>
  <si>
    <t>Update from ST document</t>
  </si>
  <si>
    <t>One advertisment section = 2.5ms * 5mA =</t>
  </si>
  <si>
    <t xml:space="preserve">TX data </t>
  </si>
  <si>
    <t xml:space="preserve">Receiver On </t>
  </si>
  <si>
    <t>ST BLE transmit calculations</t>
  </si>
  <si>
    <t>Tx</t>
  </si>
  <si>
    <t>idle</t>
  </si>
  <si>
    <t>Rx</t>
  </si>
  <si>
    <t>Totals</t>
  </si>
  <si>
    <t>uC/20bytes</t>
  </si>
  <si>
    <t>uC/byte</t>
  </si>
  <si>
    <t>uA</t>
  </si>
  <si>
    <t>BLE_TXDperB</t>
  </si>
  <si>
    <t>ON</t>
  </si>
  <si>
    <t>ERASED</t>
  </si>
  <si>
    <t>Clock Rate
(~FMIPS)</t>
  </si>
  <si>
    <t>COLOR KEY</t>
  </si>
  <si>
    <t>Motion Processor - SENtral</t>
  </si>
  <si>
    <t>P/U Res</t>
  </si>
  <si>
    <t>VDDIO</t>
  </si>
  <si>
    <t>T (6/9bits)</t>
  </si>
  <si>
    <t>Current</t>
  </si>
  <si>
    <t>Charge/byte (μC)</t>
  </si>
  <si>
    <t>I2C_OH_400</t>
  </si>
  <si>
    <t>I2C_OH_100</t>
  </si>
  <si>
    <t>400KHz</t>
  </si>
  <si>
    <t>100KHz</t>
  </si>
  <si>
    <t>I2C Bus Overhead</t>
  </si>
  <si>
    <t>Rates and Timings</t>
  </si>
  <si>
    <t>Bluetooth Low Energy</t>
  </si>
  <si>
    <t>Haptic Feedback</t>
  </si>
  <si>
    <t>Notifications</t>
  </si>
  <si>
    <t>μC/Byte</t>
  </si>
  <si>
    <t>Charge (μC)</t>
  </si>
  <si>
    <t>Current
(μA)</t>
  </si>
  <si>
    <t>μA/FMIPS</t>
  </si>
  <si>
    <t>μA/MIPS</t>
  </si>
  <si>
    <t>Activity Widget Power Budget</t>
  </si>
  <si>
    <t>Mode Name</t>
  </si>
  <si>
    <t>Mode Description</t>
  </si>
  <si>
    <t>CHG_BUDGET</t>
  </si>
  <si>
    <t>SYSTEM-IQ</t>
  </si>
  <si>
    <t>SYSTEM_IQ</t>
  </si>
  <si>
    <t>Lifespan</t>
  </si>
  <si>
    <t>Full time usage (solo functions)</t>
  </si>
  <si>
    <t>M Advert's</t>
  </si>
  <si>
    <t>Current(uA)</t>
  </si>
  <si>
    <t>Data EEPROM writing</t>
  </si>
  <si>
    <t>Charge(nC)</t>
  </si>
  <si>
    <t>μC/128Kbytes</t>
  </si>
  <si>
    <t>FLASH writing</t>
  </si>
  <si>
    <t>Write Time</t>
  </si>
  <si>
    <t>OPT</t>
  </si>
  <si>
    <t>App Proc Periperals</t>
  </si>
  <si>
    <t xml:space="preserve">Assumptions/Conditions --&gt; </t>
  </si>
  <si>
    <t>128kByte</t>
  </si>
  <si>
    <t>EE_IRD
(uA)</t>
  </si>
  <si>
    <t>EE_IQ 
(uA)</t>
  </si>
  <si>
    <t>PacketSize</t>
  </si>
  <si>
    <t>I2C bytes/
Packet</t>
  </si>
  <si>
    <t>SENtral MP</t>
  </si>
  <si>
    <t>i2c chg per Packet (uC)</t>
  </si>
  <si>
    <t>Total EE-WR chg (uC)</t>
  </si>
  <si>
    <t>BLE_TXB_C</t>
  </si>
  <si>
    <t>EXEE_WR_C</t>
  </si>
  <si>
    <t>Use Case Name</t>
  </si>
  <si>
    <t>Summary of Power Consumption Modes with rates</t>
  </si>
  <si>
    <t xml:space="preserve">Derived from main sheet </t>
  </si>
  <si>
    <t>Product-IQ</t>
  </si>
  <si>
    <t>Total Charge used (C)</t>
  </si>
  <si>
    <t>Work
Quantity</t>
  </si>
  <si>
    <t>Work Units of measure</t>
  </si>
  <si>
    <t>Compute Activity Level, store in local RAM</t>
  </si>
  <si>
    <t>event</t>
  </si>
  <si>
    <t>SENtral_MP samples Accelerometer at 10Hz</t>
  </si>
  <si>
    <t>User Checks status (AP Overhead)</t>
  </si>
  <si>
    <t>User Checks status (AP Wakeup)</t>
  </si>
  <si>
    <t>AP_WAKEUP</t>
  </si>
  <si>
    <t>AP_WU_STOP</t>
  </si>
  <si>
    <t>GPIO</t>
  </si>
  <si>
    <t>AP_ADC</t>
  </si>
  <si>
    <t>SPI</t>
  </si>
  <si>
    <t>I2C</t>
  </si>
  <si>
    <t>GPIO_Periph</t>
  </si>
  <si>
    <t>I2C_Periph</t>
  </si>
  <si>
    <t>SPI_Periph</t>
  </si>
  <si>
    <t>&lt;-- 1Port Always ON and included in act mode current values above</t>
  </si>
  <si>
    <t>Wakeup from Stop Mode</t>
  </si>
  <si>
    <t>uC/Wakeup event</t>
  </si>
  <si>
    <t>μC/event</t>
  </si>
  <si>
    <t>AP_tWU_STOP</t>
  </si>
  <si>
    <t>User Checks status (AP ADC Battery check)</t>
  </si>
  <si>
    <t>ADC_Periph</t>
  </si>
  <si>
    <t>us</t>
  </si>
  <si>
    <t xml:space="preserve"> 2.5LEDs lit average</t>
  </si>
  <si>
    <t>polls host(s) every 5 seconds to see if it wants to sync</t>
  </si>
  <si>
    <t>At 5minutes intervals.  Assume 0.1MI to wakeup, gather data and compute activity level</t>
  </si>
  <si>
    <t>After 7 days(168hrs) user uploads data to phone</t>
  </si>
  <si>
    <t>User Checks Status 10 times</t>
  </si>
  <si>
    <t>V</t>
  </si>
  <si>
    <t>uJoules</t>
  </si>
  <si>
    <t>uJ for 27 bytes</t>
  </si>
  <si>
    <t>Use-case Name</t>
  </si>
  <si>
    <t>Use-case Duration</t>
  </si>
  <si>
    <t>Every 21.33 hours SENtral stores 256 activity values to the Ext EEPROM</t>
  </si>
  <si>
    <t xml:space="preserve"> Description of Events within Duration Period</t>
  </si>
  <si>
    <t>Battery Charge</t>
  </si>
  <si>
    <t>(Y/N)</t>
  </si>
  <si>
    <t>(mAh)</t>
  </si>
  <si>
    <t>(%)</t>
  </si>
  <si>
    <t>Y</t>
  </si>
  <si>
    <t>Assume 32Kbytes to advertise, connect and download new activity code</t>
  </si>
  <si>
    <t>Switching Regulator Being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</si>
</sst>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%"/>
    <numFmt numFmtId="167" formatCode="0.000"/>
    <numFmt numFmtId="168" formatCode="0.0000%"/>
    <numFmt numFmtId="169" formatCode="0.000000000000000000000"/>
  </numFmts>
  <fonts count="2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EE9B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Border="1"/>
    <xf numFmtId="0" fontId="2" fillId="0" borderId="0" xfId="0" applyFont="1"/>
    <xf numFmtId="0" fontId="1" fillId="6" borderId="1" xfId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4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/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6" borderId="0" xfId="0" applyFill="1"/>
    <xf numFmtId="0" fontId="0" fillId="0" borderId="0" xfId="0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right"/>
    </xf>
    <xf numFmtId="0" fontId="8" fillId="0" borderId="1" xfId="0" quotePrefix="1" applyFont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2" fillId="6" borderId="0" xfId="0" applyFont="1" applyFill="1" applyAlignment="1">
      <alignment horizontal="left"/>
    </xf>
    <xf numFmtId="0" fontId="2" fillId="4" borderId="4" xfId="0" applyFont="1" applyFill="1" applyBorder="1" applyAlignment="1">
      <alignment horizontal="left"/>
    </xf>
    <xf numFmtId="0" fontId="0" fillId="4" borderId="5" xfId="0" applyFill="1" applyBorder="1"/>
    <xf numFmtId="0" fontId="0" fillId="5" borderId="1" xfId="0" quotePrefix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166" fontId="0" fillId="0" borderId="0" xfId="2" applyNumberFormat="1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2" fillId="0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0" borderId="7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2" fillId="5" borderId="1" xfId="0" quotePrefix="1" applyFont="1" applyFill="1" applyBorder="1"/>
    <xf numFmtId="0" fontId="10" fillId="0" borderId="13" xfId="0" applyFont="1" applyBorder="1"/>
    <xf numFmtId="0" fontId="11" fillId="0" borderId="0" xfId="0" applyFont="1"/>
    <xf numFmtId="0" fontId="2" fillId="0" borderId="14" xfId="0" applyFont="1" applyBorder="1" applyAlignment="1">
      <alignment horizontal="right"/>
    </xf>
    <xf numFmtId="0" fontId="0" fillId="0" borderId="19" xfId="0" applyBorder="1"/>
    <xf numFmtId="0" fontId="2" fillId="9" borderId="20" xfId="0" applyFont="1" applyFill="1" applyBorder="1" applyAlignment="1">
      <alignment horizontal="right"/>
    </xf>
    <xf numFmtId="164" fontId="0" fillId="5" borderId="0" xfId="0" applyNumberFormat="1" applyFill="1" applyBorder="1"/>
    <xf numFmtId="0" fontId="2" fillId="9" borderId="14" xfId="0" applyFont="1" applyFill="1" applyBorder="1" applyAlignment="1">
      <alignment horizontal="right"/>
    </xf>
    <xf numFmtId="0" fontId="0" fillId="5" borderId="0" xfId="0" quotePrefix="1" applyFill="1" applyBorder="1"/>
    <xf numFmtId="0" fontId="0" fillId="8" borderId="0" xfId="0" applyFill="1" applyBorder="1" applyAlignment="1">
      <alignment horizontal="right"/>
    </xf>
    <xf numFmtId="0" fontId="0" fillId="5" borderId="7" xfId="0" applyFill="1" applyBorder="1"/>
    <xf numFmtId="0" fontId="2" fillId="0" borderId="0" xfId="0" applyFont="1" applyBorder="1"/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64" fontId="0" fillId="0" borderId="0" xfId="0" applyNumberFormat="1" applyBorder="1"/>
    <xf numFmtId="0" fontId="2" fillId="0" borderId="0" xfId="0" applyFont="1" applyBorder="1" applyAlignment="1">
      <alignment horizontal="right"/>
    </xf>
    <xf numFmtId="0" fontId="0" fillId="0" borderId="20" xfId="0" applyBorder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12" fillId="0" borderId="0" xfId="0" applyFont="1" applyFill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0" fillId="8" borderId="0" xfId="0" applyFill="1" applyBorder="1"/>
    <xf numFmtId="166" fontId="0" fillId="0" borderId="0" xfId="0" applyNumberFormat="1"/>
    <xf numFmtId="0" fontId="0" fillId="0" borderId="0" xfId="0" applyFill="1" applyBorder="1" applyAlignment="1">
      <alignment horizontal="right"/>
    </xf>
    <xf numFmtId="0" fontId="0" fillId="7" borderId="0" xfId="0" quotePrefix="1" applyFill="1" applyBorder="1"/>
    <xf numFmtId="0" fontId="13" fillId="0" borderId="20" xfId="0" applyFont="1" applyBorder="1"/>
    <xf numFmtId="164" fontId="0" fillId="0" borderId="0" xfId="2" applyNumberFormat="1" applyFont="1" applyBorder="1"/>
    <xf numFmtId="1" fontId="0" fillId="0" borderId="0" xfId="2" applyNumberFormat="1" applyFont="1" applyBorder="1"/>
    <xf numFmtId="165" fontId="0" fillId="5" borderId="1" xfId="0" applyNumberFormat="1" applyFill="1" applyBorder="1"/>
    <xf numFmtId="0" fontId="2" fillId="5" borderId="7" xfId="0" quotePrefix="1" applyFont="1" applyFill="1" applyBorder="1"/>
    <xf numFmtId="0" fontId="14" fillId="5" borderId="7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quotePrefix="1" applyFont="1" applyBorder="1" applyAlignment="1">
      <alignment horizontal="right"/>
    </xf>
    <xf numFmtId="14" fontId="0" fillId="7" borderId="0" xfId="0" applyNumberFormat="1" applyFill="1"/>
    <xf numFmtId="14" fontId="15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right"/>
    </xf>
    <xf numFmtId="0" fontId="17" fillId="0" borderId="0" xfId="0" applyFo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1" fillId="0" borderId="1" xfId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7" borderId="2" xfId="0" applyFill="1" applyBorder="1" applyAlignment="1">
      <alignment horizontal="center"/>
    </xf>
    <xf numFmtId="0" fontId="2" fillId="0" borderId="10" xfId="0" applyFont="1" applyBorder="1"/>
    <xf numFmtId="0" fontId="20" fillId="10" borderId="9" xfId="0" applyFont="1" applyFill="1" applyBorder="1"/>
    <xf numFmtId="0" fontId="20" fillId="10" borderId="8" xfId="0" applyFont="1" applyFill="1" applyBorder="1"/>
    <xf numFmtId="0" fontId="0" fillId="0" borderId="14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3" xfId="0" applyFont="1" applyBorder="1"/>
    <xf numFmtId="9" fontId="0" fillId="0" borderId="26" xfId="2" applyNumberFormat="1" applyFont="1" applyBorder="1" applyAlignment="1">
      <alignment horizontal="center"/>
    </xf>
    <xf numFmtId="9" fontId="0" fillId="0" borderId="27" xfId="2" applyNumberFormat="1" applyFont="1" applyBorder="1" applyAlignment="1">
      <alignment horizontal="center"/>
    </xf>
    <xf numFmtId="166" fontId="0" fillId="0" borderId="27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/>
    </xf>
    <xf numFmtId="9" fontId="0" fillId="0" borderId="28" xfId="2" applyFont="1" applyBorder="1"/>
    <xf numFmtId="0" fontId="23" fillId="6" borderId="1" xfId="1" applyFont="1" applyFill="1" applyBorder="1" applyAlignment="1">
      <alignment horizontal="left"/>
    </xf>
    <xf numFmtId="0" fontId="3" fillId="3" borderId="0" xfId="0" applyFont="1" applyFill="1" applyBorder="1"/>
    <xf numFmtId="0" fontId="0" fillId="3" borderId="0" xfId="0" applyFill="1" applyBorder="1"/>
    <xf numFmtId="0" fontId="2" fillId="0" borderId="29" xfId="0" applyFont="1" applyBorder="1" applyAlignment="1">
      <alignment wrapText="1"/>
    </xf>
    <xf numFmtId="0" fontId="2" fillId="0" borderId="30" xfId="0" applyFont="1" applyBorder="1"/>
    <xf numFmtId="0" fontId="2" fillId="0" borderId="30" xfId="0" applyFont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0" fontId="2" fillId="5" borderId="30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7" borderId="20" xfId="0" applyFont="1" applyFill="1" applyBorder="1"/>
    <xf numFmtId="0" fontId="0" fillId="7" borderId="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4" xfId="0" applyFont="1" applyFill="1" applyBorder="1"/>
    <xf numFmtId="0" fontId="0" fillId="0" borderId="23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6" borderId="19" xfId="1" applyFill="1" applyBorder="1" applyAlignment="1">
      <alignment horizontal="center"/>
    </xf>
    <xf numFmtId="0" fontId="0" fillId="0" borderId="14" xfId="0" applyBorder="1"/>
    <xf numFmtId="0" fontId="2" fillId="0" borderId="0" xfId="0" applyFont="1" applyFill="1" applyBorder="1"/>
    <xf numFmtId="1" fontId="0" fillId="0" borderId="0" xfId="0" applyNumberFormat="1" applyBorder="1"/>
    <xf numFmtId="165" fontId="0" fillId="0" borderId="0" xfId="0" applyNumberFormat="1" applyBorder="1"/>
    <xf numFmtId="0" fontId="0" fillId="0" borderId="7" xfId="0" applyFill="1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/>
    <xf numFmtId="0" fontId="0" fillId="0" borderId="7" xfId="0" applyFill="1" applyBorder="1" applyAlignment="1">
      <alignment horizontal="left"/>
    </xf>
    <xf numFmtId="165" fontId="0" fillId="0" borderId="7" xfId="0" applyNumberFormat="1" applyBorder="1"/>
    <xf numFmtId="0" fontId="0" fillId="0" borderId="7" xfId="0" applyBorder="1" applyAlignment="1">
      <alignment horizontal="center"/>
    </xf>
    <xf numFmtId="0" fontId="2" fillId="0" borderId="3" xfId="0" applyFont="1" applyFill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Border="1" applyAlignment="1">
      <alignment horizontal="center" wrapText="1"/>
    </xf>
    <xf numFmtId="0" fontId="24" fillId="0" borderId="24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11" borderId="20" xfId="0" applyFill="1" applyBorder="1"/>
    <xf numFmtId="0" fontId="0" fillId="11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7" fontId="0" fillId="0" borderId="0" xfId="0" applyNumberFormat="1" applyBorder="1" applyAlignment="1">
      <alignment horizontal="center"/>
    </xf>
    <xf numFmtId="9" fontId="0" fillId="0" borderId="0" xfId="2" applyFont="1"/>
    <xf numFmtId="1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7" borderId="16" xfId="0" applyFont="1" applyFill="1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2" fillId="7" borderId="13" xfId="0" applyFont="1" applyFill="1" applyBorder="1"/>
    <xf numFmtId="164" fontId="0" fillId="7" borderId="21" xfId="0" applyNumberFormat="1" applyFill="1" applyBorder="1" applyAlignment="1">
      <alignment horizontal="center"/>
    </xf>
    <xf numFmtId="0" fontId="2" fillId="7" borderId="33" xfId="0" applyFont="1" applyFill="1" applyBorder="1"/>
    <xf numFmtId="1" fontId="0" fillId="0" borderId="15" xfId="0" applyNumberForma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2" xfId="0" applyBorder="1"/>
    <xf numFmtId="0" fontId="2" fillId="7" borderId="13" xfId="0" quotePrefix="1" applyFont="1" applyFill="1" applyBorder="1"/>
    <xf numFmtId="0" fontId="2" fillId="7" borderId="17" xfId="0" applyFont="1" applyFill="1" applyBorder="1"/>
    <xf numFmtId="0" fontId="2" fillId="7" borderId="16" xfId="0" applyFont="1" applyFill="1" applyBorder="1" applyAlignment="1">
      <alignment horizontal="left"/>
    </xf>
    <xf numFmtId="0" fontId="0" fillId="0" borderId="32" xfId="0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4" borderId="34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33" xfId="0" applyFont="1" applyFill="1" applyBorder="1"/>
    <xf numFmtId="0" fontId="0" fillId="3" borderId="3" xfId="0" applyFill="1" applyBorder="1"/>
    <xf numFmtId="0" fontId="2" fillId="0" borderId="3" xfId="0" applyFont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35" xfId="0" applyBorder="1"/>
    <xf numFmtId="0" fontId="3" fillId="3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0" fillId="3" borderId="33" xfId="0" applyFill="1" applyBorder="1"/>
    <xf numFmtId="0" fontId="0" fillId="0" borderId="3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4" fillId="3" borderId="3" xfId="0" applyFont="1" applyFill="1" applyBorder="1"/>
    <xf numFmtId="0" fontId="2" fillId="0" borderId="35" xfId="0" applyFont="1" applyBorder="1" applyAlignment="1">
      <alignment horizontal="center" wrapText="1"/>
    </xf>
    <xf numFmtId="0" fontId="7" fillId="0" borderId="0" xfId="0" applyFont="1" applyBorder="1"/>
    <xf numFmtId="9" fontId="0" fillId="0" borderId="0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0" xfId="2" applyFont="1" applyBorder="1"/>
    <xf numFmtId="0" fontId="20" fillId="0" borderId="0" xfId="0" applyFont="1" applyFill="1" applyBorder="1"/>
    <xf numFmtId="2" fontId="0" fillId="0" borderId="0" xfId="0" applyNumberFormat="1"/>
    <xf numFmtId="2" fontId="0" fillId="0" borderId="21" xfId="0" applyNumberFormat="1" applyFill="1" applyBorder="1"/>
    <xf numFmtId="0" fontId="0" fillId="0" borderId="0" xfId="0" quotePrefix="1"/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20" xfId="0" applyFill="1" applyBorder="1"/>
    <xf numFmtId="164" fontId="0" fillId="0" borderId="0" xfId="0" applyNumberFormat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165" fontId="0" fillId="7" borderId="37" xfId="0" applyNumberFormat="1" applyFill="1" applyBorder="1"/>
    <xf numFmtId="0" fontId="2" fillId="7" borderId="38" xfId="0" applyFont="1" applyFill="1" applyBorder="1"/>
    <xf numFmtId="0" fontId="2" fillId="7" borderId="39" xfId="0" applyFont="1" applyFill="1" applyBorder="1"/>
    <xf numFmtId="167" fontId="0" fillId="5" borderId="0" xfId="0" applyNumberFormat="1" applyFill="1" applyBorder="1"/>
    <xf numFmtId="169" fontId="0" fillId="0" borderId="0" xfId="0" applyNumberFormat="1"/>
    <xf numFmtId="165" fontId="0" fillId="0" borderId="19" xfId="0" applyNumberFormat="1" applyBorder="1"/>
    <xf numFmtId="2" fontId="0" fillId="0" borderId="0" xfId="0" applyNumberFormat="1" applyBorder="1"/>
    <xf numFmtId="167" fontId="0" fillId="0" borderId="0" xfId="0" applyNumberFormat="1"/>
    <xf numFmtId="2" fontId="2" fillId="0" borderId="0" xfId="0" applyNumberFormat="1" applyFont="1"/>
    <xf numFmtId="0" fontId="25" fillId="0" borderId="0" xfId="0" applyFont="1"/>
    <xf numFmtId="0" fontId="0" fillId="0" borderId="0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2" xfId="0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3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left"/>
    </xf>
    <xf numFmtId="2" fontId="2" fillId="7" borderId="0" xfId="0" applyNumberFormat="1" applyFont="1" applyFill="1" applyAlignment="1">
      <alignment horizontal="center"/>
    </xf>
    <xf numFmtId="0" fontId="0" fillId="0" borderId="40" xfId="0" applyBorder="1" applyAlignment="1">
      <alignment horizontal="center"/>
    </xf>
    <xf numFmtId="0" fontId="2" fillId="0" borderId="41" xfId="0" applyFont="1" applyBorder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  <color rgb="FFCEE9B1"/>
      <color rgb="FFBEE296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10</xdr:row>
      <xdr:rowOff>1</xdr:rowOff>
    </xdr:from>
    <xdr:to>
      <xdr:col>14</xdr:col>
      <xdr:colOff>400050</xdr:colOff>
      <xdr:row>10</xdr:row>
      <xdr:rowOff>228601</xdr:rowOff>
    </xdr:to>
    <xdr:sp macro="" textlink="">
      <xdr:nvSpPr>
        <xdr:cNvPr id="3" name="TextBox 2"/>
        <xdr:cNvSpPr txBox="1"/>
      </xdr:nvSpPr>
      <xdr:spPr>
        <a:xfrm>
          <a:off x="7258050" y="1524001"/>
          <a:ext cx="1743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State of Internal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V35"/>
  <sheetViews>
    <sheetView tabSelected="1" workbookViewId="0">
      <selection activeCell="N7" sqref="N7"/>
    </sheetView>
  </sheetViews>
  <sheetFormatPr defaultRowHeight="15" x14ac:dyDescent="0.25"/>
  <cols>
    <col min="1" max="1" width="13.85546875" customWidth="1"/>
    <col min="2" max="2" width="20.140625" customWidth="1"/>
    <col min="5" max="5" width="11" bestFit="1" customWidth="1"/>
    <col min="9" max="9" width="9.5703125" bestFit="1" customWidth="1"/>
  </cols>
  <sheetData>
    <row r="1" spans="1:21" x14ac:dyDescent="0.25">
      <c r="A1" t="s">
        <v>242</v>
      </c>
      <c r="C1" s="1"/>
      <c r="D1" s="1"/>
      <c r="E1" s="1"/>
      <c r="F1" s="1" t="s">
        <v>221</v>
      </c>
      <c r="G1" s="1"/>
      <c r="H1" s="1"/>
      <c r="I1" s="1"/>
    </row>
    <row r="2" spans="1:21" ht="15.75" thickBot="1" x14ac:dyDescent="0.3">
      <c r="A2" t="s">
        <v>34</v>
      </c>
      <c r="B2" s="10">
        <v>41851</v>
      </c>
      <c r="C2" s="1"/>
      <c r="D2" s="1"/>
      <c r="E2" s="1"/>
      <c r="F2" s="49" t="s">
        <v>100</v>
      </c>
      <c r="G2" s="33"/>
      <c r="H2" s="33"/>
      <c r="I2" s="33"/>
      <c r="J2" s="37"/>
    </row>
    <row r="3" spans="1:21" ht="15.75" thickBot="1" x14ac:dyDescent="0.3">
      <c r="C3" s="1"/>
      <c r="D3" s="1"/>
      <c r="E3" s="1"/>
      <c r="F3" s="50" t="s">
        <v>101</v>
      </c>
      <c r="G3" s="25"/>
      <c r="H3" s="25"/>
      <c r="I3" s="25"/>
      <c r="J3" s="51"/>
    </row>
    <row r="4" spans="1:21" ht="15.75" x14ac:dyDescent="0.25">
      <c r="A4" s="4" t="s">
        <v>66</v>
      </c>
      <c r="B4" s="5"/>
      <c r="C4" s="1"/>
      <c r="D4" s="1"/>
      <c r="E4" s="1"/>
      <c r="F4" s="31" t="s">
        <v>102</v>
      </c>
      <c r="G4" s="22"/>
      <c r="H4" s="22"/>
      <c r="I4" s="22"/>
      <c r="J4" s="24"/>
    </row>
    <row r="5" spans="1:21" x14ac:dyDescent="0.25">
      <c r="D5" s="175"/>
      <c r="E5" s="1"/>
      <c r="F5" s="127" t="s">
        <v>233</v>
      </c>
      <c r="G5" s="23"/>
      <c r="H5" s="23"/>
      <c r="I5" s="23"/>
      <c r="J5" s="23"/>
    </row>
    <row r="6" spans="1:21" x14ac:dyDescent="0.25">
      <c r="B6" s="26" t="s">
        <v>311</v>
      </c>
      <c r="C6" s="1">
        <v>20</v>
      </c>
      <c r="D6" s="16" t="s">
        <v>313</v>
      </c>
      <c r="E6" s="1"/>
      <c r="F6" s="267"/>
      <c r="G6" s="36"/>
      <c r="H6" s="36"/>
      <c r="I6" s="36"/>
      <c r="J6" s="36"/>
    </row>
    <row r="7" spans="1:21" x14ac:dyDescent="0.25">
      <c r="B7" s="26" t="s">
        <v>317</v>
      </c>
      <c r="C7" s="274" t="s">
        <v>315</v>
      </c>
      <c r="D7" s="275" t="s">
        <v>312</v>
      </c>
      <c r="E7" s="268" t="str">
        <f>IF(C7="Y","=====&gt;","")</f>
        <v>=====&gt;</v>
      </c>
      <c r="F7" s="269" t="str">
        <f>IF($C7="Y","Avg Vbat:","N/A")</f>
        <v>Avg Vbat:</v>
      </c>
      <c r="G7" s="270">
        <v>3.7</v>
      </c>
      <c r="H7" s="271" t="str">
        <f>IF($C7="Y","Vout:","N/A")</f>
        <v>Vout:</v>
      </c>
      <c r="I7" s="272">
        <v>1.8</v>
      </c>
      <c r="J7" s="269" t="str">
        <f>IF($C7="Y","Efficiency","N/A")</f>
        <v>Efficiency</v>
      </c>
      <c r="K7" s="270">
        <v>88</v>
      </c>
      <c r="L7" s="224" t="s">
        <v>314</v>
      </c>
    </row>
    <row r="8" spans="1:21" x14ac:dyDescent="0.25">
      <c r="A8" s="30" t="s">
        <v>245</v>
      </c>
      <c r="C8" s="273">
        <f>IF(C7="Y",(C6/1000*60*60)*((K7/100)*G7/I7),C6/1000*60*60)</f>
        <v>130.24</v>
      </c>
      <c r="D8" s="128" t="s">
        <v>67</v>
      </c>
      <c r="E8" s="1"/>
      <c r="F8" s="1"/>
      <c r="G8" s="1"/>
      <c r="H8" s="1"/>
      <c r="I8" s="1"/>
      <c r="R8" s="39"/>
      <c r="S8" s="40"/>
    </row>
    <row r="9" spans="1:21" x14ac:dyDescent="0.25">
      <c r="C9" s="1"/>
      <c r="D9" s="1"/>
      <c r="E9" s="1"/>
      <c r="F9" s="259"/>
      <c r="G9" s="259"/>
      <c r="H9" s="259"/>
      <c r="I9" s="1"/>
      <c r="R9" s="40"/>
      <c r="S9" s="40"/>
    </row>
    <row r="10" spans="1:21" ht="16.5" thickBot="1" x14ac:dyDescent="0.3">
      <c r="A10" s="142" t="s">
        <v>35</v>
      </c>
      <c r="B10" s="143"/>
      <c r="C10" s="6"/>
      <c r="D10" s="6"/>
      <c r="E10" s="6"/>
      <c r="F10" s="6"/>
      <c r="G10" s="6"/>
      <c r="H10" s="6"/>
      <c r="I10" s="6"/>
      <c r="J10" s="162"/>
      <c r="K10" s="28"/>
      <c r="L10" s="28"/>
      <c r="M10" s="28"/>
      <c r="N10" s="28"/>
      <c r="O10" s="28"/>
      <c r="P10" s="28"/>
    </row>
    <row r="11" spans="1:21" ht="32.25" customHeight="1" thickBot="1" x14ac:dyDescent="0.3">
      <c r="A11" s="144" t="s">
        <v>243</v>
      </c>
      <c r="B11" s="145" t="s">
        <v>244</v>
      </c>
      <c r="C11" s="146" t="s">
        <v>9</v>
      </c>
      <c r="D11" s="146" t="s">
        <v>18</v>
      </c>
      <c r="E11" s="146" t="s">
        <v>14</v>
      </c>
      <c r="F11" s="147" t="s">
        <v>0</v>
      </c>
      <c r="G11" s="146" t="s">
        <v>239</v>
      </c>
      <c r="H11" s="146" t="s">
        <v>241</v>
      </c>
      <c r="I11" s="148" t="s">
        <v>8</v>
      </c>
      <c r="J11" s="149" t="s">
        <v>5</v>
      </c>
      <c r="K11" s="149" t="s">
        <v>2</v>
      </c>
      <c r="L11" s="149" t="s">
        <v>3</v>
      </c>
      <c r="M11" s="149" t="s">
        <v>4</v>
      </c>
      <c r="N11" s="149" t="s">
        <v>31</v>
      </c>
      <c r="O11" s="149" t="s">
        <v>6</v>
      </c>
      <c r="P11" s="150" t="s">
        <v>7</v>
      </c>
    </row>
    <row r="12" spans="1:21" ht="15.75" thickBot="1" x14ac:dyDescent="0.3">
      <c r="A12" s="151" t="s">
        <v>45</v>
      </c>
      <c r="B12" s="8" t="s">
        <v>10</v>
      </c>
      <c r="C12" s="6" t="s">
        <v>13</v>
      </c>
      <c r="D12" s="6" t="s">
        <v>12</v>
      </c>
      <c r="E12" s="6">
        <v>1</v>
      </c>
      <c r="F12" s="11">
        <v>32</v>
      </c>
      <c r="G12" s="247">
        <f>12300+(GPIO_Periph*AP_FastMIPS)</f>
        <v>12428</v>
      </c>
      <c r="H12" s="9">
        <f>G12/F12</f>
        <v>388.375</v>
      </c>
      <c r="I12" s="6">
        <v>0</v>
      </c>
      <c r="J12" s="6" t="s">
        <v>218</v>
      </c>
      <c r="K12" s="6" t="s">
        <v>218</v>
      </c>
      <c r="L12" s="6" t="s">
        <v>218</v>
      </c>
      <c r="M12" s="6" t="s">
        <v>218</v>
      </c>
      <c r="N12" s="176" t="s">
        <v>257</v>
      </c>
      <c r="O12" s="6"/>
      <c r="P12" s="153" t="s">
        <v>218</v>
      </c>
      <c r="R12" s="13" t="s">
        <v>36</v>
      </c>
      <c r="S12" s="14"/>
      <c r="T12" s="14"/>
    </row>
    <row r="13" spans="1:21" ht="15.75" thickBot="1" x14ac:dyDescent="0.3">
      <c r="A13" s="96"/>
      <c r="B13" s="8" t="s">
        <v>11</v>
      </c>
      <c r="C13" s="6" t="s">
        <v>13</v>
      </c>
      <c r="D13" s="6" t="s">
        <v>12</v>
      </c>
      <c r="E13" s="6">
        <v>1</v>
      </c>
      <c r="F13" s="6">
        <v>32</v>
      </c>
      <c r="G13" s="9">
        <f>11700+(GPIO_Periph*F13)</f>
        <v>11828</v>
      </c>
      <c r="H13" s="9">
        <f>G13/F13</f>
        <v>369.625</v>
      </c>
      <c r="I13" s="6">
        <v>0</v>
      </c>
      <c r="J13" s="6" t="s">
        <v>218</v>
      </c>
      <c r="K13" s="6" t="s">
        <v>218</v>
      </c>
      <c r="L13" s="6" t="s">
        <v>218</v>
      </c>
      <c r="M13" s="154"/>
      <c r="N13" s="177" t="s">
        <v>257</v>
      </c>
      <c r="O13" s="6"/>
      <c r="P13" s="155" t="s">
        <v>218</v>
      </c>
      <c r="R13" s="7" t="s">
        <v>39</v>
      </c>
    </row>
    <row r="14" spans="1:21" ht="15.75" thickBot="1" x14ac:dyDescent="0.3">
      <c r="A14" s="151" t="s">
        <v>46</v>
      </c>
      <c r="B14" s="8" t="s">
        <v>15</v>
      </c>
      <c r="C14" s="6" t="s">
        <v>13</v>
      </c>
      <c r="D14" s="6" t="s">
        <v>17</v>
      </c>
      <c r="E14" s="6">
        <v>3</v>
      </c>
      <c r="F14" s="90">
        <v>4.2</v>
      </c>
      <c r="G14" s="247">
        <f>1100+(GPIO_Periph*AP_EFFMIPS)</f>
        <v>1116.8</v>
      </c>
      <c r="H14" s="12">
        <f>G14/F14</f>
        <v>265.90476190476187</v>
      </c>
      <c r="I14" s="6">
        <v>0</v>
      </c>
      <c r="J14" s="6" t="s">
        <v>218</v>
      </c>
      <c r="K14" s="6" t="s">
        <v>218</v>
      </c>
      <c r="L14" s="6" t="s">
        <v>218</v>
      </c>
      <c r="M14" s="6" t="s">
        <v>218</v>
      </c>
      <c r="N14" s="177" t="s">
        <v>257</v>
      </c>
      <c r="O14" s="6"/>
      <c r="P14" s="155" t="s">
        <v>218</v>
      </c>
      <c r="R14" s="13" t="s">
        <v>38</v>
      </c>
      <c r="S14" s="14"/>
      <c r="T14" s="14"/>
      <c r="U14" s="14"/>
    </row>
    <row r="15" spans="1:21" x14ac:dyDescent="0.25">
      <c r="A15" s="96"/>
      <c r="B15" s="8" t="s">
        <v>16</v>
      </c>
      <c r="C15" s="6" t="s">
        <v>13</v>
      </c>
      <c r="D15" s="6" t="s">
        <v>17</v>
      </c>
      <c r="E15" s="6">
        <v>3</v>
      </c>
      <c r="F15" s="6">
        <v>4.2</v>
      </c>
      <c r="G15" s="9">
        <f>1034+(GPIO_Periph*F15)</f>
        <v>1050.8</v>
      </c>
      <c r="H15" s="9">
        <f>G15/F15</f>
        <v>250.19047619047618</v>
      </c>
      <c r="I15" s="6">
        <v>0</v>
      </c>
      <c r="J15" s="6" t="s">
        <v>218</v>
      </c>
      <c r="K15" s="6" t="s">
        <v>218</v>
      </c>
      <c r="L15" s="6" t="s">
        <v>218</v>
      </c>
      <c r="M15" s="6"/>
      <c r="N15" s="177" t="s">
        <v>257</v>
      </c>
      <c r="O15" s="6"/>
      <c r="P15" s="155" t="s">
        <v>218</v>
      </c>
      <c r="R15" s="7" t="s">
        <v>39</v>
      </c>
    </row>
    <row r="16" spans="1:21" x14ac:dyDescent="0.25">
      <c r="A16" s="156" t="s">
        <v>48</v>
      </c>
      <c r="B16" s="2" t="s">
        <v>41</v>
      </c>
      <c r="C16" s="3" t="s">
        <v>40</v>
      </c>
      <c r="D16" s="3" t="s">
        <v>17</v>
      </c>
      <c r="E16" s="3" t="s">
        <v>30</v>
      </c>
      <c r="F16" s="3">
        <v>0.13100000000000001</v>
      </c>
      <c r="G16" s="190">
        <f>71+(GPIO_Periph*F16)</f>
        <v>71.524000000000001</v>
      </c>
      <c r="H16" s="32">
        <f>G16/F16</f>
        <v>545.98473282442751</v>
      </c>
      <c r="I16" s="3">
        <v>0</v>
      </c>
      <c r="J16" s="3" t="s">
        <v>218</v>
      </c>
      <c r="K16" s="3" t="s">
        <v>218</v>
      </c>
      <c r="L16" s="3" t="s">
        <v>218</v>
      </c>
      <c r="M16" s="3"/>
      <c r="N16" s="178" t="s">
        <v>257</v>
      </c>
      <c r="O16" s="3"/>
      <c r="P16" s="157" t="s">
        <v>218</v>
      </c>
      <c r="R16" s="7" t="s">
        <v>42</v>
      </c>
    </row>
    <row r="17" spans="1:22" x14ac:dyDescent="0.25">
      <c r="A17" s="96"/>
      <c r="B17" s="8" t="s">
        <v>27</v>
      </c>
      <c r="C17" s="6" t="s">
        <v>27</v>
      </c>
      <c r="D17" s="6" t="s">
        <v>12</v>
      </c>
      <c r="E17" s="6">
        <v>2</v>
      </c>
      <c r="F17" s="6">
        <v>16</v>
      </c>
      <c r="G17" s="158">
        <v>1160</v>
      </c>
      <c r="H17" s="9"/>
      <c r="I17" s="6">
        <v>0.4</v>
      </c>
      <c r="J17" s="159"/>
      <c r="K17" s="6" t="s">
        <v>218</v>
      </c>
      <c r="L17" s="6" t="s">
        <v>218</v>
      </c>
      <c r="M17" s="6" t="s">
        <v>218</v>
      </c>
      <c r="N17" s="177" t="s">
        <v>257</v>
      </c>
      <c r="O17" s="6" t="s">
        <v>33</v>
      </c>
      <c r="P17" s="155" t="s">
        <v>218</v>
      </c>
      <c r="R17" s="7"/>
    </row>
    <row r="18" spans="1:22" x14ac:dyDescent="0.25">
      <c r="A18" s="96"/>
      <c r="B18" s="8" t="s">
        <v>29</v>
      </c>
      <c r="C18" s="6" t="s">
        <v>27</v>
      </c>
      <c r="D18" s="6" t="s">
        <v>17</v>
      </c>
      <c r="E18" s="6">
        <v>3</v>
      </c>
      <c r="F18" s="6">
        <v>6.5000000000000002E-2</v>
      </c>
      <c r="G18" s="6">
        <v>50</v>
      </c>
      <c r="H18" s="9"/>
      <c r="I18" s="158">
        <v>185</v>
      </c>
      <c r="J18" s="159"/>
      <c r="K18" s="6" t="s">
        <v>218</v>
      </c>
      <c r="L18" s="6" t="s">
        <v>218</v>
      </c>
      <c r="M18" s="6" t="s">
        <v>218</v>
      </c>
      <c r="N18" s="177" t="s">
        <v>257</v>
      </c>
      <c r="O18" s="6" t="s">
        <v>33</v>
      </c>
      <c r="P18" s="155" t="s">
        <v>218</v>
      </c>
      <c r="R18" s="7"/>
    </row>
    <row r="19" spans="1:22" ht="15.75" thickBot="1" x14ac:dyDescent="0.3">
      <c r="A19" s="96"/>
      <c r="B19" s="8" t="s">
        <v>22</v>
      </c>
      <c r="C19" s="6" t="s">
        <v>28</v>
      </c>
      <c r="D19" s="6" t="s">
        <v>17</v>
      </c>
      <c r="E19" s="6" t="s">
        <v>30</v>
      </c>
      <c r="F19" s="6">
        <v>0.13100000000000001</v>
      </c>
      <c r="G19" s="6">
        <v>25</v>
      </c>
      <c r="H19" s="6"/>
      <c r="I19" s="6">
        <v>92</v>
      </c>
      <c r="J19" s="159"/>
      <c r="K19" s="154"/>
      <c r="L19" s="154"/>
      <c r="M19" s="154"/>
      <c r="N19" s="154"/>
      <c r="O19" s="6" t="s">
        <v>33</v>
      </c>
      <c r="P19" s="160"/>
      <c r="R19" s="7" t="s">
        <v>26</v>
      </c>
    </row>
    <row r="20" spans="1:22" ht="15.75" thickBot="1" x14ac:dyDescent="0.3">
      <c r="A20" s="250" t="s">
        <v>47</v>
      </c>
      <c r="B20" s="8" t="s">
        <v>23</v>
      </c>
      <c r="C20" s="6" t="s">
        <v>24</v>
      </c>
      <c r="D20" s="6"/>
      <c r="E20" s="6" t="s">
        <v>30</v>
      </c>
      <c r="F20" s="6">
        <v>4.2</v>
      </c>
      <c r="G20" s="129">
        <v>2.8</v>
      </c>
      <c r="H20" s="6"/>
      <c r="I20" s="248">
        <v>8.1999999999999993</v>
      </c>
      <c r="J20" s="159"/>
      <c r="K20" s="11" t="s">
        <v>218</v>
      </c>
      <c r="L20" s="6" t="s">
        <v>218</v>
      </c>
      <c r="M20" s="6" t="s">
        <v>218</v>
      </c>
      <c r="N20" s="154"/>
      <c r="O20" s="6" t="s">
        <v>33</v>
      </c>
      <c r="P20" s="155" t="s">
        <v>218</v>
      </c>
      <c r="R20" s="13" t="s">
        <v>37</v>
      </c>
      <c r="S20" s="14"/>
      <c r="T20" s="14"/>
      <c r="U20" s="14"/>
      <c r="V20" s="14"/>
    </row>
    <row r="21" spans="1:22" ht="15.75" thickBot="1" x14ac:dyDescent="0.3">
      <c r="A21" s="251" t="s">
        <v>283</v>
      </c>
      <c r="B21" s="8" t="s">
        <v>292</v>
      </c>
      <c r="C21" s="8"/>
      <c r="D21" s="6" t="s">
        <v>17</v>
      </c>
      <c r="E21" s="6">
        <v>3</v>
      </c>
      <c r="F21" s="6">
        <v>4.2</v>
      </c>
      <c r="G21" s="9">
        <f>AP_RUNEFF</f>
        <v>1116.8</v>
      </c>
      <c r="H21" s="8"/>
      <c r="I21" s="249">
        <f>AP_tWU_STOP*AP_RUNEFF*micro</f>
        <v>9.1577599999999974E-3</v>
      </c>
      <c r="J21" s="8" t="s">
        <v>293</v>
      </c>
      <c r="K21" s="6"/>
      <c r="L21" s="8"/>
      <c r="M21" s="8"/>
      <c r="N21" s="164"/>
      <c r="O21" s="6"/>
      <c r="P21" s="155"/>
      <c r="R21" s="7"/>
    </row>
    <row r="22" spans="1:22" x14ac:dyDescent="0.25">
      <c r="A22" s="151" t="s">
        <v>68</v>
      </c>
      <c r="B22" s="8" t="s">
        <v>24</v>
      </c>
      <c r="C22" s="6" t="s">
        <v>24</v>
      </c>
      <c r="D22" s="6"/>
      <c r="E22" s="6">
        <v>3</v>
      </c>
      <c r="F22" s="6">
        <v>4.2</v>
      </c>
      <c r="G22" s="152">
        <v>0.65</v>
      </c>
      <c r="H22" s="6"/>
      <c r="I22" s="6">
        <v>8.1999999999999993</v>
      </c>
      <c r="J22" s="159"/>
      <c r="K22" s="6" t="s">
        <v>218</v>
      </c>
      <c r="L22" s="6" t="s">
        <v>218</v>
      </c>
      <c r="M22" s="6" t="s">
        <v>218</v>
      </c>
      <c r="N22" s="154"/>
      <c r="O22" s="6" t="s">
        <v>33</v>
      </c>
      <c r="P22" s="155" t="s">
        <v>218</v>
      </c>
      <c r="R22" s="7" t="s">
        <v>44</v>
      </c>
    </row>
    <row r="23" spans="1:22" x14ac:dyDescent="0.25">
      <c r="A23" s="161"/>
      <c r="B23" s="2" t="s">
        <v>25</v>
      </c>
      <c r="C23" s="3" t="s">
        <v>25</v>
      </c>
      <c r="D23" s="3"/>
      <c r="E23" s="3">
        <v>3</v>
      </c>
      <c r="F23" s="3">
        <v>2.1</v>
      </c>
      <c r="G23" s="3">
        <v>1.7</v>
      </c>
      <c r="H23" s="3"/>
      <c r="I23" s="3" t="s">
        <v>43</v>
      </c>
      <c r="J23" s="126"/>
      <c r="K23" s="3" t="s">
        <v>218</v>
      </c>
      <c r="L23" s="141" t="s">
        <v>219</v>
      </c>
      <c r="M23" s="17"/>
      <c r="N23" s="17"/>
      <c r="O23" s="3" t="s">
        <v>32</v>
      </c>
      <c r="P23" s="155" t="s">
        <v>218</v>
      </c>
      <c r="R23" s="7"/>
    </row>
    <row r="24" spans="1:22" x14ac:dyDescent="0.25">
      <c r="A24" s="179" t="s">
        <v>258</v>
      </c>
      <c r="B24" s="180"/>
      <c r="C24" s="8"/>
      <c r="D24" s="8"/>
      <c r="E24" s="8"/>
      <c r="F24" s="8"/>
      <c r="G24" s="6"/>
      <c r="H24" s="6"/>
      <c r="I24" s="6"/>
      <c r="J24" s="6"/>
      <c r="K24" s="8"/>
      <c r="L24" s="8"/>
      <c r="M24" s="8"/>
      <c r="N24" s="8"/>
      <c r="O24" s="8"/>
      <c r="P24" s="82"/>
    </row>
    <row r="25" spans="1:22" x14ac:dyDescent="0.25">
      <c r="A25" s="245" t="s">
        <v>288</v>
      </c>
      <c r="B25" s="28" t="s">
        <v>284</v>
      </c>
      <c r="C25" s="28" t="s">
        <v>13</v>
      </c>
      <c r="D25" s="8" t="s">
        <v>17</v>
      </c>
      <c r="E25" s="9">
        <v>3</v>
      </c>
      <c r="F25" s="246"/>
      <c r="G25" s="181"/>
      <c r="H25" s="6">
        <v>4</v>
      </c>
      <c r="I25" s="74" t="s">
        <v>291</v>
      </c>
      <c r="J25" s="6"/>
      <c r="K25" s="8"/>
      <c r="L25" s="8"/>
      <c r="M25" s="8"/>
      <c r="N25" s="8"/>
      <c r="O25" s="8"/>
      <c r="P25" s="82"/>
    </row>
    <row r="26" spans="1:22" x14ac:dyDescent="0.25">
      <c r="A26" s="151" t="s">
        <v>289</v>
      </c>
      <c r="B26" s="28" t="s">
        <v>287</v>
      </c>
      <c r="C26" s="28" t="s">
        <v>13</v>
      </c>
      <c r="D26" s="8" t="s">
        <v>17</v>
      </c>
      <c r="E26" s="9">
        <v>3</v>
      </c>
      <c r="F26" s="246">
        <v>4.2</v>
      </c>
      <c r="G26" s="152">
        <f t="shared" ref="G26" si="0">F26*H26</f>
        <v>23.1</v>
      </c>
      <c r="H26" s="6">
        <v>5.5</v>
      </c>
      <c r="I26" s="6"/>
      <c r="J26" s="6"/>
      <c r="K26" s="8"/>
      <c r="L26" s="8"/>
      <c r="M26" s="8"/>
      <c r="N26" s="8"/>
      <c r="O26" s="8"/>
      <c r="P26" s="82"/>
    </row>
    <row r="27" spans="1:22" x14ac:dyDescent="0.25">
      <c r="A27" s="151" t="s">
        <v>290</v>
      </c>
      <c r="B27" s="28" t="s">
        <v>286</v>
      </c>
      <c r="C27" s="28" t="s">
        <v>13</v>
      </c>
      <c r="D27" s="8" t="s">
        <v>17</v>
      </c>
      <c r="E27" s="9">
        <v>3</v>
      </c>
      <c r="F27" s="246">
        <v>4.2</v>
      </c>
      <c r="G27" s="152">
        <f>F27*H27</f>
        <v>14.700000000000001</v>
      </c>
      <c r="H27" s="6">
        <v>3.5</v>
      </c>
      <c r="I27" s="6"/>
      <c r="J27" s="6"/>
      <c r="K27" s="8"/>
      <c r="L27" s="8"/>
      <c r="M27" s="8"/>
      <c r="N27" s="8"/>
      <c r="O27" s="8"/>
      <c r="P27" s="82"/>
    </row>
    <row r="28" spans="1:22" x14ac:dyDescent="0.25">
      <c r="A28" s="151" t="s">
        <v>285</v>
      </c>
      <c r="B28" s="28" t="s">
        <v>31</v>
      </c>
      <c r="C28" s="28" t="s">
        <v>13</v>
      </c>
      <c r="D28" s="8" t="s">
        <v>17</v>
      </c>
      <c r="E28" s="9">
        <v>3</v>
      </c>
      <c r="F28" s="246">
        <v>4.2</v>
      </c>
      <c r="G28" s="152">
        <f>F28*H28</f>
        <v>6090</v>
      </c>
      <c r="H28" s="6">
        <v>1450</v>
      </c>
      <c r="I28" s="6"/>
      <c r="J28" s="6"/>
      <c r="K28" s="8"/>
      <c r="L28" s="8"/>
      <c r="M28" s="8"/>
      <c r="N28" s="8"/>
      <c r="O28" s="8"/>
      <c r="P28" s="82"/>
    </row>
    <row r="29" spans="1:22" x14ac:dyDescent="0.25">
      <c r="A29" s="245"/>
      <c r="B29" s="28"/>
      <c r="C29" s="171" t="s">
        <v>256</v>
      </c>
      <c r="D29" s="172"/>
      <c r="E29" s="173" t="s">
        <v>251</v>
      </c>
      <c r="F29" s="174" t="s">
        <v>253</v>
      </c>
      <c r="G29" s="6"/>
      <c r="H29" s="6"/>
      <c r="I29" s="6"/>
      <c r="J29" s="6"/>
      <c r="K29" s="8"/>
      <c r="L29" s="8"/>
      <c r="M29" s="8"/>
      <c r="N29" s="8"/>
      <c r="O29" s="8"/>
      <c r="P29" s="82"/>
    </row>
    <row r="30" spans="1:22" x14ac:dyDescent="0.25">
      <c r="A30" s="151" t="s">
        <v>93</v>
      </c>
      <c r="B30" s="28" t="s">
        <v>255</v>
      </c>
      <c r="C30" s="103">
        <f>0.00328*2</f>
        <v>6.5599999999999999E-3</v>
      </c>
      <c r="D30" s="8" t="s">
        <v>86</v>
      </c>
      <c r="E30" s="152">
        <v>300</v>
      </c>
      <c r="F30" s="94">
        <f>E30*μA*AP_tFlashWR/256/nano</f>
        <v>7.6874999999999982</v>
      </c>
      <c r="G30" s="38" t="s">
        <v>85</v>
      </c>
      <c r="H30" s="6"/>
      <c r="I30" s="6"/>
      <c r="J30" s="163">
        <f>F30*nano*2^17/micro</f>
        <v>1007.6159999999999</v>
      </c>
      <c r="K30" s="8" t="s">
        <v>254</v>
      </c>
      <c r="L30" s="8"/>
      <c r="M30" s="8"/>
      <c r="N30" s="8"/>
      <c r="O30" s="8"/>
      <c r="P30" s="82"/>
    </row>
    <row r="31" spans="1:22" x14ac:dyDescent="0.25">
      <c r="A31" s="96"/>
      <c r="B31" s="28" t="s">
        <v>252</v>
      </c>
      <c r="C31" s="103">
        <f>0.00328*2</f>
        <v>6.5599999999999999E-3</v>
      </c>
      <c r="D31" s="8" t="s">
        <v>86</v>
      </c>
      <c r="E31" s="9">
        <v>300</v>
      </c>
      <c r="F31" s="94">
        <f>E31*μA*AP_tFlashWR/256/nano</f>
        <v>7.6874999999999982</v>
      </c>
      <c r="G31" s="38" t="s">
        <v>85</v>
      </c>
      <c r="H31" s="164"/>
      <c r="I31" s="6"/>
      <c r="J31" s="8"/>
      <c r="K31" s="8"/>
      <c r="L31" s="8"/>
      <c r="M31" s="8"/>
      <c r="N31" s="8"/>
      <c r="O31" s="8"/>
      <c r="P31" s="82"/>
    </row>
    <row r="32" spans="1:22" x14ac:dyDescent="0.25">
      <c r="A32" s="96"/>
      <c r="B32" s="8"/>
      <c r="C32" s="8"/>
      <c r="D32" s="8"/>
      <c r="E32" s="8"/>
      <c r="F32" s="8"/>
      <c r="G32" s="8"/>
      <c r="H32" s="164"/>
      <c r="I32" s="6"/>
      <c r="J32" s="8"/>
      <c r="K32" s="8"/>
      <c r="L32" s="8"/>
      <c r="M32" s="8"/>
      <c r="N32" s="8"/>
      <c r="O32" s="8"/>
      <c r="P32" s="82"/>
    </row>
    <row r="33" spans="1:16" x14ac:dyDescent="0.25">
      <c r="A33" s="96"/>
      <c r="B33" s="8"/>
      <c r="C33" s="8"/>
      <c r="D33" s="8"/>
      <c r="E33" s="8"/>
      <c r="F33" s="8"/>
      <c r="G33" s="8"/>
      <c r="H33" s="8"/>
      <c r="I33" s="6"/>
      <c r="J33" s="8"/>
      <c r="K33" s="8"/>
      <c r="L33" s="8"/>
      <c r="M33" s="8"/>
      <c r="N33" s="8"/>
      <c r="O33" s="8"/>
      <c r="P33" s="82"/>
    </row>
    <row r="34" spans="1:16" ht="15.75" thickBot="1" x14ac:dyDescent="0.3">
      <c r="A34" s="60"/>
      <c r="B34" s="165"/>
      <c r="C34" s="165"/>
      <c r="D34" s="61"/>
      <c r="E34" s="166"/>
      <c r="F34" s="167"/>
      <c r="G34" s="168"/>
      <c r="H34" s="169"/>
      <c r="I34" s="170"/>
      <c r="J34" s="61"/>
      <c r="K34" s="61"/>
      <c r="L34" s="61"/>
      <c r="M34" s="61"/>
      <c r="N34" s="61"/>
      <c r="O34" s="61"/>
      <c r="P34" s="62"/>
    </row>
    <row r="35" spans="1:16" x14ac:dyDescent="0.25">
      <c r="A35" s="8"/>
      <c r="B35" s="28"/>
      <c r="C35" s="28"/>
      <c r="D35" s="8"/>
      <c r="E35" s="9"/>
      <c r="F35" s="94"/>
      <c r="G35" s="38"/>
      <c r="H35" s="164"/>
      <c r="I35" s="6"/>
      <c r="J35" s="8"/>
      <c r="K35" s="8"/>
      <c r="L35" s="8"/>
      <c r="M35" s="8"/>
      <c r="N35" s="8"/>
      <c r="O35" s="8"/>
      <c r="P35" s="8"/>
    </row>
  </sheetData>
  <mergeCells count="1">
    <mergeCell ref="F9:H9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X43"/>
  <sheetViews>
    <sheetView topLeftCell="A7" zoomScaleNormal="100" workbookViewId="0">
      <selection activeCell="C14" sqref="C14"/>
    </sheetView>
  </sheetViews>
  <sheetFormatPr defaultRowHeight="15" x14ac:dyDescent="0.25"/>
  <cols>
    <col min="1" max="1" width="12.28515625" customWidth="1"/>
    <col min="2" max="2" width="20.28515625" customWidth="1"/>
    <col min="3" max="3" width="12.140625" style="1" customWidth="1"/>
    <col min="4" max="4" width="9.5703125" style="1" customWidth="1"/>
    <col min="5" max="5" width="9.140625" style="1"/>
    <col min="6" max="6" width="10.140625" style="1" customWidth="1"/>
    <col min="7" max="7" width="10.42578125" style="1" customWidth="1"/>
    <col min="8" max="8" width="8.7109375" style="1" bestFit="1" customWidth="1"/>
    <col min="9" max="9" width="7.7109375" style="1" customWidth="1"/>
    <col min="10" max="14" width="5.7109375" customWidth="1"/>
    <col min="19" max="19" width="12" bestFit="1" customWidth="1"/>
  </cols>
  <sheetData>
    <row r="1" spans="1:24" x14ac:dyDescent="0.25">
      <c r="C1"/>
      <c r="D1"/>
      <c r="E1" s="27"/>
      <c r="F1"/>
      <c r="G1"/>
    </row>
    <row r="2" spans="1:24" ht="15.75" x14ac:dyDescent="0.25">
      <c r="A2" s="219" t="s">
        <v>232</v>
      </c>
      <c r="B2" s="225"/>
      <c r="C2" s="226" t="s">
        <v>224</v>
      </c>
      <c r="D2" s="226" t="s">
        <v>223</v>
      </c>
      <c r="E2" s="226" t="s">
        <v>226</v>
      </c>
      <c r="F2" s="173" t="s">
        <v>225</v>
      </c>
      <c r="G2" s="227" t="s">
        <v>227</v>
      </c>
      <c r="H2" s="228"/>
    </row>
    <row r="3" spans="1:24" x14ac:dyDescent="0.25">
      <c r="A3" s="194" t="s">
        <v>228</v>
      </c>
      <c r="B3" s="195" t="s">
        <v>230</v>
      </c>
      <c r="C3" s="217">
        <v>2</v>
      </c>
      <c r="D3" s="196">
        <v>4700</v>
      </c>
      <c r="E3" s="196">
        <f>C3/D3</f>
        <v>4.2553191489361702E-4</v>
      </c>
      <c r="F3" s="205">
        <f>3/400000</f>
        <v>7.5000000000000002E-6</v>
      </c>
      <c r="G3" s="197">
        <f>E3*F3/micro</f>
        <v>3.1914893617021279E-3</v>
      </c>
      <c r="H3" s="210"/>
    </row>
    <row r="4" spans="1:24" x14ac:dyDescent="0.25">
      <c r="A4" s="208" t="s">
        <v>229</v>
      </c>
      <c r="B4" s="2" t="s">
        <v>231</v>
      </c>
      <c r="C4" s="218"/>
      <c r="D4" s="3"/>
      <c r="E4" s="3"/>
      <c r="F4" s="41">
        <f>3/100000</f>
        <v>3.0000000000000001E-5</v>
      </c>
      <c r="G4" s="187">
        <f>E3*F4/micro</f>
        <v>1.2765957446808512E-2</v>
      </c>
      <c r="H4" s="212"/>
    </row>
    <row r="5" spans="1:24" x14ac:dyDescent="0.25">
      <c r="A5" s="34"/>
      <c r="B5" s="35"/>
      <c r="C5" s="124"/>
      <c r="D5" s="36"/>
      <c r="E5" s="36"/>
      <c r="F5" s="125"/>
      <c r="G5" s="36"/>
    </row>
    <row r="6" spans="1:24" x14ac:dyDescent="0.25">
      <c r="F6" s="26"/>
      <c r="G6" s="36"/>
    </row>
    <row r="7" spans="1:24" ht="45" x14ac:dyDescent="0.25">
      <c r="A7" s="219" t="s">
        <v>222</v>
      </c>
      <c r="B7" s="220"/>
      <c r="C7" s="221" t="s">
        <v>19</v>
      </c>
      <c r="D7" s="222" t="s">
        <v>220</v>
      </c>
      <c r="E7" s="221" t="s">
        <v>239</v>
      </c>
      <c r="F7" s="221" t="s">
        <v>240</v>
      </c>
      <c r="G7" s="223" t="s">
        <v>8</v>
      </c>
      <c r="H7" s="224"/>
      <c r="I7" s="8"/>
      <c r="J7" s="8"/>
      <c r="K7" s="8"/>
      <c r="L7" s="8"/>
      <c r="M7" s="8"/>
      <c r="N7" s="8"/>
      <c r="O7" s="8"/>
      <c r="P7" s="8"/>
      <c r="U7" t="s">
        <v>151</v>
      </c>
    </row>
    <row r="8" spans="1:24" ht="15.75" thickBot="1" x14ac:dyDescent="0.3">
      <c r="A8" s="194" t="s">
        <v>76</v>
      </c>
      <c r="B8" s="195"/>
      <c r="C8" s="196" t="s">
        <v>13</v>
      </c>
      <c r="D8" s="198">
        <v>10</v>
      </c>
      <c r="E8" s="197">
        <v>700</v>
      </c>
      <c r="F8" s="216">
        <f>E8/D8</f>
        <v>70</v>
      </c>
      <c r="G8" s="196">
        <v>0</v>
      </c>
      <c r="H8" s="206"/>
      <c r="I8" s="8"/>
      <c r="J8" s="8"/>
      <c r="K8" s="8"/>
      <c r="L8" s="8"/>
      <c r="M8" s="8"/>
      <c r="N8" s="8"/>
      <c r="O8" s="8"/>
      <c r="P8" s="8"/>
      <c r="U8" t="s">
        <v>140</v>
      </c>
      <c r="W8" s="19" t="s">
        <v>152</v>
      </c>
      <c r="X8" s="19" t="s">
        <v>53</v>
      </c>
    </row>
    <row r="9" spans="1:24" x14ac:dyDescent="0.25">
      <c r="A9" s="208" t="s">
        <v>75</v>
      </c>
      <c r="B9" s="2"/>
      <c r="C9" s="3" t="s">
        <v>27</v>
      </c>
      <c r="D9" s="3"/>
      <c r="E9" s="187">
        <v>4</v>
      </c>
      <c r="F9" s="3"/>
      <c r="G9" s="3"/>
      <c r="H9" s="212"/>
      <c r="I9" s="6"/>
      <c r="J9" s="8"/>
      <c r="K9" s="8"/>
      <c r="L9" s="8"/>
      <c r="M9" s="8"/>
      <c r="N9" s="8"/>
      <c r="O9" s="8"/>
      <c r="P9" s="8"/>
      <c r="U9" t="s">
        <v>137</v>
      </c>
      <c r="W9" s="1">
        <v>3.125</v>
      </c>
      <c r="X9" s="1">
        <f>V$10+W9*V$11</f>
        <v>10.000000012500001</v>
      </c>
    </row>
    <row r="10" spans="1:24" x14ac:dyDescent="0.25">
      <c r="H10" s="6"/>
      <c r="I10" s="6"/>
      <c r="J10" s="8"/>
      <c r="K10" s="8"/>
      <c r="L10" s="8"/>
      <c r="M10" s="8"/>
      <c r="N10" s="8"/>
      <c r="O10" s="8"/>
      <c r="P10" s="8"/>
      <c r="U10" t="s">
        <v>138</v>
      </c>
      <c r="V10">
        <v>9.5303327000000007</v>
      </c>
      <c r="W10" s="1">
        <v>10</v>
      </c>
      <c r="X10" s="1">
        <f>V$10+W10*V$11</f>
        <v>11.033268100000001</v>
      </c>
    </row>
    <row r="11" spans="1:24" ht="30" x14ac:dyDescent="0.25">
      <c r="A11" s="4" t="s">
        <v>141</v>
      </c>
      <c r="B11" s="229"/>
      <c r="C11" s="230" t="s">
        <v>1</v>
      </c>
      <c r="D11" s="172"/>
      <c r="E11" s="172"/>
      <c r="F11" s="172"/>
      <c r="G11" s="172"/>
      <c r="H11" s="231"/>
      <c r="I11" s="6"/>
      <c r="J11" s="8"/>
      <c r="K11" s="8"/>
      <c r="L11" s="8"/>
      <c r="M11" s="8"/>
      <c r="N11" s="8"/>
      <c r="O11" s="8"/>
      <c r="P11" s="8"/>
      <c r="U11" t="s">
        <v>139</v>
      </c>
      <c r="V11">
        <v>0.15029354</v>
      </c>
      <c r="W11" s="1">
        <v>20</v>
      </c>
      <c r="X11" s="1">
        <f t="shared" ref="X11:X13" si="0">V$10+W11*V$11</f>
        <v>12.536203500000001</v>
      </c>
    </row>
    <row r="12" spans="1:24" x14ac:dyDescent="0.25">
      <c r="A12" s="194" t="s">
        <v>145</v>
      </c>
      <c r="B12" s="195" t="s">
        <v>147</v>
      </c>
      <c r="C12" s="197">
        <v>6100</v>
      </c>
      <c r="D12" s="196"/>
      <c r="E12" s="196"/>
      <c r="F12" s="196"/>
      <c r="G12" s="196"/>
      <c r="H12" s="210"/>
      <c r="I12" s="6"/>
      <c r="J12" s="8"/>
      <c r="K12" s="8"/>
      <c r="L12" s="8"/>
      <c r="M12" s="8"/>
      <c r="N12" s="8"/>
      <c r="O12" s="8"/>
      <c r="P12" s="8"/>
      <c r="W12" s="1">
        <v>100</v>
      </c>
      <c r="X12" s="1">
        <f t="shared" si="0"/>
        <v>24.5596867</v>
      </c>
    </row>
    <row r="13" spans="1:24" x14ac:dyDescent="0.25">
      <c r="A13" s="201" t="s">
        <v>148</v>
      </c>
      <c r="B13" s="8" t="s">
        <v>149</v>
      </c>
      <c r="C13" s="152">
        <v>350</v>
      </c>
      <c r="D13" s="74" t="s">
        <v>150</v>
      </c>
      <c r="E13" s="6"/>
      <c r="F13" s="6"/>
      <c r="G13" s="6"/>
      <c r="H13" s="215"/>
      <c r="W13" s="1">
        <v>1600</v>
      </c>
      <c r="X13" s="1">
        <f t="shared" si="0"/>
        <v>249.9999967</v>
      </c>
    </row>
    <row r="14" spans="1:24" x14ac:dyDescent="0.25">
      <c r="A14" s="201" t="s">
        <v>146</v>
      </c>
      <c r="B14" s="8" t="s">
        <v>144</v>
      </c>
      <c r="C14" s="152">
        <v>11</v>
      </c>
      <c r="D14" s="74" t="s">
        <v>153</v>
      </c>
      <c r="E14" s="6"/>
      <c r="F14" s="6"/>
      <c r="G14" s="6"/>
      <c r="H14" s="215"/>
    </row>
    <row r="15" spans="1:24" x14ac:dyDescent="0.25">
      <c r="A15" s="208" t="s">
        <v>142</v>
      </c>
      <c r="B15" s="2" t="s">
        <v>143</v>
      </c>
      <c r="C15" s="187">
        <v>6</v>
      </c>
      <c r="D15" s="3"/>
      <c r="E15" s="3"/>
      <c r="F15" s="3"/>
      <c r="G15" s="3"/>
      <c r="H15" s="212"/>
    </row>
    <row r="17" spans="1:18" x14ac:dyDescent="0.25">
      <c r="F17" t="s">
        <v>259</v>
      </c>
      <c r="I17" s="1" t="s">
        <v>230</v>
      </c>
      <c r="J17" t="s">
        <v>260</v>
      </c>
    </row>
    <row r="18" spans="1:18" ht="72.75" customHeight="1" x14ac:dyDescent="0.25">
      <c r="A18" s="219" t="s">
        <v>20</v>
      </c>
      <c r="B18" s="232"/>
      <c r="C18" s="221" t="s">
        <v>261</v>
      </c>
      <c r="D18" s="221" t="s">
        <v>49</v>
      </c>
      <c r="E18" s="221" t="s">
        <v>262</v>
      </c>
      <c r="F18" s="226" t="s">
        <v>263</v>
      </c>
      <c r="G18" s="222" t="s">
        <v>87</v>
      </c>
      <c r="H18" s="221" t="s">
        <v>264</v>
      </c>
      <c r="I18" s="221" t="s">
        <v>266</v>
      </c>
      <c r="J18" s="233" t="s">
        <v>267</v>
      </c>
      <c r="K18" s="182"/>
      <c r="M18" s="182"/>
      <c r="N18" s="182"/>
    </row>
    <row r="19" spans="1:18" x14ac:dyDescent="0.25">
      <c r="A19" s="194" t="s">
        <v>77</v>
      </c>
      <c r="B19" s="195" t="s">
        <v>21</v>
      </c>
      <c r="C19" s="196"/>
      <c r="D19" s="197">
        <v>2000</v>
      </c>
      <c r="E19" s="196">
        <v>3</v>
      </c>
      <c r="F19" s="196">
        <v>256</v>
      </c>
      <c r="G19" s="198">
        <v>5.0000000000000001E-3</v>
      </c>
      <c r="H19" s="196">
        <f>F19+3</f>
        <v>259</v>
      </c>
      <c r="I19" s="199">
        <f>H19*I2C_OH_400</f>
        <v>0.82659574468085117</v>
      </c>
      <c r="J19" s="200">
        <f>EXEE_WR*EXEE_tWR+I19</f>
        <v>10.826595744680851</v>
      </c>
      <c r="K19" s="189"/>
      <c r="N19" s="184"/>
    </row>
    <row r="20" spans="1:18" x14ac:dyDescent="0.25">
      <c r="A20" s="201" t="s">
        <v>269</v>
      </c>
      <c r="B20" s="8"/>
      <c r="C20" s="6"/>
      <c r="D20" s="123"/>
      <c r="E20" s="6"/>
      <c r="F20" s="6"/>
      <c r="G20" s="123"/>
      <c r="H20" s="6"/>
      <c r="I20" s="183"/>
      <c r="J20" s="202">
        <f>J19</f>
        <v>10.826595744680851</v>
      </c>
      <c r="K20" s="188"/>
      <c r="L20" s="183"/>
      <c r="M20" s="9"/>
      <c r="N20" s="185"/>
      <c r="O20" s="186"/>
      <c r="R20" s="184"/>
    </row>
    <row r="21" spans="1:18" x14ac:dyDescent="0.25">
      <c r="A21" s="203" t="s">
        <v>78</v>
      </c>
      <c r="B21" s="2" t="s">
        <v>79</v>
      </c>
      <c r="C21" s="187">
        <v>1000</v>
      </c>
      <c r="D21" s="3"/>
      <c r="E21" s="3">
        <v>3</v>
      </c>
      <c r="F21" s="3"/>
      <c r="G21" s="3"/>
      <c r="H21" s="3"/>
      <c r="I21" s="190"/>
      <c r="J21" s="204"/>
      <c r="M21" s="1"/>
      <c r="N21" s="1"/>
    </row>
    <row r="22" spans="1:18" x14ac:dyDescent="0.25">
      <c r="A22" s="34"/>
      <c r="B22" s="35"/>
      <c r="C22" s="36"/>
      <c r="N22" s="21"/>
    </row>
    <row r="23" spans="1:18" x14ac:dyDescent="0.25">
      <c r="A23" s="34"/>
      <c r="B23" s="35"/>
      <c r="C23" s="36"/>
    </row>
    <row r="24" spans="1:18" ht="30" x14ac:dyDescent="0.25">
      <c r="A24" s="219" t="s">
        <v>234</v>
      </c>
      <c r="B24" s="232"/>
      <c r="C24" s="226" t="s">
        <v>53</v>
      </c>
      <c r="D24" s="222" t="s">
        <v>83</v>
      </c>
      <c r="E24" s="221" t="s">
        <v>238</v>
      </c>
      <c r="F24" s="172"/>
      <c r="G24" s="172"/>
      <c r="H24" s="231"/>
      <c r="I24" s="6"/>
      <c r="J24" s="8"/>
      <c r="K24" s="8"/>
      <c r="L24" s="8"/>
      <c r="M24" s="8"/>
      <c r="N24" s="164"/>
      <c r="O24" s="8"/>
      <c r="P24" s="8"/>
    </row>
    <row r="25" spans="1:18" x14ac:dyDescent="0.25">
      <c r="A25" s="201" t="s">
        <v>80</v>
      </c>
      <c r="B25" s="75" t="s">
        <v>207</v>
      </c>
      <c r="C25" s="152">
        <v>6100</v>
      </c>
      <c r="D25" s="90">
        <f>20/0.02</f>
        <v>1000</v>
      </c>
      <c r="E25" s="6"/>
      <c r="F25" s="6"/>
      <c r="G25" s="6"/>
      <c r="H25" s="215"/>
      <c r="I25" s="6"/>
      <c r="J25" s="8"/>
      <c r="K25" s="8"/>
      <c r="L25" s="8"/>
      <c r="M25" s="8"/>
    </row>
    <row r="26" spans="1:18" x14ac:dyDescent="0.25">
      <c r="A26" s="207" t="s">
        <v>268</v>
      </c>
      <c r="B26" s="75"/>
      <c r="C26" s="123"/>
      <c r="D26" s="123"/>
      <c r="E26" s="152">
        <f>BLE_TXB_C</f>
        <v>0.17607500000000001</v>
      </c>
      <c r="F26" s="74" t="s">
        <v>237</v>
      </c>
      <c r="G26" s="6"/>
      <c r="H26" s="215"/>
      <c r="I26" s="6"/>
      <c r="J26" s="8"/>
      <c r="K26" s="8"/>
      <c r="L26" s="8"/>
      <c r="M26" s="8"/>
    </row>
    <row r="27" spans="1:18" x14ac:dyDescent="0.25">
      <c r="A27" s="201" t="s">
        <v>81</v>
      </c>
      <c r="B27" s="75" t="s">
        <v>208</v>
      </c>
      <c r="C27" s="152">
        <v>7700</v>
      </c>
      <c r="D27" s="6"/>
      <c r="E27" s="6"/>
      <c r="F27" s="6"/>
      <c r="G27" s="6"/>
      <c r="H27" s="215"/>
      <c r="I27" s="6"/>
      <c r="J27" s="8"/>
      <c r="K27" s="8"/>
      <c r="L27" s="8"/>
      <c r="M27" s="8"/>
    </row>
    <row r="28" spans="1:18" x14ac:dyDescent="0.25">
      <c r="A28" s="201" t="s">
        <v>160</v>
      </c>
      <c r="B28" s="75" t="s">
        <v>163</v>
      </c>
      <c r="C28" s="105"/>
      <c r="D28" s="6"/>
      <c r="E28" s="106">
        <f>CEILING(BLE_ADV,1)</f>
        <v>13</v>
      </c>
      <c r="F28" s="15" t="s">
        <v>191</v>
      </c>
      <c r="G28" s="8"/>
      <c r="H28" s="215"/>
      <c r="I28" s="6"/>
      <c r="J28" s="6"/>
      <c r="K28" s="8"/>
      <c r="L28" s="8"/>
      <c r="M28" s="8"/>
    </row>
    <row r="29" spans="1:18" x14ac:dyDescent="0.25">
      <c r="A29" s="208" t="s">
        <v>82</v>
      </c>
      <c r="B29" s="41" t="s">
        <v>52</v>
      </c>
      <c r="C29" s="187">
        <v>1.7</v>
      </c>
      <c r="D29" s="3"/>
      <c r="E29" s="3"/>
      <c r="F29" s="45" t="s">
        <v>192</v>
      </c>
      <c r="G29" s="3"/>
      <c r="H29" s="212"/>
      <c r="I29" s="6"/>
      <c r="J29" s="8"/>
      <c r="K29" s="8"/>
      <c r="L29" s="8"/>
      <c r="M29" s="8"/>
    </row>
    <row r="30" spans="1:18" x14ac:dyDescent="0.25">
      <c r="I30" s="6"/>
      <c r="J30" s="8"/>
      <c r="K30" s="8"/>
      <c r="L30" s="8"/>
      <c r="M30" s="8"/>
    </row>
    <row r="31" spans="1:18" ht="15.75" x14ac:dyDescent="0.25">
      <c r="A31" s="219" t="s">
        <v>65</v>
      </c>
      <c r="B31" s="232"/>
      <c r="C31" s="172"/>
      <c r="D31" s="172"/>
      <c r="E31" s="231"/>
      <c r="F31" s="6"/>
      <c r="G31" s="6"/>
      <c r="H31" s="6"/>
      <c r="I31" s="6"/>
      <c r="J31" s="8"/>
      <c r="K31" s="8"/>
      <c r="L31" s="8"/>
      <c r="M31" s="8"/>
      <c r="N31" s="8"/>
      <c r="O31" s="8"/>
      <c r="P31" s="8"/>
    </row>
    <row r="32" spans="1:18" x14ac:dyDescent="0.25">
      <c r="A32" s="209" t="s">
        <v>72</v>
      </c>
      <c r="B32" s="195" t="s">
        <v>235</v>
      </c>
      <c r="C32" s="197">
        <v>70000</v>
      </c>
      <c r="D32" s="196"/>
      <c r="E32" s="210"/>
    </row>
    <row r="33" spans="1:16" x14ac:dyDescent="0.25">
      <c r="A33" s="211" t="s">
        <v>73</v>
      </c>
      <c r="B33" s="2" t="s">
        <v>236</v>
      </c>
      <c r="C33" s="187">
        <v>5000</v>
      </c>
      <c r="D33" s="3" t="s">
        <v>74</v>
      </c>
      <c r="E33" s="212"/>
    </row>
    <row r="35" spans="1:16" ht="15.75" x14ac:dyDescent="0.25">
      <c r="A35" s="219" t="s">
        <v>55</v>
      </c>
      <c r="B35" s="232"/>
      <c r="C35" s="172" t="s">
        <v>69</v>
      </c>
      <c r="D35" s="172"/>
      <c r="E35" s="172"/>
      <c r="F35" s="172"/>
      <c r="G35" s="231"/>
      <c r="H35" s="6"/>
      <c r="I35" s="6"/>
      <c r="J35" s="8"/>
      <c r="K35" s="8"/>
      <c r="L35" s="8"/>
      <c r="M35" s="8"/>
      <c r="N35" s="8"/>
      <c r="O35" s="8"/>
      <c r="P35" s="8"/>
    </row>
    <row r="36" spans="1:16" x14ac:dyDescent="0.25">
      <c r="A36" s="213" t="s">
        <v>47</v>
      </c>
      <c r="B36" s="195" t="s">
        <v>54</v>
      </c>
      <c r="C36" s="196">
        <v>2.8</v>
      </c>
      <c r="D36" s="196"/>
      <c r="E36" s="196"/>
      <c r="F36" s="196"/>
      <c r="G36" s="210"/>
    </row>
    <row r="37" spans="1:16" x14ac:dyDescent="0.25">
      <c r="A37" s="214" t="s">
        <v>56</v>
      </c>
      <c r="B37" s="8" t="s">
        <v>265</v>
      </c>
      <c r="C37" s="6">
        <v>4</v>
      </c>
      <c r="D37" s="6"/>
      <c r="E37" s="6"/>
      <c r="F37" s="6"/>
      <c r="G37" s="215"/>
    </row>
    <row r="38" spans="1:16" x14ac:dyDescent="0.25">
      <c r="A38" s="214" t="s">
        <v>58</v>
      </c>
      <c r="B38" s="8" t="s">
        <v>57</v>
      </c>
      <c r="C38" s="6">
        <v>0.5</v>
      </c>
      <c r="D38" s="6"/>
      <c r="E38" s="6"/>
      <c r="F38" s="6"/>
      <c r="G38" s="215"/>
    </row>
    <row r="39" spans="1:16" x14ac:dyDescent="0.25">
      <c r="A39" s="214" t="s">
        <v>60</v>
      </c>
      <c r="B39" s="8" t="s">
        <v>59</v>
      </c>
      <c r="C39" s="6">
        <v>3</v>
      </c>
      <c r="D39" s="6"/>
      <c r="E39" s="6"/>
      <c r="F39" s="6"/>
      <c r="G39" s="215"/>
    </row>
    <row r="40" spans="1:16" x14ac:dyDescent="0.25">
      <c r="A40" s="214" t="s">
        <v>62</v>
      </c>
      <c r="B40" s="8" t="s">
        <v>61</v>
      </c>
      <c r="C40" s="6">
        <v>4</v>
      </c>
      <c r="D40" s="6"/>
      <c r="E40" s="6"/>
      <c r="F40" s="6"/>
      <c r="G40" s="215"/>
    </row>
    <row r="41" spans="1:16" x14ac:dyDescent="0.25">
      <c r="A41" s="214" t="s">
        <v>64</v>
      </c>
      <c r="B41" s="8" t="s">
        <v>63</v>
      </c>
      <c r="C41" s="6">
        <v>6</v>
      </c>
      <c r="D41" s="6"/>
      <c r="E41" s="6"/>
      <c r="F41" s="6"/>
      <c r="G41" s="215"/>
    </row>
    <row r="42" spans="1:16" x14ac:dyDescent="0.25">
      <c r="A42" s="214" t="s">
        <v>51</v>
      </c>
      <c r="B42" s="28" t="s">
        <v>50</v>
      </c>
      <c r="C42" s="6">
        <f>C29</f>
        <v>1.7</v>
      </c>
      <c r="D42" s="74" t="s">
        <v>70</v>
      </c>
      <c r="E42" s="6"/>
      <c r="F42" s="6" t="s">
        <v>71</v>
      </c>
      <c r="G42" s="215"/>
    </row>
    <row r="43" spans="1:16" x14ac:dyDescent="0.25">
      <c r="A43" s="208" t="s">
        <v>246</v>
      </c>
      <c r="B43" s="191" t="s">
        <v>103</v>
      </c>
      <c r="C43" s="187">
        <f>SUM(C36:C42)</f>
        <v>22</v>
      </c>
      <c r="D43" s="192">
        <f>C43/10^6*24*60*60</f>
        <v>1.9008</v>
      </c>
      <c r="E43" s="3"/>
      <c r="F43" s="193">
        <f>D43/CHG_BUDGET</f>
        <v>1.4594594594594595E-2</v>
      </c>
      <c r="G43" s="212"/>
    </row>
  </sheetData>
  <pageMargins left="0.7" right="0.7" top="0.75" bottom="0.75" header="0.3" footer="0.3"/>
  <pageSetup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W24"/>
  <sheetViews>
    <sheetView workbookViewId="0">
      <selection activeCell="B28" sqref="B28"/>
    </sheetView>
  </sheetViews>
  <sheetFormatPr defaultRowHeight="15" x14ac:dyDescent="0.25"/>
  <cols>
    <col min="1" max="1" width="13.28515625" customWidth="1"/>
    <col min="7" max="7" width="10.42578125" customWidth="1"/>
    <col min="9" max="9" width="10.85546875" customWidth="1"/>
    <col min="11" max="11" width="19.140625" customWidth="1"/>
    <col min="12" max="12" width="15" customWidth="1"/>
  </cols>
  <sheetData>
    <row r="1" spans="1:23" ht="18.75" x14ac:dyDescent="0.3">
      <c r="A1" s="47" t="s">
        <v>271</v>
      </c>
      <c r="J1" s="40"/>
    </row>
    <row r="2" spans="1:23" ht="15.75" thickBot="1" x14ac:dyDescent="0.3">
      <c r="A2" t="s">
        <v>272</v>
      </c>
      <c r="C2" s="80" t="s">
        <v>154</v>
      </c>
      <c r="J2" s="40"/>
    </row>
    <row r="3" spans="1:23" x14ac:dyDescent="0.25">
      <c r="A3" s="57"/>
      <c r="B3" s="58"/>
      <c r="C3" s="58"/>
      <c r="D3" s="58"/>
      <c r="E3" s="58"/>
      <c r="F3" s="58"/>
      <c r="G3" s="260" t="s">
        <v>104</v>
      </c>
      <c r="H3" s="260"/>
      <c r="I3" s="260"/>
      <c r="J3" s="132" t="s">
        <v>249</v>
      </c>
      <c r="K3" s="131"/>
      <c r="L3" s="130" t="s">
        <v>66</v>
      </c>
    </row>
    <row r="4" spans="1:23" x14ac:dyDescent="0.25">
      <c r="A4" s="81" t="s">
        <v>99</v>
      </c>
      <c r="B4" s="46" t="s">
        <v>89</v>
      </c>
      <c r="C4" s="42"/>
      <c r="D4" s="43" t="s">
        <v>90</v>
      </c>
      <c r="E4" s="45"/>
      <c r="F4" s="2"/>
      <c r="G4" s="78" t="s">
        <v>107</v>
      </c>
      <c r="H4" s="261" t="s">
        <v>111</v>
      </c>
      <c r="I4" s="261"/>
      <c r="J4" s="133" t="s">
        <v>203</v>
      </c>
      <c r="K4" s="134"/>
      <c r="L4" s="135" t="s">
        <v>248</v>
      </c>
      <c r="M4" s="8"/>
    </row>
    <row r="5" spans="1:23" x14ac:dyDescent="0.25">
      <c r="A5" s="83" t="s">
        <v>45</v>
      </c>
      <c r="B5" s="74">
        <f>AP_RUNFAST</f>
        <v>12428</v>
      </c>
      <c r="C5" s="75"/>
      <c r="D5" s="76" t="s">
        <v>91</v>
      </c>
      <c r="E5" s="75">
        <f>AP_FastMIPS</f>
        <v>32</v>
      </c>
      <c r="F5" s="8" t="s">
        <v>88</v>
      </c>
      <c r="G5" s="77">
        <f>AP_RUNFAST</f>
        <v>12428</v>
      </c>
      <c r="H5" s="84">
        <f>AP_RUNFAST*μA/AP_FastMIPS/micro</f>
        <v>388.375</v>
      </c>
      <c r="I5" s="15" t="s">
        <v>105</v>
      </c>
      <c r="J5" s="136">
        <f>AP_RUNFAST*micro*SecondsPerDay/CHG_BUDGET</f>
        <v>8.2446191646191629</v>
      </c>
      <c r="K5" s="109">
        <f>CHG_BUDGET/micro/H5</f>
        <v>335345.99291921471</v>
      </c>
      <c r="L5" s="82" t="s">
        <v>127</v>
      </c>
    </row>
    <row r="6" spans="1:23" x14ac:dyDescent="0.25">
      <c r="A6" s="83" t="s">
        <v>46</v>
      </c>
      <c r="B6" s="74">
        <f>AP_RUNEFF</f>
        <v>1116.8</v>
      </c>
      <c r="C6" s="75"/>
      <c r="D6" s="76" t="s">
        <v>92</v>
      </c>
      <c r="E6" s="75">
        <f>AP_EFFMIPS</f>
        <v>4.2</v>
      </c>
      <c r="F6" s="8" t="s">
        <v>88</v>
      </c>
      <c r="G6" s="77">
        <f>AP_RUNEFF</f>
        <v>1116.8</v>
      </c>
      <c r="H6" s="84">
        <f>AP_RUNEFF*μA/AP_EFFMIPS/micro</f>
        <v>265.90476190476187</v>
      </c>
      <c r="I6" s="15" t="s">
        <v>105</v>
      </c>
      <c r="J6" s="137">
        <f>AP_RUNEFF*micro*SecondsPerDay/CHG_BUDGET</f>
        <v>0.74087469287469265</v>
      </c>
      <c r="K6" s="109">
        <f>CHG_BUDGET/micro/H6</f>
        <v>489799.42693409754</v>
      </c>
      <c r="L6" s="82" t="s">
        <v>127</v>
      </c>
    </row>
    <row r="7" spans="1:23" x14ac:dyDescent="0.25">
      <c r="A7" s="83" t="s">
        <v>47</v>
      </c>
      <c r="B7" s="74">
        <f>AP_STOP</f>
        <v>2.8</v>
      </c>
      <c r="C7" s="75"/>
      <c r="D7" s="76"/>
      <c r="E7" s="75"/>
      <c r="F7" s="8"/>
      <c r="G7" s="77">
        <f>AP_STOP</f>
        <v>2.8</v>
      </c>
      <c r="H7" s="15"/>
      <c r="I7" s="15"/>
      <c r="J7" s="138">
        <f>AP_STOP*micro*SecondsPerDay/CHG_BUDGET</f>
        <v>1.8574938574938574E-3</v>
      </c>
      <c r="K7" s="109">
        <f>CHG_BUDGET/micro/G7/SecondsPerDay</f>
        <v>538.35978835978847</v>
      </c>
      <c r="L7" s="82" t="s">
        <v>194</v>
      </c>
    </row>
    <row r="8" spans="1:23" x14ac:dyDescent="0.25">
      <c r="A8" s="85" t="s">
        <v>93</v>
      </c>
      <c r="B8" s="45">
        <f>AP_FlashWR</f>
        <v>300</v>
      </c>
      <c r="C8" s="41"/>
      <c r="D8" s="43" t="s">
        <v>94</v>
      </c>
      <c r="E8" s="113">
        <f>AP_tFlashWR</f>
        <v>6.5599999999999999E-3</v>
      </c>
      <c r="F8" s="2" t="s">
        <v>84</v>
      </c>
      <c r="G8" s="54">
        <f>AP_FlashWR</f>
        <v>300</v>
      </c>
      <c r="H8" s="55">
        <f>(AP_FlashWR)*μA*AP_tFlashWR/micro</f>
        <v>1.9679999999999997</v>
      </c>
      <c r="I8" s="53" t="s">
        <v>106</v>
      </c>
      <c r="J8" s="137">
        <f>AP_FlashWR*micro*SecondsPerDay/CHG_BUDGET</f>
        <v>0.199017199017199</v>
      </c>
      <c r="K8" s="109">
        <f>CHG_BUDGET/micro/H8*256/Million</f>
        <v>16941.788617886185</v>
      </c>
      <c r="L8" s="82" t="s">
        <v>198</v>
      </c>
    </row>
    <row r="9" spans="1:23" x14ac:dyDescent="0.25">
      <c r="A9" s="83" t="s">
        <v>76</v>
      </c>
      <c r="B9" s="74">
        <f>MP_RUN</f>
        <v>700</v>
      </c>
      <c r="C9" s="75"/>
      <c r="D9" s="76" t="s">
        <v>95</v>
      </c>
      <c r="E9" s="75">
        <f>MP_MIPS</f>
        <v>10</v>
      </c>
      <c r="F9" s="8" t="s">
        <v>88</v>
      </c>
      <c r="G9" s="77">
        <f>MP_RUN</f>
        <v>700</v>
      </c>
      <c r="H9" s="84">
        <f>MP_RUN*μA/MP_MIPS/micro</f>
        <v>70</v>
      </c>
      <c r="I9" s="15" t="s">
        <v>105</v>
      </c>
      <c r="J9" s="137">
        <f>MP_RUN*micro*SecondsPerDay/CHG_BUDGET</f>
        <v>0.46437346437346433</v>
      </c>
      <c r="K9" s="109">
        <f>CHG_BUDGET/micro/H9</f>
        <v>1860571.4285714289</v>
      </c>
      <c r="L9" s="82" t="s">
        <v>127</v>
      </c>
    </row>
    <row r="10" spans="1:23" x14ac:dyDescent="0.25">
      <c r="A10" s="85" t="s">
        <v>75</v>
      </c>
      <c r="B10" s="45">
        <f>MP_SLEEP</f>
        <v>4</v>
      </c>
      <c r="C10" s="41"/>
      <c r="D10" s="43"/>
      <c r="E10" s="41"/>
      <c r="F10" s="2"/>
      <c r="G10" s="54">
        <f>MP_SLEEP</f>
        <v>4</v>
      </c>
      <c r="H10" s="53"/>
      <c r="I10" s="53"/>
      <c r="J10" s="137">
        <f>MP_SLEEP*micro*SecondsPerDay/CHG_BUDGET</f>
        <v>2.6535626535626532E-3</v>
      </c>
      <c r="K10" s="109">
        <f>CHG_BUDGET/micro/G10/SecondsPerDay</f>
        <v>376.8518518518519</v>
      </c>
      <c r="L10" s="82" t="s">
        <v>194</v>
      </c>
    </row>
    <row r="11" spans="1:23" x14ac:dyDescent="0.25">
      <c r="A11" s="83" t="s">
        <v>145</v>
      </c>
      <c r="B11" s="74">
        <f>SEN_GYRO</f>
        <v>6100</v>
      </c>
      <c r="C11" s="8"/>
      <c r="D11" s="90"/>
      <c r="E11" s="75"/>
      <c r="F11" s="6"/>
      <c r="G11" s="77">
        <f>SEN_GYRO</f>
        <v>6100</v>
      </c>
      <c r="H11" s="77"/>
      <c r="I11" s="77"/>
      <c r="J11" s="139">
        <f>SEN_GYRO*micro*SecondsPerDay/CHG_BUDGET</f>
        <v>4.0466830466830457</v>
      </c>
      <c r="K11" s="109">
        <f>CHG_BUDGET/micro/G11/60/60</f>
        <v>5.9307832422586531</v>
      </c>
      <c r="L11" s="82" t="s">
        <v>195</v>
      </c>
      <c r="V11" s="1"/>
      <c r="W11" s="1"/>
    </row>
    <row r="12" spans="1:23" x14ac:dyDescent="0.25">
      <c r="A12" s="83" t="s">
        <v>148</v>
      </c>
      <c r="B12" s="74">
        <f>SEN_MACC</f>
        <v>350</v>
      </c>
      <c r="C12" s="8"/>
      <c r="D12" s="90" t="s">
        <v>150</v>
      </c>
      <c r="E12" s="75"/>
      <c r="F12" s="6"/>
      <c r="G12" s="77">
        <f>SEN_MACC</f>
        <v>350</v>
      </c>
      <c r="H12" s="77"/>
      <c r="I12" s="77"/>
      <c r="J12" s="139">
        <f>SEN_MACC*micro*SecondsPerDay/CHG_BUDGET</f>
        <v>0.23218673218673216</v>
      </c>
      <c r="K12" s="109">
        <f>CHG_BUDGET/micro/G12/60/60</f>
        <v>103.36507936507937</v>
      </c>
      <c r="L12" s="82" t="s">
        <v>195</v>
      </c>
      <c r="V12" s="1"/>
      <c r="W12" s="1"/>
    </row>
    <row r="13" spans="1:23" x14ac:dyDescent="0.25">
      <c r="A13" s="83" t="s">
        <v>120</v>
      </c>
      <c r="B13" s="74">
        <f>SEN_ACC</f>
        <v>11</v>
      </c>
      <c r="C13" s="8"/>
      <c r="D13" s="90" t="s">
        <v>153</v>
      </c>
      <c r="E13" s="75"/>
      <c r="F13" s="6"/>
      <c r="G13" s="77">
        <f>SEN_ACC</f>
        <v>11</v>
      </c>
      <c r="H13" s="77"/>
      <c r="I13" s="77"/>
      <c r="J13" s="138">
        <f>SEN_ACC*micro*SecondsPerDay/CHG_BUDGET</f>
        <v>7.2972972972972974E-3</v>
      </c>
      <c r="K13" s="109">
        <f>CHG_BUDGET/micro/G13/SecondsPerDay</f>
        <v>137.03703703703707</v>
      </c>
      <c r="L13" s="82" t="s">
        <v>194</v>
      </c>
    </row>
    <row r="14" spans="1:23" x14ac:dyDescent="0.25">
      <c r="A14" s="85" t="s">
        <v>142</v>
      </c>
      <c r="B14" s="45">
        <f>SEN_PD</f>
        <v>6</v>
      </c>
      <c r="C14" s="2"/>
      <c r="D14" s="91"/>
      <c r="E14" s="41"/>
      <c r="F14" s="3"/>
      <c r="G14" s="54">
        <f>SEN_PD</f>
        <v>6</v>
      </c>
      <c r="H14" s="54"/>
      <c r="I14" s="54"/>
      <c r="J14" s="138">
        <f>SEN_PD*micro*SecondsPerDay/CHG_BUDGET</f>
        <v>3.9803439803439795E-3</v>
      </c>
      <c r="K14" s="109">
        <f>CHG_BUDGET/micro/G14/SecondsPerDay</f>
        <v>251.23456790123458</v>
      </c>
      <c r="L14" s="82" t="s">
        <v>194</v>
      </c>
    </row>
    <row r="15" spans="1:23" x14ac:dyDescent="0.25">
      <c r="A15" s="83" t="s">
        <v>77</v>
      </c>
      <c r="B15" s="74">
        <f>EXEE_WR</f>
        <v>2000</v>
      </c>
      <c r="C15" s="75"/>
      <c r="D15" s="76" t="s">
        <v>96</v>
      </c>
      <c r="E15" s="75">
        <f>EXEE_tWR</f>
        <v>5.0000000000000001E-3</v>
      </c>
      <c r="F15" s="8" t="s">
        <v>84</v>
      </c>
      <c r="G15" s="77">
        <f>EXEE_WR</f>
        <v>2000</v>
      </c>
      <c r="H15" s="84">
        <f>(EXEE_WR+MP_RUN)*μA*EXEE_tWR/micro</f>
        <v>13.5</v>
      </c>
      <c r="I15" s="15" t="s">
        <v>106</v>
      </c>
      <c r="J15" s="137">
        <f>EXEE_WR*micro*SecondsPerDay/CHG_BUDGET</f>
        <v>1.3267813267813269</v>
      </c>
      <c r="K15" s="109">
        <f>CHG_BUDGET/micro/H15*256/Million</f>
        <v>2469.7362962962966</v>
      </c>
      <c r="L15" s="82" t="s">
        <v>198</v>
      </c>
    </row>
    <row r="16" spans="1:23" x14ac:dyDescent="0.25">
      <c r="A16" s="85" t="s">
        <v>78</v>
      </c>
      <c r="B16" s="45">
        <f>EXEE_RD</f>
        <v>1000</v>
      </c>
      <c r="C16" s="41"/>
      <c r="D16" s="43"/>
      <c r="E16" s="41"/>
      <c r="F16" s="2"/>
      <c r="G16" s="54">
        <f>EXEE_RD</f>
        <v>1000</v>
      </c>
      <c r="H16" s="110">
        <f>(EXEE_RD+MP_RUN)*μA*(1/400000)/micro</f>
        <v>4.2500000000000003E-3</v>
      </c>
      <c r="I16" s="53" t="s">
        <v>106</v>
      </c>
      <c r="J16" s="137">
        <f>EXEE_RD*micro*SecondsPerDay/CHG_BUDGET</f>
        <v>0.66339066339066344</v>
      </c>
      <c r="K16" s="109">
        <f>CHG_BUDGET/micro/H16*256/Million</f>
        <v>7845044.7058823537</v>
      </c>
      <c r="L16" s="82" t="s">
        <v>199</v>
      </c>
    </row>
    <row r="17" spans="1:12" x14ac:dyDescent="0.25">
      <c r="A17" s="83" t="s">
        <v>80</v>
      </c>
      <c r="B17" s="74">
        <f>BLE_TX</f>
        <v>6100</v>
      </c>
      <c r="C17" s="75"/>
      <c r="D17" s="76" t="s">
        <v>97</v>
      </c>
      <c r="E17" s="75">
        <v>4000</v>
      </c>
      <c r="F17" s="8" t="s">
        <v>98</v>
      </c>
      <c r="G17" s="77">
        <f>BLE_TXCperB*E17</f>
        <v>704.30000000000007</v>
      </c>
      <c r="H17" s="86">
        <f>BLE_TXCperB</f>
        <v>0.17607500000000001</v>
      </c>
      <c r="I17" s="15" t="s">
        <v>109</v>
      </c>
      <c r="J17" s="137">
        <f>(BLE_TXCperB*SecondsPerDay*4000)/(CHG_BUDGET/micro)</f>
        <v>0.46722604422604425</v>
      </c>
      <c r="K17" s="108">
        <f>CHG_BUDGET/micro/H17/Million</f>
        <v>739.68479341189834</v>
      </c>
      <c r="L17" s="82" t="s">
        <v>200</v>
      </c>
    </row>
    <row r="18" spans="1:12" x14ac:dyDescent="0.25">
      <c r="A18" s="83" t="s">
        <v>81</v>
      </c>
      <c r="B18" s="74">
        <f>BLE_RX</f>
        <v>7700</v>
      </c>
      <c r="C18" s="75"/>
      <c r="D18" s="87"/>
      <c r="E18" s="74"/>
      <c r="F18" s="8"/>
      <c r="G18" s="77">
        <f>BLE_RX</f>
        <v>7700</v>
      </c>
      <c r="H18" s="86"/>
      <c r="I18" s="15" t="s">
        <v>109</v>
      </c>
      <c r="J18" s="137"/>
      <c r="K18" s="108"/>
      <c r="L18" s="82" t="s">
        <v>196</v>
      </c>
    </row>
    <row r="19" spans="1:12" x14ac:dyDescent="0.25">
      <c r="A19" s="83" t="s">
        <v>160</v>
      </c>
      <c r="B19" s="74"/>
      <c r="C19" s="105"/>
      <c r="D19" s="87"/>
      <c r="E19" s="74"/>
      <c r="F19" s="8"/>
      <c r="G19" s="77"/>
      <c r="H19" s="86">
        <f>CEILING(BLE_ADV,1)</f>
        <v>13</v>
      </c>
      <c r="I19" s="15" t="s">
        <v>202</v>
      </c>
      <c r="J19" s="137"/>
      <c r="K19" s="108">
        <f>CHG_BUDGET/micro/H19/Million</f>
        <v>10.018461538461541</v>
      </c>
      <c r="L19" s="82" t="s">
        <v>250</v>
      </c>
    </row>
    <row r="20" spans="1:12" x14ac:dyDescent="0.25">
      <c r="A20" s="85" t="s">
        <v>82</v>
      </c>
      <c r="B20" s="45">
        <f>BLE_Sleep</f>
        <v>1.7</v>
      </c>
      <c r="C20" s="41"/>
      <c r="D20" s="44"/>
      <c r="E20" s="45"/>
      <c r="F20" s="2"/>
      <c r="G20" s="54">
        <f>BLE_Sleep</f>
        <v>1.7</v>
      </c>
      <c r="H20" s="52"/>
      <c r="I20" s="53"/>
      <c r="J20" s="138">
        <f>BLE_Sleep*micro*SecondsPerDay/CHG_BUDGET</f>
        <v>1.1277641277641275E-3</v>
      </c>
      <c r="K20" s="109">
        <f>CHG_BUDGET/micro/G20/SecondsPerDay</f>
        <v>886.71023965141637</v>
      </c>
      <c r="L20" s="82" t="s">
        <v>194</v>
      </c>
    </row>
    <row r="21" spans="1:12" x14ac:dyDescent="0.25">
      <c r="A21" s="83" t="s">
        <v>72</v>
      </c>
      <c r="B21" s="74">
        <f>MOTOR</f>
        <v>70000</v>
      </c>
      <c r="C21" s="75"/>
      <c r="D21" s="87"/>
      <c r="E21" s="74"/>
      <c r="F21" s="8"/>
      <c r="G21" s="77">
        <f>MOTOR</f>
        <v>70000</v>
      </c>
      <c r="H21" s="86"/>
      <c r="I21" s="15"/>
      <c r="J21" s="137">
        <f>MOTOR*micro*SecondsPerDay/CHG_BUDGET</f>
        <v>46.437346437346427</v>
      </c>
      <c r="K21" s="109">
        <f>CHG_BUDGET/micro/G21/60</f>
        <v>31.009523809523817</v>
      </c>
      <c r="L21" s="82" t="s">
        <v>197</v>
      </c>
    </row>
    <row r="22" spans="1:12" x14ac:dyDescent="0.25">
      <c r="A22" s="83" t="s">
        <v>73</v>
      </c>
      <c r="B22" s="74">
        <f>LED</f>
        <v>5000</v>
      </c>
      <c r="C22" s="75"/>
      <c r="D22" s="87"/>
      <c r="E22" s="74"/>
      <c r="F22" s="8"/>
      <c r="G22" s="77">
        <f>LED</f>
        <v>5000</v>
      </c>
      <c r="H22" s="86"/>
      <c r="I22" s="15"/>
      <c r="J22" s="137">
        <f>LED*micro*SecondsPerDay/CHG_BUDGET</f>
        <v>3.3169533169533167</v>
      </c>
      <c r="K22" s="109">
        <f>CHG_BUDGET/micro/G22/60</f>
        <v>434.13333333333338</v>
      </c>
      <c r="L22" s="82" t="s">
        <v>201</v>
      </c>
    </row>
    <row r="23" spans="1:12" x14ac:dyDescent="0.25">
      <c r="A23" s="85" t="s">
        <v>247</v>
      </c>
      <c r="B23" s="45">
        <f>SYSTEM_IQ</f>
        <v>22</v>
      </c>
      <c r="C23" s="41"/>
      <c r="D23" s="44"/>
      <c r="E23" s="45"/>
      <c r="F23" s="2"/>
      <c r="G23" s="54">
        <f>SYSTEM_IQ</f>
        <v>22</v>
      </c>
      <c r="H23" s="52"/>
      <c r="I23" s="53"/>
      <c r="J23" s="137">
        <f>SYSTEM_IQ*micro*SecondsPerDay/CHG_BUDGET</f>
        <v>1.4594594594594595E-2</v>
      </c>
      <c r="K23" s="109">
        <f>CHG_BUDGET/micro/G23/SecondsPerDay</f>
        <v>68.518518518518533</v>
      </c>
      <c r="L23" s="82" t="s">
        <v>194</v>
      </c>
    </row>
    <row r="24" spans="1:12" ht="16.5" thickBot="1" x14ac:dyDescent="0.3">
      <c r="A24" s="60"/>
      <c r="B24" s="61"/>
      <c r="C24" s="61"/>
      <c r="D24" s="262" t="s">
        <v>108</v>
      </c>
      <c r="E24" s="262"/>
      <c r="F24" s="262"/>
      <c r="G24" s="112">
        <f>CHG_BUDGET/micro</f>
        <v>130240000.00000001</v>
      </c>
      <c r="H24" s="111" t="s">
        <v>110</v>
      </c>
      <c r="I24" s="88"/>
      <c r="J24" s="140"/>
      <c r="K24" s="61"/>
      <c r="L24" s="62"/>
    </row>
  </sheetData>
  <mergeCells count="3">
    <mergeCell ref="G3:I3"/>
    <mergeCell ref="H4:I4"/>
    <mergeCell ref="D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W47"/>
  <sheetViews>
    <sheetView zoomScaleNormal="100" workbookViewId="0">
      <selection activeCell="A8" sqref="A8"/>
    </sheetView>
  </sheetViews>
  <sheetFormatPr defaultRowHeight="15" x14ac:dyDescent="0.25"/>
  <cols>
    <col min="1" max="1" width="20.5703125" customWidth="1"/>
    <col min="3" max="3" width="4.140625" customWidth="1"/>
    <col min="4" max="4" width="12.42578125" bestFit="1" customWidth="1"/>
    <col min="5" max="5" width="11.7109375" customWidth="1"/>
    <col min="7" max="7" width="12.5703125" bestFit="1" customWidth="1"/>
    <col min="8" max="8" width="15.42578125" customWidth="1"/>
    <col min="9" max="9" width="11.42578125" customWidth="1"/>
    <col min="10" max="10" width="18.28515625" customWidth="1"/>
    <col min="11" max="11" width="18" customWidth="1"/>
    <col min="12" max="12" width="14" customWidth="1"/>
    <col min="13" max="13" width="15.140625" bestFit="1" customWidth="1"/>
  </cols>
  <sheetData>
    <row r="1" spans="1:23" ht="18.75" x14ac:dyDescent="0.3">
      <c r="A1" s="47" t="s">
        <v>271</v>
      </c>
      <c r="J1" s="40"/>
    </row>
    <row r="2" spans="1:23" ht="15.75" thickBot="1" x14ac:dyDescent="0.3">
      <c r="A2" t="s">
        <v>272</v>
      </c>
      <c r="C2" s="80" t="s">
        <v>154</v>
      </c>
      <c r="J2" s="234"/>
      <c r="K2" s="8"/>
      <c r="L2" s="8"/>
    </row>
    <row r="3" spans="1:23" x14ac:dyDescent="0.25">
      <c r="A3" s="57"/>
      <c r="B3" s="58"/>
      <c r="C3" s="58"/>
      <c r="D3" s="58"/>
      <c r="E3" s="58"/>
      <c r="F3" s="58"/>
      <c r="G3" s="260" t="s">
        <v>104</v>
      </c>
      <c r="H3" s="260"/>
      <c r="I3" s="260"/>
      <c r="J3" s="239"/>
      <c r="K3" s="239"/>
      <c r="L3" s="89"/>
    </row>
    <row r="4" spans="1:23" x14ac:dyDescent="0.25">
      <c r="A4" s="81" t="s">
        <v>99</v>
      </c>
      <c r="B4" s="46" t="s">
        <v>89</v>
      </c>
      <c r="C4" s="42"/>
      <c r="D4" s="43" t="s">
        <v>90</v>
      </c>
      <c r="E4" s="45"/>
      <c r="F4" s="2"/>
      <c r="G4" s="78" t="s">
        <v>107</v>
      </c>
      <c r="H4" s="261" t="s">
        <v>111</v>
      </c>
      <c r="I4" s="261"/>
      <c r="J4" s="74"/>
      <c r="K4" s="95"/>
      <c r="L4" s="89"/>
      <c r="M4" s="8"/>
    </row>
    <row r="5" spans="1:23" x14ac:dyDescent="0.25">
      <c r="A5" s="83" t="s">
        <v>45</v>
      </c>
      <c r="B5" s="74">
        <f>AP_RUNFAST</f>
        <v>12428</v>
      </c>
      <c r="C5" s="75"/>
      <c r="D5" s="76" t="s">
        <v>91</v>
      </c>
      <c r="E5" s="75">
        <f>AP_FastMIPS</f>
        <v>32</v>
      </c>
      <c r="F5" s="8" t="s">
        <v>88</v>
      </c>
      <c r="G5" s="77">
        <f>AP_RUNFAST</f>
        <v>12428</v>
      </c>
      <c r="H5" s="84">
        <f>AP_RUNFAST*μA/AP_FastMIPS/micro</f>
        <v>388.375</v>
      </c>
      <c r="I5" s="15" t="s">
        <v>105</v>
      </c>
      <c r="J5" s="235"/>
      <c r="K5" s="109"/>
      <c r="L5" s="8"/>
    </row>
    <row r="6" spans="1:23" x14ac:dyDescent="0.25">
      <c r="A6" s="83" t="s">
        <v>46</v>
      </c>
      <c r="B6" s="74">
        <f>AP_RUNEFF</f>
        <v>1116.8</v>
      </c>
      <c r="C6" s="75"/>
      <c r="D6" s="76" t="s">
        <v>92</v>
      </c>
      <c r="E6" s="75">
        <f>AP_EFFMIPS</f>
        <v>4.2</v>
      </c>
      <c r="F6" s="8" t="s">
        <v>88</v>
      </c>
      <c r="G6" s="77">
        <f>AP_RUNEFF</f>
        <v>1116.8</v>
      </c>
      <c r="H6" s="84">
        <f>AP_RUNEFF*μA/AP_EFFMIPS/micro</f>
        <v>265.90476190476187</v>
      </c>
      <c r="I6" s="15" t="s">
        <v>105</v>
      </c>
      <c r="J6" s="235"/>
      <c r="K6" s="109"/>
      <c r="L6" s="8"/>
    </row>
    <row r="7" spans="1:23" x14ac:dyDescent="0.25">
      <c r="A7" s="83" t="s">
        <v>47</v>
      </c>
      <c r="B7" s="74">
        <f>AP_STOP</f>
        <v>2.8</v>
      </c>
      <c r="C7" s="75"/>
      <c r="D7" s="76"/>
      <c r="E7" s="75"/>
      <c r="F7" s="8"/>
      <c r="G7" s="77">
        <f>AP_STOP</f>
        <v>2.8</v>
      </c>
      <c r="H7" s="15"/>
      <c r="I7" s="15"/>
      <c r="J7" s="236"/>
      <c r="K7" s="109"/>
      <c r="L7" s="8"/>
    </row>
    <row r="8" spans="1:23" x14ac:dyDescent="0.25">
      <c r="A8" s="83"/>
      <c r="B8" s="74"/>
      <c r="C8" s="75"/>
      <c r="D8" s="76"/>
      <c r="E8" s="75"/>
      <c r="F8" s="8"/>
      <c r="G8" s="77"/>
      <c r="H8" s="15"/>
      <c r="I8" s="15"/>
      <c r="J8" s="236"/>
      <c r="K8" s="109"/>
      <c r="L8" s="8"/>
    </row>
    <row r="9" spans="1:23" x14ac:dyDescent="0.25">
      <c r="A9" s="85" t="s">
        <v>93</v>
      </c>
      <c r="B9" s="45">
        <f>AP_FlashWR</f>
        <v>300</v>
      </c>
      <c r="C9" s="41"/>
      <c r="D9" s="43" t="s">
        <v>94</v>
      </c>
      <c r="E9" s="113">
        <f>AP_tFlashWR</f>
        <v>6.5599999999999999E-3</v>
      </c>
      <c r="F9" s="2" t="s">
        <v>84</v>
      </c>
      <c r="G9" s="54">
        <f>AP_FlashWR</f>
        <v>300</v>
      </c>
      <c r="H9" s="55">
        <f>(AP_FlashWR)*μA*AP_tFlashWR/micro</f>
        <v>1.9679999999999997</v>
      </c>
      <c r="I9" s="53" t="s">
        <v>106</v>
      </c>
      <c r="J9" s="235"/>
      <c r="K9" s="109"/>
      <c r="L9" s="8"/>
    </row>
    <row r="10" spans="1:23" x14ac:dyDescent="0.25">
      <c r="A10" s="83" t="s">
        <v>76</v>
      </c>
      <c r="B10" s="74">
        <f>MP_RUN</f>
        <v>700</v>
      </c>
      <c r="C10" s="75"/>
      <c r="D10" s="76" t="s">
        <v>95</v>
      </c>
      <c r="E10" s="75">
        <f>MP_MIPS</f>
        <v>10</v>
      </c>
      <c r="F10" s="8" t="s">
        <v>88</v>
      </c>
      <c r="G10" s="77">
        <f>MP_RUN</f>
        <v>700</v>
      </c>
      <c r="H10" s="84">
        <f>MP_RUN*μA/MP_MIPS/micro</f>
        <v>70</v>
      </c>
      <c r="I10" s="15" t="s">
        <v>105</v>
      </c>
      <c r="J10" s="235"/>
      <c r="K10" s="109"/>
      <c r="L10" s="8"/>
    </row>
    <row r="11" spans="1:23" x14ac:dyDescent="0.25">
      <c r="A11" s="85" t="s">
        <v>75</v>
      </c>
      <c r="B11" s="45">
        <f>MP_SLEEP</f>
        <v>4</v>
      </c>
      <c r="C11" s="41"/>
      <c r="D11" s="43"/>
      <c r="E11" s="41"/>
      <c r="F11" s="2"/>
      <c r="G11" s="54">
        <f>MP_SLEEP</f>
        <v>4</v>
      </c>
      <c r="H11" s="53"/>
      <c r="I11" s="53"/>
      <c r="J11" s="235"/>
      <c r="K11" s="109"/>
      <c r="L11" s="8"/>
    </row>
    <row r="12" spans="1:23" x14ac:dyDescent="0.25">
      <c r="A12" s="83" t="s">
        <v>145</v>
      </c>
      <c r="B12" s="74">
        <f>SEN_GYRO</f>
        <v>6100</v>
      </c>
      <c r="C12" s="8"/>
      <c r="D12" s="90"/>
      <c r="E12" s="75"/>
      <c r="F12" s="6"/>
      <c r="G12" s="77">
        <f>SEN_GYRO</f>
        <v>6100</v>
      </c>
      <c r="H12" s="77"/>
      <c r="I12" s="77"/>
      <c r="J12" s="237"/>
      <c r="K12" s="109"/>
      <c r="L12" s="8"/>
      <c r="V12" s="1"/>
      <c r="W12" s="1"/>
    </row>
    <row r="13" spans="1:23" x14ac:dyDescent="0.25">
      <c r="A13" s="83" t="s">
        <v>148</v>
      </c>
      <c r="B13" s="74">
        <f>SEN_MACC</f>
        <v>350</v>
      </c>
      <c r="C13" s="8"/>
      <c r="D13" s="90" t="s">
        <v>150</v>
      </c>
      <c r="E13" s="75"/>
      <c r="F13" s="6"/>
      <c r="G13" s="77">
        <f>SEN_MACC</f>
        <v>350</v>
      </c>
      <c r="H13" s="77"/>
      <c r="I13" s="77"/>
      <c r="J13" s="237"/>
      <c r="K13" s="109"/>
      <c r="L13" s="8"/>
      <c r="V13" s="1"/>
      <c r="W13" s="1"/>
    </row>
    <row r="14" spans="1:23" x14ac:dyDescent="0.25">
      <c r="A14" s="83" t="s">
        <v>120</v>
      </c>
      <c r="B14" s="74">
        <f>SEN_ACC</f>
        <v>11</v>
      </c>
      <c r="C14" s="8"/>
      <c r="D14" s="90" t="s">
        <v>153</v>
      </c>
      <c r="E14" s="75"/>
      <c r="F14" s="6"/>
      <c r="G14" s="77">
        <f>SEN_ACC</f>
        <v>11</v>
      </c>
      <c r="H14" s="77"/>
      <c r="I14" s="77"/>
      <c r="J14" s="236"/>
      <c r="K14" s="109"/>
      <c r="L14" s="8"/>
    </row>
    <row r="15" spans="1:23" x14ac:dyDescent="0.25">
      <c r="A15" s="85" t="s">
        <v>142</v>
      </c>
      <c r="B15" s="45">
        <f>SEN_PD</f>
        <v>6</v>
      </c>
      <c r="C15" s="2"/>
      <c r="D15" s="91"/>
      <c r="E15" s="41"/>
      <c r="F15" s="3"/>
      <c r="G15" s="54">
        <f>SEN_PD</f>
        <v>6</v>
      </c>
      <c r="H15" s="54"/>
      <c r="I15" s="54"/>
      <c r="J15" s="236"/>
      <c r="K15" s="109"/>
      <c r="L15" s="8"/>
    </row>
    <row r="16" spans="1:23" x14ac:dyDescent="0.25">
      <c r="A16" s="83" t="s">
        <v>77</v>
      </c>
      <c r="B16" s="74">
        <f>EXEE_WR</f>
        <v>2000</v>
      </c>
      <c r="C16" s="75"/>
      <c r="D16" s="76" t="s">
        <v>96</v>
      </c>
      <c r="E16" s="75">
        <f>EXEE_tWR</f>
        <v>5.0000000000000001E-3</v>
      </c>
      <c r="F16" s="8" t="s">
        <v>84</v>
      </c>
      <c r="G16" s="77">
        <f>EXEE_WR</f>
        <v>2000</v>
      </c>
      <c r="H16" s="84">
        <f>(EXEE_WR+MP_RUN)*μA*EXEE_tWR/micro</f>
        <v>13.5</v>
      </c>
      <c r="I16" s="15" t="s">
        <v>106</v>
      </c>
      <c r="J16" s="235"/>
      <c r="K16" s="109"/>
      <c r="L16" s="8"/>
    </row>
    <row r="17" spans="1:12" x14ac:dyDescent="0.25">
      <c r="A17" s="85" t="s">
        <v>78</v>
      </c>
      <c r="B17" s="45">
        <f>EXEE_RD</f>
        <v>1000</v>
      </c>
      <c r="C17" s="41"/>
      <c r="D17" s="43"/>
      <c r="E17" s="41"/>
      <c r="F17" s="2"/>
      <c r="G17" s="54">
        <f>EXEE_RD</f>
        <v>1000</v>
      </c>
      <c r="H17" s="110">
        <f>(EXEE_RD+MP_RUN)*μA*(1/400000)/micro</f>
        <v>4.2500000000000003E-3</v>
      </c>
      <c r="I17" s="53" t="s">
        <v>106</v>
      </c>
      <c r="J17" s="235"/>
      <c r="K17" s="109"/>
      <c r="L17" s="8"/>
    </row>
    <row r="18" spans="1:12" x14ac:dyDescent="0.25">
      <c r="A18" s="83" t="s">
        <v>80</v>
      </c>
      <c r="B18" s="74">
        <f>BLE_TX</f>
        <v>6100</v>
      </c>
      <c r="C18" s="75"/>
      <c r="D18" s="76" t="s">
        <v>97</v>
      </c>
      <c r="E18" s="75">
        <v>4000</v>
      </c>
      <c r="F18" s="8" t="s">
        <v>98</v>
      </c>
      <c r="G18" s="77">
        <f>BLE_TXCperB*E18</f>
        <v>704.30000000000007</v>
      </c>
      <c r="H18" s="86">
        <f>BLE_TXCperB</f>
        <v>0.17607500000000001</v>
      </c>
      <c r="I18" s="15" t="s">
        <v>109</v>
      </c>
      <c r="J18" s="235"/>
      <c r="K18" s="108"/>
      <c r="L18" s="8"/>
    </row>
    <row r="19" spans="1:12" x14ac:dyDescent="0.25">
      <c r="A19" s="83" t="s">
        <v>81</v>
      </c>
      <c r="B19" s="74">
        <f>BLE_RX</f>
        <v>7700</v>
      </c>
      <c r="C19" s="75"/>
      <c r="D19" s="87"/>
      <c r="E19" s="74"/>
      <c r="F19" s="8"/>
      <c r="G19" s="77">
        <f>BLE_RX</f>
        <v>7700</v>
      </c>
      <c r="H19" s="86"/>
      <c r="I19" s="15" t="s">
        <v>109</v>
      </c>
      <c r="J19" s="235"/>
      <c r="K19" s="108"/>
      <c r="L19" s="8"/>
    </row>
    <row r="20" spans="1:12" x14ac:dyDescent="0.25">
      <c r="A20" s="83" t="s">
        <v>160</v>
      </c>
      <c r="B20" s="74"/>
      <c r="C20" s="105"/>
      <c r="D20" s="87"/>
      <c r="E20" s="74"/>
      <c r="F20" s="8"/>
      <c r="G20" s="77"/>
      <c r="H20" s="86">
        <f>CEILING(BLE_ADV,1)</f>
        <v>13</v>
      </c>
      <c r="I20" s="15" t="s">
        <v>202</v>
      </c>
      <c r="J20" s="235"/>
      <c r="K20" s="108"/>
      <c r="L20" s="8"/>
    </row>
    <row r="21" spans="1:12" x14ac:dyDescent="0.25">
      <c r="A21" s="85" t="s">
        <v>82</v>
      </c>
      <c r="B21" s="45">
        <f>BLE_Sleep</f>
        <v>1.7</v>
      </c>
      <c r="C21" s="41"/>
      <c r="D21" s="44"/>
      <c r="E21" s="45"/>
      <c r="F21" s="2"/>
      <c r="G21" s="54">
        <f>BLE_Sleep</f>
        <v>1.7</v>
      </c>
      <c r="H21" s="52"/>
      <c r="I21" s="53"/>
      <c r="J21" s="236"/>
      <c r="K21" s="109"/>
      <c r="L21" s="8"/>
    </row>
    <row r="22" spans="1:12" x14ac:dyDescent="0.25">
      <c r="A22" s="83" t="s">
        <v>72</v>
      </c>
      <c r="B22" s="74">
        <f>MOTOR</f>
        <v>70000</v>
      </c>
      <c r="C22" s="75"/>
      <c r="D22" s="87"/>
      <c r="E22" s="74"/>
      <c r="F22" s="8"/>
      <c r="G22" s="77">
        <f>MOTOR</f>
        <v>70000</v>
      </c>
      <c r="H22" s="86"/>
      <c r="I22" s="15"/>
      <c r="J22" s="235"/>
      <c r="K22" s="109"/>
      <c r="L22" s="8"/>
    </row>
    <row r="23" spans="1:12" x14ac:dyDescent="0.25">
      <c r="A23" s="83"/>
      <c r="B23" s="74"/>
      <c r="C23" s="75"/>
      <c r="D23" s="87"/>
      <c r="E23" s="74"/>
      <c r="F23" s="8"/>
      <c r="G23" s="77"/>
      <c r="H23" s="86"/>
      <c r="I23" s="15"/>
      <c r="J23" s="235"/>
      <c r="K23" s="109"/>
      <c r="L23" s="8"/>
    </row>
    <row r="24" spans="1:12" x14ac:dyDescent="0.25">
      <c r="A24" s="83" t="s">
        <v>73</v>
      </c>
      <c r="B24" s="74">
        <f>LED</f>
        <v>5000</v>
      </c>
      <c r="C24" s="75"/>
      <c r="D24" s="87"/>
      <c r="E24" s="74"/>
      <c r="F24" s="8"/>
      <c r="G24" s="77">
        <f>LED</f>
        <v>5000</v>
      </c>
      <c r="H24" s="86"/>
      <c r="I24" s="15"/>
      <c r="J24" s="235"/>
      <c r="K24" s="109"/>
      <c r="L24" s="8"/>
    </row>
    <row r="25" spans="1:12" x14ac:dyDescent="0.25">
      <c r="A25" s="85" t="s">
        <v>247</v>
      </c>
      <c r="B25" s="45">
        <f>SYSTEM_IQ</f>
        <v>22</v>
      </c>
      <c r="C25" s="41"/>
      <c r="D25" s="44"/>
      <c r="E25" s="45"/>
      <c r="F25" s="2"/>
      <c r="G25" s="54">
        <f>SYSTEM_IQ</f>
        <v>22</v>
      </c>
      <c r="H25" s="52"/>
      <c r="I25" s="53"/>
      <c r="J25" s="235"/>
      <c r="K25" s="109"/>
      <c r="L25" s="8"/>
    </row>
    <row r="26" spans="1:12" ht="16.5" thickBot="1" x14ac:dyDescent="0.3">
      <c r="A26" s="60"/>
      <c r="B26" s="61"/>
      <c r="C26" s="61"/>
      <c r="D26" s="262" t="s">
        <v>108</v>
      </c>
      <c r="E26" s="262"/>
      <c r="F26" s="262"/>
      <c r="G26" s="112">
        <f>CHG_BUDGET/micro</f>
        <v>130240000.00000001</v>
      </c>
      <c r="H26" s="111" t="s">
        <v>110</v>
      </c>
      <c r="I26" s="88"/>
      <c r="J26" s="238"/>
      <c r="K26" s="8"/>
      <c r="L26" s="8"/>
    </row>
    <row r="27" spans="1:12" x14ac:dyDescent="0.25">
      <c r="J27" s="8"/>
      <c r="K27" s="8"/>
      <c r="L27" s="8"/>
    </row>
    <row r="28" spans="1:12" ht="19.5" thickBot="1" x14ac:dyDescent="0.35">
      <c r="A28" s="47"/>
    </row>
    <row r="29" spans="1:12" x14ac:dyDescent="0.25">
      <c r="A29" s="69" t="s">
        <v>270</v>
      </c>
      <c r="B29" s="71" t="s">
        <v>115</v>
      </c>
      <c r="C29" s="58"/>
      <c r="D29" s="59"/>
    </row>
    <row r="30" spans="1:12" ht="29.25" customHeight="1" thickBot="1" x14ac:dyDescent="0.3">
      <c r="A30" s="70" t="s">
        <v>116</v>
      </c>
      <c r="B30" s="72">
        <f>5*24</f>
        <v>120</v>
      </c>
      <c r="C30" s="73" t="s">
        <v>117</v>
      </c>
      <c r="D30" s="62"/>
      <c r="E30" s="67" t="s">
        <v>119</v>
      </c>
      <c r="F30" s="243" t="s">
        <v>275</v>
      </c>
      <c r="G30" s="243" t="s">
        <v>276</v>
      </c>
      <c r="H30" s="20" t="s">
        <v>134</v>
      </c>
      <c r="I30" s="18" t="s">
        <v>155</v>
      </c>
      <c r="J30" s="68" t="s">
        <v>274</v>
      </c>
      <c r="K30" s="63"/>
    </row>
    <row r="31" spans="1:12" x14ac:dyDescent="0.25">
      <c r="A31" s="263" t="s">
        <v>136</v>
      </c>
      <c r="B31" s="263"/>
      <c r="C31" s="263"/>
      <c r="D31" s="264"/>
      <c r="E31" s="64"/>
      <c r="G31" s="1"/>
      <c r="J31" s="242"/>
      <c r="K31" s="79" t="s">
        <v>121</v>
      </c>
    </row>
    <row r="32" spans="1:12" x14ac:dyDescent="0.25">
      <c r="A32" t="s">
        <v>122</v>
      </c>
      <c r="E32" s="63" t="s">
        <v>80</v>
      </c>
      <c r="F32" s="1">
        <v>10000</v>
      </c>
      <c r="G32" s="1" t="s">
        <v>125</v>
      </c>
      <c r="H32" s="1">
        <f>BLE_TXCperB*H18</f>
        <v>3.1002405625000003E-2</v>
      </c>
      <c r="I32">
        <v>1</v>
      </c>
      <c r="J32" s="27">
        <f t="shared" ref="J32:J37" si="0">I32*H32*micro</f>
        <v>3.1002405625000004E-8</v>
      </c>
      <c r="K32" s="63" t="s">
        <v>129</v>
      </c>
    </row>
    <row r="33" spans="1:11" x14ac:dyDescent="0.25">
      <c r="A33" t="s">
        <v>112</v>
      </c>
      <c r="E33" s="63" t="s">
        <v>120</v>
      </c>
      <c r="F33" s="1">
        <v>120</v>
      </c>
      <c r="G33" s="1" t="s">
        <v>133</v>
      </c>
      <c r="H33" s="1">
        <f>SEN_ACC*SecPerHour*F33</f>
        <v>4752000</v>
      </c>
      <c r="I33">
        <v>1</v>
      </c>
      <c r="J33" s="27">
        <f t="shared" si="0"/>
        <v>4.7519999999999998</v>
      </c>
      <c r="K33" s="63"/>
    </row>
    <row r="34" spans="1:11" x14ac:dyDescent="0.25">
      <c r="A34" t="s">
        <v>118</v>
      </c>
      <c r="E34" s="63" t="s">
        <v>76</v>
      </c>
      <c r="F34" s="1">
        <v>0.1</v>
      </c>
      <c r="G34" s="1" t="s">
        <v>127</v>
      </c>
      <c r="H34" s="1">
        <f>F34*H10</f>
        <v>7</v>
      </c>
      <c r="I34">
        <f>(60/5)*B30</f>
        <v>1440</v>
      </c>
      <c r="J34" s="27">
        <f t="shared" si="0"/>
        <v>1.0079999999999999E-2</v>
      </c>
      <c r="K34" s="63" t="s">
        <v>123</v>
      </c>
    </row>
    <row r="35" spans="1:11" x14ac:dyDescent="0.25">
      <c r="A35" t="s">
        <v>124</v>
      </c>
      <c r="E35" s="63" t="s">
        <v>77</v>
      </c>
      <c r="F35" s="1">
        <v>1</v>
      </c>
      <c r="G35" s="1" t="s">
        <v>128</v>
      </c>
      <c r="H35" s="244">
        <f>H16</f>
        <v>13.5</v>
      </c>
      <c r="I35">
        <f>I34/BytesPerPage</f>
        <v>5.625</v>
      </c>
      <c r="J35" s="27">
        <f t="shared" si="0"/>
        <v>7.5937499999999996E-5</v>
      </c>
      <c r="K35" s="63" t="s">
        <v>113</v>
      </c>
    </row>
    <row r="36" spans="1:11" x14ac:dyDescent="0.25">
      <c r="A36" t="s">
        <v>114</v>
      </c>
      <c r="E36" s="63" t="s">
        <v>80</v>
      </c>
      <c r="F36" s="1">
        <f>(I34)+200</f>
        <v>1640</v>
      </c>
      <c r="G36" s="1" t="s">
        <v>125</v>
      </c>
      <c r="H36" s="1">
        <f>F36*BLE_TXCperB</f>
        <v>288.76300000000003</v>
      </c>
      <c r="I36">
        <v>1</v>
      </c>
      <c r="J36" s="27">
        <f t="shared" si="0"/>
        <v>2.8876300000000004E-4</v>
      </c>
      <c r="K36" s="63" t="s">
        <v>131</v>
      </c>
    </row>
    <row r="37" spans="1:11" x14ac:dyDescent="0.25">
      <c r="E37" s="63"/>
      <c r="J37">
        <f t="shared" si="0"/>
        <v>0</v>
      </c>
      <c r="K37" s="63"/>
    </row>
    <row r="38" spans="1:11" x14ac:dyDescent="0.25">
      <c r="E38" s="63"/>
      <c r="J38">
        <f t="shared" ref="J38:J43" si="1">I38*H38*micro</f>
        <v>0</v>
      </c>
      <c r="K38" s="63"/>
    </row>
    <row r="39" spans="1:11" x14ac:dyDescent="0.25">
      <c r="E39" s="63"/>
      <c r="J39">
        <f t="shared" si="1"/>
        <v>0</v>
      </c>
      <c r="K39" s="63"/>
    </row>
    <row r="40" spans="1:11" x14ac:dyDescent="0.25">
      <c r="E40" s="63"/>
      <c r="J40">
        <f t="shared" si="1"/>
        <v>0</v>
      </c>
      <c r="K40" s="63"/>
    </row>
    <row r="41" spans="1:11" x14ac:dyDescent="0.25">
      <c r="E41" s="63"/>
      <c r="J41">
        <f t="shared" si="1"/>
        <v>0</v>
      </c>
      <c r="K41" s="63"/>
    </row>
    <row r="42" spans="1:11" x14ac:dyDescent="0.25">
      <c r="E42" s="63"/>
      <c r="J42">
        <f t="shared" si="1"/>
        <v>0</v>
      </c>
      <c r="K42" s="63"/>
    </row>
    <row r="43" spans="1:11" x14ac:dyDescent="0.25">
      <c r="E43" s="63"/>
      <c r="J43">
        <f t="shared" si="1"/>
        <v>0</v>
      </c>
      <c r="K43" s="63"/>
    </row>
    <row r="44" spans="1:11" x14ac:dyDescent="0.25">
      <c r="A44" s="2" t="s">
        <v>132</v>
      </c>
      <c r="B44" s="2"/>
      <c r="C44" s="2"/>
      <c r="D44" s="2"/>
      <c r="E44" s="65" t="s">
        <v>273</v>
      </c>
      <c r="F44" s="2">
        <f>B30</f>
        <v>120</v>
      </c>
      <c r="G44" s="2" t="s">
        <v>133</v>
      </c>
      <c r="H44" s="2">
        <f>G25*SecondsPerDay/24*F44</f>
        <v>9504000</v>
      </c>
      <c r="I44" s="2">
        <v>1</v>
      </c>
      <c r="J44" s="66">
        <f>I44*H44*micro</f>
        <v>9.5039999999999996</v>
      </c>
      <c r="K44" s="63"/>
    </row>
    <row r="45" spans="1:11" x14ac:dyDescent="0.25">
      <c r="E45" s="63"/>
      <c r="I45" s="29" t="s">
        <v>135</v>
      </c>
      <c r="J45" s="240">
        <f>SUM(J31:J44)</f>
        <v>14.266444731502407</v>
      </c>
      <c r="K45" s="63"/>
    </row>
    <row r="46" spans="1:11" x14ac:dyDescent="0.25">
      <c r="I46" s="29" t="s">
        <v>156</v>
      </c>
      <c r="J46" s="241">
        <f>J45*1.2</f>
        <v>17.119733677802888</v>
      </c>
    </row>
    <row r="47" spans="1:11" x14ac:dyDescent="0.25">
      <c r="I47" s="29" t="s">
        <v>130</v>
      </c>
      <c r="J47" s="56">
        <f>J46/G26</f>
        <v>1.3144758659246686E-7</v>
      </c>
    </row>
  </sheetData>
  <mergeCells count="4">
    <mergeCell ref="H4:I4"/>
    <mergeCell ref="A31:D31"/>
    <mergeCell ref="G3:I3"/>
    <mergeCell ref="D26:F26"/>
  </mergeCells>
  <conditionalFormatting sqref="J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T47"/>
  <sheetViews>
    <sheetView zoomScale="130" zoomScaleNormal="130" workbookViewId="0">
      <selection activeCell="K38" sqref="K38"/>
    </sheetView>
  </sheetViews>
  <sheetFormatPr defaultRowHeight="15" x14ac:dyDescent="0.25"/>
  <cols>
    <col min="1" max="1" width="20.5703125" customWidth="1"/>
    <col min="3" max="3" width="4.140625" customWidth="1"/>
    <col min="4" max="4" width="8.5703125" customWidth="1"/>
    <col min="5" max="5" width="12.42578125" customWidth="1"/>
    <col min="6" max="6" width="7.42578125" customWidth="1"/>
    <col min="7" max="7" width="9.85546875" customWidth="1"/>
    <col min="8" max="8" width="10.7109375" customWidth="1"/>
    <col min="9" max="9" width="11.42578125" customWidth="1"/>
    <col min="11" max="11" width="35.42578125" customWidth="1"/>
    <col min="12" max="12" width="14" customWidth="1"/>
    <col min="13" max="13" width="15.140625" bestFit="1" customWidth="1"/>
  </cols>
  <sheetData>
    <row r="1" spans="1:20" ht="18.75" x14ac:dyDescent="0.3">
      <c r="A1" s="47" t="s">
        <v>271</v>
      </c>
      <c r="J1" s="40"/>
    </row>
    <row r="2" spans="1:20" ht="15.75" thickBot="1" x14ac:dyDescent="0.3">
      <c r="A2" t="s">
        <v>272</v>
      </c>
      <c r="C2" s="80" t="s">
        <v>154</v>
      </c>
    </row>
    <row r="3" spans="1:20" x14ac:dyDescent="0.25">
      <c r="A3" s="57"/>
      <c r="B3" s="58"/>
      <c r="C3" s="58"/>
      <c r="D3" s="58"/>
      <c r="E3" s="58"/>
      <c r="F3" s="58"/>
      <c r="G3" s="260" t="s">
        <v>104</v>
      </c>
      <c r="H3" s="260"/>
      <c r="I3" s="260"/>
    </row>
    <row r="4" spans="1:20" x14ac:dyDescent="0.25">
      <c r="A4" s="81" t="s">
        <v>99</v>
      </c>
      <c r="B4" s="46" t="s">
        <v>89</v>
      </c>
      <c r="C4" s="42"/>
      <c r="D4" s="43" t="s">
        <v>90</v>
      </c>
      <c r="E4" s="45"/>
      <c r="F4" s="2"/>
      <c r="G4" s="78" t="s">
        <v>107</v>
      </c>
      <c r="H4" s="261" t="s">
        <v>111</v>
      </c>
      <c r="I4" s="261"/>
    </row>
    <row r="5" spans="1:20" x14ac:dyDescent="0.25">
      <c r="A5" s="83" t="s">
        <v>45</v>
      </c>
      <c r="B5" s="74">
        <f>AP_RUNFAST</f>
        <v>12428</v>
      </c>
      <c r="C5" s="75"/>
      <c r="D5" s="76" t="s">
        <v>91</v>
      </c>
      <c r="E5" s="75">
        <f>AP_FastMIPS</f>
        <v>32</v>
      </c>
      <c r="F5" s="8" t="s">
        <v>88</v>
      </c>
      <c r="G5" s="77">
        <f>AP_RUNFAST</f>
        <v>12428</v>
      </c>
      <c r="H5" s="84">
        <f>AP_RUNFAST*μA/AP_FastMIPS/micro</f>
        <v>388.375</v>
      </c>
      <c r="I5" s="15" t="s">
        <v>105</v>
      </c>
    </row>
    <row r="6" spans="1:20" x14ac:dyDescent="0.25">
      <c r="A6" s="83" t="s">
        <v>46</v>
      </c>
      <c r="B6" s="74">
        <f>AP_RUNEFF</f>
        <v>1116.8</v>
      </c>
      <c r="C6" s="75"/>
      <c r="D6" s="76" t="s">
        <v>92</v>
      </c>
      <c r="E6" s="75">
        <f>AP_EFFMIPS</f>
        <v>4.2</v>
      </c>
      <c r="F6" s="8" t="s">
        <v>88</v>
      </c>
      <c r="G6" s="77">
        <f>AP_RUNEFF</f>
        <v>1116.8</v>
      </c>
      <c r="H6" s="84">
        <f>AP_RUNEFF*μA/AP_EFFMIPS/micro</f>
        <v>265.90476190476187</v>
      </c>
      <c r="I6" s="15" t="s">
        <v>105</v>
      </c>
    </row>
    <row r="7" spans="1:20" x14ac:dyDescent="0.25">
      <c r="A7" s="83" t="s">
        <v>47</v>
      </c>
      <c r="B7" s="74">
        <f>AP_STOP</f>
        <v>2.8</v>
      </c>
      <c r="C7" s="75"/>
      <c r="D7" s="76"/>
      <c r="E7" s="75"/>
      <c r="F7" s="8"/>
      <c r="G7" s="77">
        <f>AP_STOP</f>
        <v>2.8</v>
      </c>
      <c r="H7" s="15"/>
      <c r="I7" s="15"/>
    </row>
    <row r="8" spans="1:20" x14ac:dyDescent="0.25">
      <c r="A8" s="83" t="s">
        <v>283</v>
      </c>
      <c r="B8" s="74"/>
      <c r="C8" s="75"/>
      <c r="D8" s="76" t="s">
        <v>295</v>
      </c>
      <c r="E8" s="75"/>
      <c r="F8" s="8"/>
      <c r="G8" s="77"/>
      <c r="H8" s="252">
        <f>AP_WU_STOP</f>
        <v>9.1577599999999974E-3</v>
      </c>
      <c r="I8" s="15" t="s">
        <v>294</v>
      </c>
    </row>
    <row r="9" spans="1:20" x14ac:dyDescent="0.25">
      <c r="A9" s="85" t="s">
        <v>93</v>
      </c>
      <c r="B9" s="45">
        <f>AP_FlashWR</f>
        <v>300</v>
      </c>
      <c r="C9" s="41"/>
      <c r="D9" s="43" t="s">
        <v>94</v>
      </c>
      <c r="E9" s="113">
        <f>AP_tFlashWR</f>
        <v>6.5599999999999999E-3</v>
      </c>
      <c r="F9" s="2" t="s">
        <v>84</v>
      </c>
      <c r="G9" s="54">
        <f>AP_FlashWR</f>
        <v>300</v>
      </c>
      <c r="H9" s="55">
        <f>(AP_FlashWR)*μA*AP_tFlashWR/micro</f>
        <v>1.9679999999999997</v>
      </c>
      <c r="I9" s="53" t="s">
        <v>106</v>
      </c>
      <c r="K9" s="253"/>
    </row>
    <row r="10" spans="1:20" x14ac:dyDescent="0.25">
      <c r="A10" s="83" t="s">
        <v>76</v>
      </c>
      <c r="B10" s="74">
        <f>MP_RUN</f>
        <v>700</v>
      </c>
      <c r="C10" s="75"/>
      <c r="D10" s="76" t="s">
        <v>95</v>
      </c>
      <c r="E10" s="75">
        <f>MP_MIPS</f>
        <v>10</v>
      </c>
      <c r="F10" s="8" t="s">
        <v>88</v>
      </c>
      <c r="G10" s="77">
        <f>MP_RUN</f>
        <v>700</v>
      </c>
      <c r="H10" s="84">
        <f>MP_RUN*μA/MP_MIPS/micro</f>
        <v>70</v>
      </c>
      <c r="I10" s="15" t="s">
        <v>105</v>
      </c>
    </row>
    <row r="11" spans="1:20" x14ac:dyDescent="0.25">
      <c r="A11" s="85" t="s">
        <v>75</v>
      </c>
      <c r="B11" s="45">
        <f>MP_SLEEP</f>
        <v>4</v>
      </c>
      <c r="C11" s="41"/>
      <c r="D11" s="43"/>
      <c r="E11" s="41"/>
      <c r="F11" s="2"/>
      <c r="G11" s="54">
        <f>MP_SLEEP</f>
        <v>4</v>
      </c>
      <c r="H11" s="53"/>
      <c r="I11" s="53"/>
    </row>
    <row r="12" spans="1:20" x14ac:dyDescent="0.25">
      <c r="A12" s="83" t="s">
        <v>145</v>
      </c>
      <c r="B12" s="74">
        <f>SEN_GYRO</f>
        <v>6100</v>
      </c>
      <c r="C12" s="8"/>
      <c r="D12" s="90"/>
      <c r="E12" s="75"/>
      <c r="F12" s="6"/>
      <c r="G12" s="77">
        <f>SEN_GYRO</f>
        <v>6100</v>
      </c>
      <c r="H12" s="77"/>
      <c r="I12" s="77"/>
      <c r="S12" s="1"/>
      <c r="T12" s="1"/>
    </row>
    <row r="13" spans="1:20" x14ac:dyDescent="0.25">
      <c r="A13" s="83" t="s">
        <v>148</v>
      </c>
      <c r="B13" s="74">
        <f>SEN_MACC</f>
        <v>350</v>
      </c>
      <c r="C13" s="8"/>
      <c r="D13" s="90" t="s">
        <v>150</v>
      </c>
      <c r="E13" s="75"/>
      <c r="F13" s="6"/>
      <c r="G13" s="77">
        <f>SEN_MACC</f>
        <v>350</v>
      </c>
      <c r="H13" s="77"/>
      <c r="I13" s="77"/>
      <c r="S13" s="1"/>
      <c r="T13" s="1"/>
    </row>
    <row r="14" spans="1:20" x14ac:dyDescent="0.25">
      <c r="A14" s="83" t="s">
        <v>120</v>
      </c>
      <c r="B14" s="74">
        <f>SEN_ACC</f>
        <v>11</v>
      </c>
      <c r="C14" s="8"/>
      <c r="D14" s="90" t="s">
        <v>153</v>
      </c>
      <c r="E14" s="75"/>
      <c r="F14" s="6"/>
      <c r="G14" s="77">
        <f>SEN_ACC</f>
        <v>11</v>
      </c>
      <c r="H14" s="77"/>
      <c r="I14" s="77"/>
    </row>
    <row r="15" spans="1:20" x14ac:dyDescent="0.25">
      <c r="A15" s="85" t="s">
        <v>142</v>
      </c>
      <c r="B15" s="45">
        <f>SEN_PD</f>
        <v>6</v>
      </c>
      <c r="C15" s="2"/>
      <c r="D15" s="91"/>
      <c r="E15" s="41"/>
      <c r="F15" s="3"/>
      <c r="G15" s="54">
        <f>SEN_PD</f>
        <v>6</v>
      </c>
      <c r="H15" s="54"/>
      <c r="I15" s="54"/>
    </row>
    <row r="16" spans="1:20" x14ac:dyDescent="0.25">
      <c r="A16" s="83" t="s">
        <v>77</v>
      </c>
      <c r="B16" s="74">
        <f>EXEE_WR</f>
        <v>2000</v>
      </c>
      <c r="C16" s="75"/>
      <c r="D16" s="76" t="s">
        <v>96</v>
      </c>
      <c r="E16" s="75">
        <f>EXEE_tWR</f>
        <v>5.0000000000000001E-3</v>
      </c>
      <c r="F16" s="8" t="s">
        <v>84</v>
      </c>
      <c r="G16" s="77">
        <f>EXEE_WR</f>
        <v>2000</v>
      </c>
      <c r="H16" s="84">
        <f>(EXEE_WR+MP_RUN)*μA*EXEE_tWR/micro</f>
        <v>13.5</v>
      </c>
      <c r="I16" s="15" t="s">
        <v>106</v>
      </c>
    </row>
    <row r="17" spans="1:13" x14ac:dyDescent="0.25">
      <c r="A17" s="85" t="s">
        <v>78</v>
      </c>
      <c r="B17" s="45">
        <f>EXEE_RD</f>
        <v>1000</v>
      </c>
      <c r="C17" s="41"/>
      <c r="D17" s="43"/>
      <c r="E17" s="41"/>
      <c r="F17" s="2"/>
      <c r="G17" s="54">
        <f>EXEE_RD</f>
        <v>1000</v>
      </c>
      <c r="H17" s="110">
        <f>(EXEE_RD+MP_RUN)*μA*(1/400000)/micro</f>
        <v>4.2500000000000003E-3</v>
      </c>
      <c r="I17" s="53" t="s">
        <v>106</v>
      </c>
    </row>
    <row r="18" spans="1:13" x14ac:dyDescent="0.25">
      <c r="A18" s="83" t="s">
        <v>80</v>
      </c>
      <c r="B18" s="74">
        <f>BLE_TX</f>
        <v>6100</v>
      </c>
      <c r="C18" s="75"/>
      <c r="D18" s="76" t="s">
        <v>97</v>
      </c>
      <c r="E18" s="75">
        <v>4000</v>
      </c>
      <c r="F18" s="8" t="s">
        <v>98</v>
      </c>
      <c r="G18" s="77">
        <f>BLE_TXCperB*E18</f>
        <v>704.30000000000007</v>
      </c>
      <c r="H18" s="86">
        <f>BLE_TXCperB</f>
        <v>0.17607500000000001</v>
      </c>
      <c r="I18" s="15" t="s">
        <v>109</v>
      </c>
    </row>
    <row r="19" spans="1:13" x14ac:dyDescent="0.25">
      <c r="A19" s="83" t="s">
        <v>81</v>
      </c>
      <c r="B19" s="74">
        <f>BLE_RX</f>
        <v>7700</v>
      </c>
      <c r="C19" s="75"/>
      <c r="D19" s="87"/>
      <c r="E19" s="74"/>
      <c r="F19" s="8"/>
      <c r="G19" s="77">
        <f>BLE_RX</f>
        <v>7700</v>
      </c>
      <c r="H19" s="86"/>
      <c r="I19" s="15" t="s">
        <v>109</v>
      </c>
    </row>
    <row r="20" spans="1:13" x14ac:dyDescent="0.25">
      <c r="A20" s="83" t="s">
        <v>160</v>
      </c>
      <c r="B20" s="74"/>
      <c r="C20" s="105"/>
      <c r="D20" s="87"/>
      <c r="E20" s="74"/>
      <c r="F20" s="8"/>
      <c r="G20" s="77"/>
      <c r="H20" s="86">
        <f>CEILING(BLE_ADV,1)</f>
        <v>13</v>
      </c>
      <c r="I20" s="15" t="s">
        <v>202</v>
      </c>
    </row>
    <row r="21" spans="1:13" x14ac:dyDescent="0.25">
      <c r="A21" s="85" t="s">
        <v>82</v>
      </c>
      <c r="B21" s="45">
        <f>BLE_Sleep</f>
        <v>1.7</v>
      </c>
      <c r="C21" s="41"/>
      <c r="D21" s="44"/>
      <c r="E21" s="45"/>
      <c r="F21" s="2"/>
      <c r="G21" s="54">
        <f>BLE_Sleep</f>
        <v>1.7</v>
      </c>
      <c r="H21" s="52"/>
      <c r="I21" s="53"/>
    </row>
    <row r="22" spans="1:13" x14ac:dyDescent="0.25">
      <c r="A22" s="83" t="s">
        <v>72</v>
      </c>
      <c r="B22" s="74">
        <f>MOTOR</f>
        <v>70000</v>
      </c>
      <c r="C22" s="75"/>
      <c r="D22" s="87"/>
      <c r="E22" s="74"/>
      <c r="F22" s="8"/>
      <c r="G22" s="77">
        <f>MOTOR</f>
        <v>70000</v>
      </c>
      <c r="H22" s="86"/>
      <c r="I22" s="15"/>
    </row>
    <row r="23" spans="1:13" x14ac:dyDescent="0.25">
      <c r="A23" s="83" t="s">
        <v>73</v>
      </c>
      <c r="B23" s="74">
        <f>LED</f>
        <v>5000</v>
      </c>
      <c r="C23" s="75"/>
      <c r="D23" s="87"/>
      <c r="E23" s="74"/>
      <c r="F23" s="8"/>
      <c r="G23" s="77">
        <f>LED</f>
        <v>5000</v>
      </c>
      <c r="H23" s="86"/>
      <c r="I23" s="15"/>
    </row>
    <row r="24" spans="1:13" x14ac:dyDescent="0.25">
      <c r="A24" s="85" t="s">
        <v>247</v>
      </c>
      <c r="B24" s="45">
        <f>SYSTEM_IQ</f>
        <v>22</v>
      </c>
      <c r="C24" s="41"/>
      <c r="D24" s="44"/>
      <c r="E24" s="45"/>
      <c r="F24" s="2"/>
      <c r="G24" s="54">
        <f>SYSTEM_IQ</f>
        <v>22</v>
      </c>
      <c r="H24" s="52"/>
      <c r="I24" s="53"/>
    </row>
    <row r="25" spans="1:13" ht="16.5" thickBot="1" x14ac:dyDescent="0.3">
      <c r="A25" s="60"/>
      <c r="B25" s="61"/>
      <c r="C25" s="61"/>
      <c r="D25" s="262" t="s">
        <v>108</v>
      </c>
      <c r="E25" s="262"/>
      <c r="F25" s="262"/>
      <c r="G25" s="112">
        <f>CHG_BUDGET/micro</f>
        <v>130240000.00000001</v>
      </c>
      <c r="H25" s="111" t="s">
        <v>110</v>
      </c>
      <c r="I25" s="88"/>
    </row>
    <row r="27" spans="1:13" ht="18.75" x14ac:dyDescent="0.3">
      <c r="A27" s="47"/>
    </row>
    <row r="28" spans="1:13" x14ac:dyDescent="0.25">
      <c r="D28" s="8"/>
      <c r="E28" s="8"/>
      <c r="F28" s="8"/>
      <c r="G28" s="8"/>
      <c r="H28" s="8"/>
      <c r="I28" s="8"/>
      <c r="J28" s="8"/>
    </row>
    <row r="29" spans="1:13" ht="16.5" thickBot="1" x14ac:dyDescent="0.3">
      <c r="A29" s="92" t="s">
        <v>307</v>
      </c>
      <c r="B29" s="101" t="s">
        <v>157</v>
      </c>
      <c r="C29" s="28"/>
      <c r="D29" s="28"/>
      <c r="E29" s="8"/>
      <c r="F29" s="92" t="s">
        <v>308</v>
      </c>
      <c r="G29" s="48">
        <f>7*24</f>
        <v>168</v>
      </c>
      <c r="H29" s="89" t="s">
        <v>117</v>
      </c>
      <c r="I29" s="8"/>
      <c r="J29" s="8"/>
      <c r="K29" s="8"/>
    </row>
    <row r="30" spans="1:13" ht="30.75" customHeight="1" thickBot="1" x14ac:dyDescent="0.3">
      <c r="A30" s="265" t="s">
        <v>310</v>
      </c>
      <c r="B30" s="266"/>
      <c r="C30" s="266"/>
      <c r="D30" s="266"/>
      <c r="E30" s="97" t="s">
        <v>119</v>
      </c>
      <c r="F30" s="102" t="s">
        <v>159</v>
      </c>
      <c r="G30" s="98" t="s">
        <v>126</v>
      </c>
      <c r="H30" s="99" t="s">
        <v>134</v>
      </c>
      <c r="I30" s="98" t="s">
        <v>155</v>
      </c>
      <c r="J30" s="100" t="s">
        <v>158</v>
      </c>
      <c r="K30" s="93" t="s">
        <v>121</v>
      </c>
    </row>
    <row r="31" spans="1:13" ht="31.5" customHeight="1" x14ac:dyDescent="0.25">
      <c r="A31" s="96" t="s">
        <v>122</v>
      </c>
      <c r="B31" s="8"/>
      <c r="C31" s="8"/>
      <c r="D31" s="8"/>
      <c r="E31" s="8" t="s">
        <v>217</v>
      </c>
      <c r="F31" s="8">
        <v>32000</v>
      </c>
      <c r="G31" s="8" t="s">
        <v>125</v>
      </c>
      <c r="H31" s="8">
        <f>BLE_TXCperB*F31</f>
        <v>5634.4000000000005</v>
      </c>
      <c r="I31" s="8">
        <v>1</v>
      </c>
      <c r="J31" s="82">
        <f>I31*H31</f>
        <v>5634.4000000000005</v>
      </c>
      <c r="K31" s="114" t="s">
        <v>316</v>
      </c>
      <c r="M31" s="242"/>
    </row>
    <row r="32" spans="1:13" x14ac:dyDescent="0.25">
      <c r="A32" s="96" t="s">
        <v>279</v>
      </c>
      <c r="B32" s="8"/>
      <c r="C32" s="8"/>
      <c r="D32" s="8"/>
      <c r="E32" s="8" t="s">
        <v>120</v>
      </c>
      <c r="F32" s="8">
        <f>G29</f>
        <v>168</v>
      </c>
      <c r="G32" s="8" t="s">
        <v>133</v>
      </c>
      <c r="H32" s="8">
        <f>G14*SecondsPerDay/24*F32</f>
        <v>6652800</v>
      </c>
      <c r="I32" s="8">
        <f>continuous</f>
        <v>1</v>
      </c>
      <c r="J32" s="82">
        <f t="shared" ref="J32:J43" si="0">I32*H32</f>
        <v>6652800</v>
      </c>
      <c r="K32" s="114"/>
    </row>
    <row r="33" spans="1:11" ht="45" x14ac:dyDescent="0.25">
      <c r="A33" s="96" t="s">
        <v>277</v>
      </c>
      <c r="B33" s="8"/>
      <c r="C33" s="8"/>
      <c r="D33" s="8"/>
      <c r="E33" s="8" t="s">
        <v>76</v>
      </c>
      <c r="F33" s="8">
        <v>0.1</v>
      </c>
      <c r="G33" s="8" t="s">
        <v>127</v>
      </c>
      <c r="H33" s="8">
        <f>F33*H10</f>
        <v>7</v>
      </c>
      <c r="I33" s="8">
        <f>(60*minutes/5*minutes)*G29</f>
        <v>2016</v>
      </c>
      <c r="J33" s="82">
        <f t="shared" si="0"/>
        <v>14112</v>
      </c>
      <c r="K33" s="114" t="s">
        <v>301</v>
      </c>
    </row>
    <row r="34" spans="1:11" ht="33" customHeight="1" x14ac:dyDescent="0.25">
      <c r="A34" s="96" t="s">
        <v>124</v>
      </c>
      <c r="B34" s="8"/>
      <c r="C34" s="8"/>
      <c r="D34" s="8"/>
      <c r="E34" s="8" t="s">
        <v>77</v>
      </c>
      <c r="F34" s="8">
        <v>1</v>
      </c>
      <c r="G34" s="8" t="s">
        <v>128</v>
      </c>
      <c r="H34" s="94">
        <f>H16</f>
        <v>13.5</v>
      </c>
      <c r="I34" s="8">
        <f>CEILING(I33/BytesPerPage,1)</f>
        <v>8</v>
      </c>
      <c r="J34" s="82">
        <f t="shared" si="0"/>
        <v>108</v>
      </c>
      <c r="K34" s="114" t="s">
        <v>309</v>
      </c>
    </row>
    <row r="35" spans="1:11" ht="30" x14ac:dyDescent="0.25">
      <c r="A35" s="96" t="s">
        <v>302</v>
      </c>
      <c r="B35" s="8"/>
      <c r="C35" s="8"/>
      <c r="D35" s="8"/>
      <c r="E35" s="8" t="s">
        <v>80</v>
      </c>
      <c r="F35" s="8">
        <f>(I33)+200</f>
        <v>2216</v>
      </c>
      <c r="G35" s="8" t="s">
        <v>125</v>
      </c>
      <c r="H35" s="8">
        <f>F35*H18</f>
        <v>390.18220000000002</v>
      </c>
      <c r="I35" s="8">
        <v>1</v>
      </c>
      <c r="J35" s="82">
        <f t="shared" si="0"/>
        <v>390.18220000000002</v>
      </c>
      <c r="K35" s="114" t="s">
        <v>131</v>
      </c>
    </row>
    <row r="36" spans="1:11" x14ac:dyDescent="0.25">
      <c r="A36" s="96" t="s">
        <v>281</v>
      </c>
      <c r="B36" s="8"/>
      <c r="C36" s="8"/>
      <c r="D36" s="8"/>
      <c r="E36" s="28" t="s">
        <v>282</v>
      </c>
      <c r="F36" s="28">
        <v>1</v>
      </c>
      <c r="G36" s="28" t="s">
        <v>278</v>
      </c>
      <c r="H36" s="164">
        <f>AP_WU_STOP</f>
        <v>9.1577599999999974E-3</v>
      </c>
      <c r="I36" s="28">
        <v>10</v>
      </c>
      <c r="J36" s="254">
        <f>I36*H36</f>
        <v>9.1577599999999981E-2</v>
      </c>
      <c r="K36" s="115" t="s">
        <v>303</v>
      </c>
    </row>
    <row r="37" spans="1:11" x14ac:dyDescent="0.25">
      <c r="A37" s="96" t="s">
        <v>280</v>
      </c>
      <c r="B37" s="8"/>
      <c r="C37" s="8"/>
      <c r="D37" s="8"/>
      <c r="E37" s="28" t="s">
        <v>46</v>
      </c>
      <c r="F37" s="28">
        <v>1E-3</v>
      </c>
      <c r="G37" s="28" t="s">
        <v>127</v>
      </c>
      <c r="H37" s="255">
        <f>F37*H6</f>
        <v>0.26590476190476187</v>
      </c>
      <c r="I37" s="8">
        <v>10</v>
      </c>
      <c r="J37" s="82">
        <f>I37*H37</f>
        <v>2.6590476190476187</v>
      </c>
      <c r="K37" s="115"/>
    </row>
    <row r="38" spans="1:11" x14ac:dyDescent="0.25">
      <c r="A38" s="96" t="s">
        <v>296</v>
      </c>
      <c r="B38" s="8"/>
      <c r="C38" s="8"/>
      <c r="D38" s="8"/>
      <c r="E38" s="28" t="s">
        <v>297</v>
      </c>
      <c r="F38" s="28">
        <v>10</v>
      </c>
      <c r="G38" s="28" t="s">
        <v>298</v>
      </c>
      <c r="H38" s="255">
        <f>F38*micro*ADC_Periph</f>
        <v>6.0899999999999996E-2</v>
      </c>
      <c r="I38" s="28">
        <v>10</v>
      </c>
      <c r="J38" s="82">
        <f>I38*H38</f>
        <v>0.60899999999999999</v>
      </c>
      <c r="K38" s="115"/>
    </row>
    <row r="39" spans="1:11" x14ac:dyDescent="0.25">
      <c r="A39" s="96" t="s">
        <v>193</v>
      </c>
      <c r="B39" s="8"/>
      <c r="C39" s="8"/>
      <c r="D39" s="8"/>
      <c r="E39" s="28" t="s">
        <v>73</v>
      </c>
      <c r="F39" s="28">
        <v>1</v>
      </c>
      <c r="G39" s="28" t="s">
        <v>278</v>
      </c>
      <c r="H39" s="8">
        <f>2.5*LED*5*seconds</f>
        <v>62500</v>
      </c>
      <c r="I39" s="8">
        <v>10</v>
      </c>
      <c r="J39" s="82">
        <f>I39*H39</f>
        <v>625000</v>
      </c>
      <c r="K39" s="115" t="s">
        <v>299</v>
      </c>
    </row>
    <row r="40" spans="1:11" x14ac:dyDescent="0.25">
      <c r="A40" s="96"/>
      <c r="B40" s="8"/>
      <c r="C40" s="8"/>
      <c r="D40" s="8"/>
      <c r="E40" s="8"/>
      <c r="F40" s="8"/>
      <c r="G40" s="8"/>
      <c r="H40" s="8"/>
      <c r="I40" s="8"/>
      <c r="J40" s="82"/>
      <c r="K40" s="114"/>
    </row>
    <row r="41" spans="1:11" x14ac:dyDescent="0.25">
      <c r="A41" s="107"/>
      <c r="B41" s="8"/>
      <c r="C41" s="8"/>
      <c r="D41" s="8"/>
      <c r="E41" s="8"/>
      <c r="F41" s="8"/>
      <c r="G41" s="8"/>
      <c r="H41" s="8"/>
      <c r="I41" s="8"/>
      <c r="J41" s="82"/>
      <c r="K41" s="114"/>
    </row>
    <row r="42" spans="1:11" ht="30" x14ac:dyDescent="0.25">
      <c r="A42" s="96" t="s">
        <v>162</v>
      </c>
      <c r="B42" s="8"/>
      <c r="C42" s="8"/>
      <c r="D42" s="8"/>
      <c r="E42" s="28" t="s">
        <v>160</v>
      </c>
      <c r="F42" s="28">
        <v>1</v>
      </c>
      <c r="G42" s="28" t="s">
        <v>161</v>
      </c>
      <c r="H42" s="8">
        <f>H20</f>
        <v>13</v>
      </c>
      <c r="I42" s="8">
        <f>G29*SecPerHour/5</f>
        <v>120960</v>
      </c>
      <c r="J42" s="82">
        <f>I42*H42</f>
        <v>1572480</v>
      </c>
      <c r="K42" s="115" t="s">
        <v>300</v>
      </c>
    </row>
    <row r="43" spans="1:11" ht="15.75" thickBot="1" x14ac:dyDescent="0.3">
      <c r="A43" s="60" t="s">
        <v>132</v>
      </c>
      <c r="B43" s="61"/>
      <c r="C43" s="61"/>
      <c r="D43" s="61"/>
      <c r="E43" s="61" t="s">
        <v>273</v>
      </c>
      <c r="F43" s="61">
        <f>G29</f>
        <v>168</v>
      </c>
      <c r="G43" s="61" t="s">
        <v>133</v>
      </c>
      <c r="H43" s="61">
        <f>G24*SecondsPerDay/24*F43</f>
        <v>13305600</v>
      </c>
      <c r="I43" s="61">
        <v>1</v>
      </c>
      <c r="J43" s="62">
        <f t="shared" si="0"/>
        <v>13305600</v>
      </c>
      <c r="K43" s="8"/>
    </row>
    <row r="44" spans="1:11" x14ac:dyDescent="0.25">
      <c r="A44" s="8"/>
      <c r="B44" s="8"/>
      <c r="C44" s="8"/>
      <c r="D44" s="8"/>
      <c r="E44" s="8"/>
      <c r="F44" s="8"/>
      <c r="G44" s="8"/>
      <c r="H44" s="8"/>
      <c r="I44" s="95" t="s">
        <v>135</v>
      </c>
      <c r="J44" s="8">
        <f>SUM(J30:J43)</f>
        <v>22176127.941825218</v>
      </c>
      <c r="K44" s="8"/>
    </row>
    <row r="45" spans="1:11" x14ac:dyDescent="0.25">
      <c r="E45" s="8"/>
      <c r="F45" s="8"/>
      <c r="G45" s="8"/>
      <c r="H45" s="8"/>
      <c r="I45" s="116" t="s">
        <v>204</v>
      </c>
      <c r="J45" s="28">
        <f>J44*1.2</f>
        <v>26611353.530190263</v>
      </c>
    </row>
    <row r="46" spans="1:11" x14ac:dyDescent="0.25">
      <c r="I46" s="29" t="s">
        <v>130</v>
      </c>
      <c r="J46" s="56">
        <f>J45/G25</f>
        <v>0.20432550314949524</v>
      </c>
    </row>
    <row r="47" spans="1:11" x14ac:dyDescent="0.25">
      <c r="I47" s="29"/>
      <c r="J47" s="104"/>
    </row>
  </sheetData>
  <mergeCells count="4">
    <mergeCell ref="H4:I4"/>
    <mergeCell ref="A30:D30"/>
    <mergeCell ref="G3:I3"/>
    <mergeCell ref="D25:F25"/>
  </mergeCells>
  <conditionalFormatting sqref="J31:J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workbookViewId="0">
      <selection activeCell="K35" sqref="K35"/>
    </sheetView>
  </sheetViews>
  <sheetFormatPr defaultRowHeight="15" x14ac:dyDescent="0.25"/>
  <cols>
    <col min="1" max="1" width="9.7109375" bestFit="1" customWidth="1"/>
    <col min="5" max="5" width="12" bestFit="1" customWidth="1"/>
    <col min="6" max="6" width="10" bestFit="1" customWidth="1"/>
    <col min="7" max="7" width="12" bestFit="1" customWidth="1"/>
    <col min="16" max="16" width="10" bestFit="1" customWidth="1"/>
    <col min="17" max="17" width="12" bestFit="1" customWidth="1"/>
  </cols>
  <sheetData>
    <row r="1" spans="1:17" x14ac:dyDescent="0.25">
      <c r="A1" t="s">
        <v>187</v>
      </c>
    </row>
    <row r="2" spans="1:17" x14ac:dyDescent="0.25">
      <c r="A2" s="118">
        <v>41448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</row>
    <row r="3" spans="1:17" ht="15.75" x14ac:dyDescent="0.25">
      <c r="A3" s="119"/>
      <c r="B3" s="119" t="s">
        <v>190</v>
      </c>
      <c r="C3" s="119"/>
      <c r="D3" s="119"/>
      <c r="E3" s="119"/>
      <c r="F3" s="119"/>
      <c r="G3" s="120" t="s">
        <v>164</v>
      </c>
      <c r="H3" s="119"/>
      <c r="I3" s="119"/>
      <c r="J3" s="119"/>
      <c r="K3" s="119"/>
      <c r="L3" s="119"/>
      <c r="M3" s="119"/>
      <c r="N3" s="119"/>
      <c r="O3" s="119"/>
      <c r="P3" s="119"/>
      <c r="Q3" s="119"/>
    </row>
    <row r="4" spans="1:17" x14ac:dyDescent="0.25">
      <c r="A4" s="119"/>
      <c r="B4" s="119"/>
      <c r="C4" s="121" t="s">
        <v>165</v>
      </c>
      <c r="D4" s="121" t="s">
        <v>188</v>
      </c>
      <c r="E4" s="121" t="s">
        <v>166</v>
      </c>
      <c r="F4" s="119"/>
      <c r="G4" s="122" t="s">
        <v>167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17" x14ac:dyDescent="0.25">
      <c r="A5" s="119"/>
      <c r="B5" s="119" t="s">
        <v>168</v>
      </c>
      <c r="C5" s="119">
        <v>400</v>
      </c>
      <c r="D5" s="119">
        <v>6000</v>
      </c>
      <c r="E5" s="119">
        <f>C5*D5*micro</f>
        <v>2.4</v>
      </c>
      <c r="F5" s="119"/>
      <c r="G5" s="122" t="s">
        <v>169</v>
      </c>
      <c r="H5" s="119"/>
      <c r="I5" s="119"/>
      <c r="J5" s="119"/>
      <c r="K5" s="119"/>
      <c r="L5" s="119"/>
      <c r="M5" s="119"/>
      <c r="N5" s="119"/>
      <c r="O5" s="119">
        <f>C5*micro</f>
        <v>3.9999999999999996E-4</v>
      </c>
      <c r="P5" s="119">
        <f>D5*micro</f>
        <v>6.0000000000000001E-3</v>
      </c>
      <c r="Q5" s="119">
        <f>O5*P5</f>
        <v>2.3999999999999999E-6</v>
      </c>
    </row>
    <row r="6" spans="1:17" x14ac:dyDescent="0.25">
      <c r="A6" s="119"/>
      <c r="B6" s="119" t="s">
        <v>170</v>
      </c>
      <c r="C6" s="119">
        <v>600</v>
      </c>
      <c r="D6" s="119">
        <v>7400</v>
      </c>
      <c r="E6" s="119">
        <f t="shared" ref="E6:E19" si="0">C6*D6*micro</f>
        <v>4.4399999999999995</v>
      </c>
      <c r="F6" s="119"/>
      <c r="G6" s="119" t="s">
        <v>171</v>
      </c>
      <c r="H6" s="119"/>
      <c r="I6" s="119"/>
      <c r="J6" s="119"/>
      <c r="K6" s="119"/>
      <c r="L6" s="119"/>
      <c r="M6" s="119"/>
      <c r="N6" s="119"/>
      <c r="O6" s="119">
        <f t="shared" ref="O6:P19" si="1">C6*micro</f>
        <v>5.9999999999999995E-4</v>
      </c>
      <c r="P6" s="119">
        <f t="shared" si="1"/>
        <v>7.3999999999999995E-3</v>
      </c>
      <c r="Q6" s="119">
        <f t="shared" ref="Q6:Q19" si="2">O6*P6</f>
        <v>4.439999999999999E-6</v>
      </c>
    </row>
    <row r="7" spans="1:17" x14ac:dyDescent="0.25">
      <c r="A7" s="119"/>
      <c r="B7" s="119" t="s">
        <v>172</v>
      </c>
      <c r="C7" s="119">
        <v>200</v>
      </c>
      <c r="D7" s="119">
        <v>10000</v>
      </c>
      <c r="E7" s="119">
        <f t="shared" si="0"/>
        <v>2</v>
      </c>
      <c r="F7" s="119"/>
      <c r="G7" s="119" t="s">
        <v>173</v>
      </c>
      <c r="H7" s="119"/>
      <c r="I7" s="119"/>
      <c r="J7" s="119"/>
      <c r="K7" s="119"/>
      <c r="L7" s="119"/>
      <c r="M7" s="119"/>
      <c r="N7" s="119"/>
      <c r="O7" s="119">
        <f t="shared" si="1"/>
        <v>1.9999999999999998E-4</v>
      </c>
      <c r="P7" s="119">
        <f t="shared" si="1"/>
        <v>0.01</v>
      </c>
      <c r="Q7" s="119">
        <f t="shared" si="2"/>
        <v>1.9999999999999999E-6</v>
      </c>
    </row>
    <row r="8" spans="1:17" x14ac:dyDescent="0.25">
      <c r="A8" s="119"/>
      <c r="B8" s="119" t="s">
        <v>174</v>
      </c>
      <c r="C8" s="119">
        <v>380</v>
      </c>
      <c r="D8" s="119">
        <v>17500</v>
      </c>
      <c r="E8" s="119">
        <f t="shared" si="0"/>
        <v>6.6499999999999995</v>
      </c>
      <c r="F8" s="119"/>
      <c r="G8" s="119"/>
      <c r="H8" s="119"/>
      <c r="I8" s="119"/>
      <c r="J8" s="119"/>
      <c r="K8" s="119"/>
      <c r="L8" s="119"/>
      <c r="M8" s="119"/>
      <c r="N8" s="119"/>
      <c r="O8" s="119">
        <f t="shared" si="1"/>
        <v>3.7999999999999997E-4</v>
      </c>
      <c r="P8" s="119">
        <f t="shared" si="1"/>
        <v>1.7499999999999998E-2</v>
      </c>
      <c r="Q8" s="119">
        <f t="shared" si="2"/>
        <v>6.649999999999999E-6</v>
      </c>
    </row>
    <row r="9" spans="1:17" x14ac:dyDescent="0.25">
      <c r="A9" s="119"/>
      <c r="B9" s="119" t="s">
        <v>175</v>
      </c>
      <c r="C9" s="119">
        <v>105</v>
      </c>
      <c r="D9" s="119">
        <v>7400</v>
      </c>
      <c r="E9" s="119">
        <f t="shared" si="0"/>
        <v>0.77699999999999991</v>
      </c>
      <c r="F9" s="119"/>
      <c r="G9" s="119" t="s">
        <v>176</v>
      </c>
      <c r="H9" s="119"/>
      <c r="I9" s="119"/>
      <c r="J9" s="119"/>
      <c r="K9" s="119"/>
      <c r="L9" s="119"/>
      <c r="M9" s="119"/>
      <c r="N9" s="119"/>
      <c r="O9" s="119">
        <f t="shared" si="1"/>
        <v>1.0499999999999999E-4</v>
      </c>
      <c r="P9" s="119">
        <f t="shared" si="1"/>
        <v>7.3999999999999995E-3</v>
      </c>
      <c r="Q9" s="119">
        <f t="shared" si="2"/>
        <v>7.7699999999999982E-7</v>
      </c>
    </row>
    <row r="10" spans="1:17" x14ac:dyDescent="0.25">
      <c r="A10" s="119"/>
      <c r="B10" s="119" t="s">
        <v>177</v>
      </c>
      <c r="C10" s="119">
        <v>115</v>
      </c>
      <c r="D10" s="119">
        <v>17500</v>
      </c>
      <c r="E10" s="119">
        <f t="shared" si="0"/>
        <v>2.0124999999999997</v>
      </c>
      <c r="F10" s="119"/>
      <c r="G10" s="119" t="s">
        <v>178</v>
      </c>
      <c r="H10" s="119"/>
      <c r="I10" s="119"/>
      <c r="J10" s="119"/>
      <c r="K10" s="119"/>
      <c r="L10" s="119"/>
      <c r="M10" s="119"/>
      <c r="N10" s="119"/>
      <c r="O10" s="119">
        <f t="shared" si="1"/>
        <v>1.1499999999999999E-4</v>
      </c>
      <c r="P10" s="119">
        <f t="shared" si="1"/>
        <v>1.7499999999999998E-2</v>
      </c>
      <c r="Q10" s="119">
        <f t="shared" si="2"/>
        <v>2.0124999999999998E-6</v>
      </c>
    </row>
    <row r="11" spans="1:17" x14ac:dyDescent="0.25">
      <c r="A11" s="119"/>
      <c r="B11" s="119" t="s">
        <v>179</v>
      </c>
      <c r="C11" s="119">
        <v>150</v>
      </c>
      <c r="D11" s="119">
        <v>7400</v>
      </c>
      <c r="E11" s="119">
        <f t="shared" si="0"/>
        <v>1.1099999999999999</v>
      </c>
      <c r="F11" s="119"/>
      <c r="G11" s="119" t="s">
        <v>180</v>
      </c>
      <c r="H11" s="119"/>
      <c r="I11" s="119"/>
      <c r="J11" s="119"/>
      <c r="K11" s="119"/>
      <c r="L11" s="119"/>
      <c r="M11" s="119"/>
      <c r="N11" s="119"/>
      <c r="O11" s="119">
        <f t="shared" si="1"/>
        <v>1.4999999999999999E-4</v>
      </c>
      <c r="P11" s="119">
        <f t="shared" si="1"/>
        <v>7.3999999999999995E-3</v>
      </c>
      <c r="Q11" s="119">
        <f t="shared" si="2"/>
        <v>1.1099999999999997E-6</v>
      </c>
    </row>
    <row r="12" spans="1:17" x14ac:dyDescent="0.25">
      <c r="A12" s="119"/>
      <c r="B12" s="119" t="s">
        <v>181</v>
      </c>
      <c r="C12" s="119">
        <v>380</v>
      </c>
      <c r="D12" s="119">
        <v>17500</v>
      </c>
      <c r="E12" s="119">
        <f t="shared" si="0"/>
        <v>6.6499999999999995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19">
        <f t="shared" si="1"/>
        <v>3.7999999999999997E-4</v>
      </c>
      <c r="P12" s="119">
        <f t="shared" si="1"/>
        <v>1.7499999999999998E-2</v>
      </c>
      <c r="Q12" s="119">
        <f t="shared" si="2"/>
        <v>6.649999999999999E-6</v>
      </c>
    </row>
    <row r="13" spans="1:17" x14ac:dyDescent="0.25">
      <c r="A13" s="119"/>
      <c r="B13" s="119" t="s">
        <v>175</v>
      </c>
      <c r="C13" s="119">
        <v>105</v>
      </c>
      <c r="D13" s="119">
        <v>7400</v>
      </c>
      <c r="E13" s="119">
        <f t="shared" si="0"/>
        <v>0.77699999999999991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>
        <f t="shared" si="1"/>
        <v>1.0499999999999999E-4</v>
      </c>
      <c r="P13" s="119">
        <f t="shared" si="1"/>
        <v>7.3999999999999995E-3</v>
      </c>
      <c r="Q13" s="119">
        <f t="shared" si="2"/>
        <v>7.7699999999999982E-7</v>
      </c>
    </row>
    <row r="14" spans="1:17" x14ac:dyDescent="0.25">
      <c r="A14" s="119"/>
      <c r="B14" s="119" t="s">
        <v>182</v>
      </c>
      <c r="C14" s="119">
        <v>115</v>
      </c>
      <c r="D14" s="119">
        <v>17500</v>
      </c>
      <c r="E14" s="119">
        <f t="shared" si="0"/>
        <v>2.0124999999999997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>
        <f t="shared" si="1"/>
        <v>1.1499999999999999E-4</v>
      </c>
      <c r="P14" s="119">
        <f t="shared" si="1"/>
        <v>1.7499999999999998E-2</v>
      </c>
      <c r="Q14" s="119">
        <f t="shared" si="2"/>
        <v>2.0124999999999998E-6</v>
      </c>
    </row>
    <row r="15" spans="1:17" x14ac:dyDescent="0.25">
      <c r="A15" s="119"/>
      <c r="B15" s="119" t="s">
        <v>183</v>
      </c>
      <c r="C15" s="119">
        <v>150</v>
      </c>
      <c r="D15" s="119">
        <v>7400</v>
      </c>
      <c r="E15" s="119">
        <f t="shared" si="0"/>
        <v>1.1099999999999999</v>
      </c>
      <c r="F15" s="119"/>
      <c r="G15" s="119"/>
      <c r="H15" s="119"/>
      <c r="I15" s="119"/>
      <c r="J15" s="119"/>
      <c r="K15" s="119"/>
      <c r="L15" s="119"/>
      <c r="M15" s="119"/>
      <c r="N15" s="119"/>
      <c r="O15" s="119">
        <f t="shared" si="1"/>
        <v>1.4999999999999999E-4</v>
      </c>
      <c r="P15" s="119">
        <f t="shared" si="1"/>
        <v>7.3999999999999995E-3</v>
      </c>
      <c r="Q15" s="119">
        <f t="shared" si="2"/>
        <v>1.1099999999999997E-6</v>
      </c>
    </row>
    <row r="16" spans="1:17" x14ac:dyDescent="0.25">
      <c r="A16" s="119"/>
      <c r="B16" s="119" t="s">
        <v>184</v>
      </c>
      <c r="C16" s="119">
        <v>380</v>
      </c>
      <c r="D16" s="119">
        <v>17500</v>
      </c>
      <c r="E16" s="119">
        <f t="shared" si="0"/>
        <v>6.6499999999999995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>
        <f t="shared" si="1"/>
        <v>3.7999999999999997E-4</v>
      </c>
      <c r="P16" s="119">
        <f t="shared" si="1"/>
        <v>1.7499999999999998E-2</v>
      </c>
      <c r="Q16" s="119">
        <f t="shared" si="2"/>
        <v>6.649999999999999E-6</v>
      </c>
    </row>
    <row r="17" spans="1:17" x14ac:dyDescent="0.25">
      <c r="A17" s="119"/>
      <c r="B17" s="119" t="s">
        <v>175</v>
      </c>
      <c r="C17" s="119">
        <v>105</v>
      </c>
      <c r="D17" s="119">
        <v>7400</v>
      </c>
      <c r="E17" s="119">
        <f t="shared" si="0"/>
        <v>0.77699999999999991</v>
      </c>
      <c r="F17" s="119"/>
      <c r="G17" s="119"/>
      <c r="H17" s="119"/>
      <c r="I17" s="119"/>
      <c r="J17" s="119"/>
      <c r="K17" s="119"/>
      <c r="L17" s="119"/>
      <c r="M17" s="119"/>
      <c r="N17" s="119"/>
      <c r="O17" s="119">
        <f t="shared" si="1"/>
        <v>1.0499999999999999E-4</v>
      </c>
      <c r="P17" s="119">
        <f t="shared" si="1"/>
        <v>7.3999999999999995E-3</v>
      </c>
      <c r="Q17" s="119">
        <f t="shared" si="2"/>
        <v>7.7699999999999982E-7</v>
      </c>
    </row>
    <row r="18" spans="1:17" x14ac:dyDescent="0.25">
      <c r="A18" s="119"/>
      <c r="B18" s="119" t="s">
        <v>185</v>
      </c>
      <c r="C18" s="119">
        <v>115</v>
      </c>
      <c r="D18" s="119">
        <v>17500</v>
      </c>
      <c r="E18" s="119">
        <f t="shared" si="0"/>
        <v>2.0124999999999997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19">
        <f t="shared" si="1"/>
        <v>1.1499999999999999E-4</v>
      </c>
      <c r="P18" s="119">
        <f t="shared" si="1"/>
        <v>1.7499999999999998E-2</v>
      </c>
      <c r="Q18" s="119">
        <f t="shared" si="2"/>
        <v>2.0124999999999998E-6</v>
      </c>
    </row>
    <row r="19" spans="1:17" x14ac:dyDescent="0.25">
      <c r="A19" s="119"/>
      <c r="B19" s="119" t="s">
        <v>186</v>
      </c>
      <c r="C19" s="119">
        <v>950</v>
      </c>
      <c r="D19" s="119">
        <v>7400</v>
      </c>
      <c r="E19" s="119">
        <f t="shared" si="0"/>
        <v>7.0299999999999994</v>
      </c>
      <c r="F19" s="119"/>
      <c r="G19" s="119"/>
      <c r="H19" s="119"/>
      <c r="I19" s="119"/>
      <c r="J19" s="119"/>
      <c r="K19" s="119"/>
      <c r="L19" s="119"/>
      <c r="M19" s="119"/>
      <c r="N19" s="119"/>
      <c r="O19" s="119">
        <f t="shared" si="1"/>
        <v>9.5E-4</v>
      </c>
      <c r="P19" s="119">
        <f t="shared" si="1"/>
        <v>7.3999999999999995E-3</v>
      </c>
      <c r="Q19" s="119">
        <f t="shared" si="2"/>
        <v>7.0299999999999996E-6</v>
      </c>
    </row>
    <row r="20" spans="1:17" x14ac:dyDescent="0.25">
      <c r="A20" s="119"/>
      <c r="B20" s="119"/>
      <c r="C20" s="122">
        <f t="shared" ref="C20:D20" si="3">SUM(C5:C19)</f>
        <v>4250</v>
      </c>
      <c r="D20" s="122">
        <f t="shared" si="3"/>
        <v>172800</v>
      </c>
      <c r="E20" s="122">
        <f>SUM(E5:E19)</f>
        <v>46.408500000000004</v>
      </c>
      <c r="F20" s="122" t="s">
        <v>189</v>
      </c>
      <c r="G20" s="119"/>
      <c r="H20" s="119"/>
      <c r="I20" s="119"/>
      <c r="J20" s="119"/>
      <c r="K20" s="119"/>
      <c r="L20" s="119"/>
      <c r="M20" s="119"/>
      <c r="N20" s="119"/>
      <c r="O20" s="119">
        <f t="shared" ref="O20:P20" si="4">SUM(O5:O19)</f>
        <v>4.2500000000000003E-3</v>
      </c>
      <c r="P20" s="119">
        <f t="shared" si="4"/>
        <v>0.17279999999999995</v>
      </c>
      <c r="Q20" s="119">
        <f>SUM(Q5:Q19)/micro</f>
        <v>46.408499999999997</v>
      </c>
    </row>
    <row r="23" spans="1:17" x14ac:dyDescent="0.25">
      <c r="A23" s="117">
        <v>41449</v>
      </c>
      <c r="B23" s="24" t="s">
        <v>205</v>
      </c>
      <c r="C23" s="24"/>
      <c r="D23" s="24"/>
      <c r="E23" s="24"/>
      <c r="F23" s="24"/>
      <c r="G23" s="24"/>
      <c r="H23" s="24"/>
      <c r="I23" s="24"/>
    </row>
    <row r="24" spans="1:17" x14ac:dyDescent="0.25">
      <c r="A24" s="24" t="s">
        <v>206</v>
      </c>
      <c r="B24" s="24"/>
      <c r="C24" s="24"/>
      <c r="D24" s="24"/>
      <c r="E24" s="24"/>
      <c r="F24" s="24">
        <f>0.005*0.0025/micro</f>
        <v>12.500000000000002</v>
      </c>
      <c r="G24" s="30" t="s">
        <v>189</v>
      </c>
      <c r="H24" s="24"/>
      <c r="I24" s="24"/>
    </row>
    <row r="27" spans="1:17" x14ac:dyDescent="0.25">
      <c r="A27" t="s">
        <v>209</v>
      </c>
    </row>
    <row r="28" spans="1:17" x14ac:dyDescent="0.25">
      <c r="C28" s="26" t="s">
        <v>216</v>
      </c>
      <c r="D28" s="26" t="s">
        <v>165</v>
      </c>
      <c r="E28" s="26" t="s">
        <v>166</v>
      </c>
      <c r="F28" s="26" t="s">
        <v>304</v>
      </c>
      <c r="G28" s="26" t="s">
        <v>305</v>
      </c>
    </row>
    <row r="29" spans="1:17" x14ac:dyDescent="0.25">
      <c r="B29" t="s">
        <v>210</v>
      </c>
      <c r="C29">
        <v>9000</v>
      </c>
      <c r="D29">
        <v>328</v>
      </c>
      <c r="E29">
        <f>C29*D29*micro</f>
        <v>2.952</v>
      </c>
      <c r="F29">
        <v>3.1</v>
      </c>
      <c r="G29" s="240">
        <f>E29*F29</f>
        <v>9.1511999999999993</v>
      </c>
    </row>
    <row r="30" spans="1:17" x14ac:dyDescent="0.25">
      <c r="B30" t="s">
        <v>211</v>
      </c>
      <c r="C30">
        <v>5</v>
      </c>
      <c r="D30">
        <v>150</v>
      </c>
      <c r="E30">
        <f t="shared" ref="E30:E32" si="5">C30*D30*micro</f>
        <v>7.5000000000000002E-4</v>
      </c>
      <c r="F30">
        <v>3.1</v>
      </c>
      <c r="G30" s="256">
        <f t="shared" ref="G30:G32" si="6">E30*F30</f>
        <v>2.3250000000000002E-3</v>
      </c>
    </row>
    <row r="31" spans="1:17" x14ac:dyDescent="0.25">
      <c r="B31" t="s">
        <v>212</v>
      </c>
      <c r="C31">
        <v>7100</v>
      </c>
      <c r="D31">
        <v>80</v>
      </c>
      <c r="E31">
        <f t="shared" si="5"/>
        <v>0.56799999999999995</v>
      </c>
      <c r="F31">
        <v>3.1</v>
      </c>
      <c r="G31" s="240">
        <f t="shared" si="6"/>
        <v>1.7607999999999999</v>
      </c>
    </row>
    <row r="32" spans="1:17" x14ac:dyDescent="0.25">
      <c r="B32" t="s">
        <v>211</v>
      </c>
      <c r="C32">
        <v>5</v>
      </c>
      <c r="D32">
        <v>150</v>
      </c>
      <c r="E32">
        <f t="shared" si="5"/>
        <v>7.5000000000000002E-4</v>
      </c>
      <c r="F32">
        <v>3.1</v>
      </c>
      <c r="G32" s="256">
        <f t="shared" si="6"/>
        <v>2.3250000000000002E-3</v>
      </c>
    </row>
    <row r="33" spans="2:7" x14ac:dyDescent="0.25">
      <c r="B33" s="16" t="s">
        <v>213</v>
      </c>
      <c r="C33" s="16">
        <f>SUM(C29:C32)</f>
        <v>16110</v>
      </c>
      <c r="D33" s="16">
        <f>SUM(D29:D32)</f>
        <v>708</v>
      </c>
      <c r="E33" s="16">
        <f>SUM(E29:E32)</f>
        <v>3.5215000000000001</v>
      </c>
      <c r="F33" s="16" t="s">
        <v>214</v>
      </c>
      <c r="G33" s="257">
        <f>SUM(G29:G32)</f>
        <v>10.916650000000001</v>
      </c>
    </row>
    <row r="34" spans="2:7" x14ac:dyDescent="0.25">
      <c r="B34" s="16"/>
      <c r="C34" s="16"/>
      <c r="D34" s="16"/>
      <c r="E34" s="16">
        <f>E33/20</f>
        <v>0.17607500000000001</v>
      </c>
      <c r="F34" s="16" t="s">
        <v>215</v>
      </c>
    </row>
    <row r="36" spans="2:7" x14ac:dyDescent="0.25">
      <c r="E36" s="257">
        <f>BLE_TXB_C*27*3.1</f>
        <v>14.737477500000002</v>
      </c>
      <c r="F36" s="258" t="s">
        <v>306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size="45" baseType="lpstr">
      <vt:lpstr>Supply &amp; Processor</vt:lpstr>
      <vt:lpstr>Device Data</vt:lpstr>
      <vt:lpstr>Summary</vt:lpstr>
      <vt:lpstr>UC_Template</vt:lpstr>
      <vt:lpstr>ActivtyMonitorUC</vt:lpstr>
      <vt:lpstr>BLE_Calculations</vt:lpstr>
      <vt:lpstr>ADC_Periph</vt:lpstr>
      <vt:lpstr>AP_EFFMIPS</vt:lpstr>
      <vt:lpstr>AP_FastMIPS</vt:lpstr>
      <vt:lpstr>AP_FlashWR</vt:lpstr>
      <vt:lpstr>AP_RUNEFF</vt:lpstr>
      <vt:lpstr>AP_RUNFAST</vt:lpstr>
      <vt:lpstr>AP_STOP</vt:lpstr>
      <vt:lpstr>AP_tFlashWR</vt:lpstr>
      <vt:lpstr>AP_tWU_STOP</vt:lpstr>
      <vt:lpstr>AP_WU_STOP</vt:lpstr>
      <vt:lpstr>Available_Coulombs</vt:lpstr>
      <vt:lpstr>BLE_ADV</vt:lpstr>
      <vt:lpstr>BLE_RATE</vt:lpstr>
      <vt:lpstr>BLE_RX</vt:lpstr>
      <vt:lpstr>BLE_Sleep</vt:lpstr>
      <vt:lpstr>BLE_TX</vt:lpstr>
      <vt:lpstr>BLE_TXB_C</vt:lpstr>
      <vt:lpstr>BLE_TXCperB</vt:lpstr>
      <vt:lpstr>CHG_BUDGET</vt:lpstr>
      <vt:lpstr>EXEE_RD</vt:lpstr>
      <vt:lpstr>EXEE_tWR</vt:lpstr>
      <vt:lpstr>EXEE_WR</vt:lpstr>
      <vt:lpstr>EXEE_WR_C</vt:lpstr>
      <vt:lpstr>GPIO_Periph</vt:lpstr>
      <vt:lpstr>I2C_OH_100</vt:lpstr>
      <vt:lpstr>I2C_OH_400</vt:lpstr>
      <vt:lpstr>I2C_Periph</vt:lpstr>
      <vt:lpstr>LED</vt:lpstr>
      <vt:lpstr>MOTOR</vt:lpstr>
      <vt:lpstr>MP_MIPS</vt:lpstr>
      <vt:lpstr>MP_RUN</vt:lpstr>
      <vt:lpstr>MP_RUN_OLD</vt:lpstr>
      <vt:lpstr>MP_SLEEP</vt:lpstr>
      <vt:lpstr>SEN_ACC</vt:lpstr>
      <vt:lpstr>SEN_GYRO</vt:lpstr>
      <vt:lpstr>SEN_MACC</vt:lpstr>
      <vt:lpstr>SEN_PD</vt:lpstr>
      <vt:lpstr>SPI_Periph</vt:lpstr>
      <vt:lpstr>SYSTEM_IQ</vt:lpstr>
    </vt:vector>
  </TitlesOfParts>
  <Company>Joe Miller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Low-Power System Power Budget</dc:title>
  <dc:subject>System Power Budget</dc:subject>
  <dc:creator>jmiller</dc:creator>
  <cp:lastModifiedBy>Joe</cp:lastModifiedBy>
  <cp:lastPrinted>2014-09-20T18:50:23Z</cp:lastPrinted>
  <dcterms:created xsi:type="dcterms:W3CDTF">2013-06-13T18:29:36Z</dcterms:created>
  <dcterms:modified xsi:type="dcterms:W3CDTF">2014-09-20T18:51:13Z</dcterms:modified>
</cp:coreProperties>
</file>