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0" yWindow="-45" windowWidth="15600" windowHeight="8235"/>
  </bookViews>
  <sheets>
    <sheet name="Pccr" sheetId="1" r:id="rId1"/>
    <sheet name="Chart Pccr" sheetId="3" r:id="rId2"/>
  </sheets>
  <definedNames>
    <definedName name="_xlnm.Print_Area" localSheetId="0">Pccr!$A$1:$N$76</definedName>
  </definedNames>
  <calcPr calcId="145621"/>
</workbook>
</file>

<file path=xl/calcChain.xml><?xml version="1.0" encoding="utf-8"?>
<calcChain xmlns="http://schemas.openxmlformats.org/spreadsheetml/2006/main">
  <c r="F41" i="1" l="1"/>
  <c r="G4" i="1"/>
  <c r="G2" i="1" l="1"/>
  <c r="C50" i="1"/>
  <c r="H30" i="1" l="1"/>
  <c r="I30" i="1"/>
  <c r="J30" i="1"/>
  <c r="K30" i="1"/>
  <c r="L30" i="1"/>
  <c r="M30" i="1"/>
  <c r="G30" i="1"/>
  <c r="F42" i="1"/>
  <c r="Q30" i="1" l="1" a="1"/>
  <c r="M35" i="1"/>
  <c r="M36" i="1" s="1"/>
  <c r="H35" i="1"/>
  <c r="H36" i="1" s="1"/>
  <c r="I35" i="1"/>
  <c r="I36" i="1" s="1"/>
  <c r="J35" i="1"/>
  <c r="J36" i="1" s="1"/>
  <c r="K35" i="1"/>
  <c r="K36" i="1" s="1"/>
  <c r="L35" i="1"/>
  <c r="L36" i="1" s="1"/>
  <c r="G35" i="1"/>
  <c r="G36" i="1" s="1"/>
  <c r="F44" i="1"/>
  <c r="M32" i="1"/>
  <c r="L32" i="1"/>
  <c r="K32" i="1"/>
  <c r="J32" i="1"/>
  <c r="I32" i="1"/>
  <c r="H32" i="1"/>
  <c r="G32" i="1"/>
  <c r="Q30" i="1" l="1"/>
  <c r="F39" i="1" s="1"/>
  <c r="C46" i="1" s="1"/>
  <c r="R34" i="1"/>
  <c r="R32" i="1"/>
  <c r="R30" i="1"/>
  <c r="F40" i="1" s="1"/>
  <c r="C47" i="1" s="1"/>
  <c r="Q33" i="1"/>
  <c r="Q31" i="1"/>
  <c r="R33" i="1"/>
  <c r="R31" i="1"/>
  <c r="Q34" i="1"/>
  <c r="Q32" i="1"/>
  <c r="F38" i="1" s="1"/>
  <c r="C45" i="1" s="1"/>
  <c r="M48" i="1" l="1"/>
  <c r="I50" i="1"/>
  <c r="K51" i="1"/>
  <c r="M52" i="1"/>
  <c r="M53" i="1"/>
  <c r="K54" i="1"/>
  <c r="I55" i="1"/>
  <c r="M55" i="1"/>
  <c r="K56" i="1"/>
  <c r="I57" i="1"/>
  <c r="M57" i="1"/>
  <c r="K58" i="1"/>
  <c r="I59" i="1"/>
  <c r="M59" i="1"/>
  <c r="K60" i="1"/>
  <c r="M60" i="1"/>
  <c r="I61" i="1"/>
  <c r="K61" i="1"/>
  <c r="M61" i="1"/>
  <c r="I62" i="1"/>
  <c r="K62" i="1"/>
  <c r="M62" i="1"/>
  <c r="I63" i="1"/>
  <c r="K63" i="1"/>
  <c r="M63" i="1"/>
  <c r="I64" i="1"/>
  <c r="K64" i="1"/>
  <c r="M64" i="1"/>
  <c r="I65" i="1"/>
  <c r="K65" i="1"/>
  <c r="M65" i="1"/>
  <c r="I66" i="1"/>
  <c r="K66" i="1"/>
  <c r="M66" i="1"/>
  <c r="I47" i="1"/>
  <c r="K47" i="1"/>
  <c r="M47" i="1"/>
  <c r="G49" i="1"/>
  <c r="G51" i="1"/>
  <c r="G53" i="1"/>
  <c r="G55" i="1"/>
  <c r="G57" i="1"/>
  <c r="G59" i="1"/>
  <c r="G61" i="1"/>
  <c r="G63" i="1"/>
  <c r="G65" i="1"/>
  <c r="G47" i="1"/>
  <c r="H66" i="1"/>
  <c r="L66" i="1"/>
  <c r="J47" i="1"/>
  <c r="G48" i="1"/>
  <c r="G52" i="1"/>
  <c r="G56" i="1"/>
  <c r="G60" i="1"/>
  <c r="G64" i="1"/>
  <c r="I48" i="1"/>
  <c r="K49" i="1"/>
  <c r="M50" i="1"/>
  <c r="I52" i="1"/>
  <c r="K53" i="1"/>
  <c r="I54" i="1"/>
  <c r="M54" i="1"/>
  <c r="K55" i="1"/>
  <c r="I56" i="1"/>
  <c r="M56" i="1"/>
  <c r="K57" i="1"/>
  <c r="I58" i="1"/>
  <c r="M58" i="1"/>
  <c r="K59" i="1"/>
  <c r="I60" i="1"/>
  <c r="L60" i="1"/>
  <c r="H61" i="1"/>
  <c r="J61" i="1"/>
  <c r="L61" i="1"/>
  <c r="H62" i="1"/>
  <c r="J62" i="1"/>
  <c r="L62" i="1"/>
  <c r="H63" i="1"/>
  <c r="J63" i="1"/>
  <c r="L63" i="1"/>
  <c r="H64" i="1"/>
  <c r="J64" i="1"/>
  <c r="L64" i="1"/>
  <c r="H65" i="1"/>
  <c r="J65" i="1"/>
  <c r="L65" i="1"/>
  <c r="J66" i="1"/>
  <c r="H47" i="1"/>
  <c r="L47" i="1"/>
  <c r="G50" i="1"/>
  <c r="G54" i="1"/>
  <c r="G58" i="1"/>
  <c r="G62" i="1"/>
  <c r="G66" i="1"/>
  <c r="K52" i="1"/>
  <c r="I51" i="1"/>
  <c r="M49" i="1"/>
  <c r="H48" i="1"/>
  <c r="H60" i="1"/>
  <c r="J59" i="1"/>
  <c r="L58" i="1"/>
  <c r="H58" i="1"/>
  <c r="J57" i="1"/>
  <c r="L56" i="1"/>
  <c r="H56" i="1"/>
  <c r="J55" i="1"/>
  <c r="L54" i="1"/>
  <c r="H54" i="1"/>
  <c r="J53" i="1"/>
  <c r="L52" i="1"/>
  <c r="H52" i="1"/>
  <c r="J51" i="1"/>
  <c r="L50" i="1"/>
  <c r="H50" i="1"/>
  <c r="J49" i="1"/>
  <c r="L48" i="1"/>
  <c r="I53" i="1"/>
  <c r="M51" i="1"/>
  <c r="K50" i="1"/>
  <c r="I49" i="1"/>
  <c r="J60" i="1"/>
  <c r="L59" i="1"/>
  <c r="H59" i="1"/>
  <c r="J58" i="1"/>
  <c r="L57" i="1"/>
  <c r="H57" i="1"/>
  <c r="J56" i="1"/>
  <c r="L55" i="1"/>
  <c r="H55" i="1"/>
  <c r="J54" i="1"/>
  <c r="L53" i="1"/>
  <c r="H53" i="1"/>
  <c r="J52" i="1"/>
  <c r="L51" i="1"/>
  <c r="H51" i="1"/>
  <c r="J50" i="1"/>
  <c r="L49" i="1"/>
  <c r="H49" i="1"/>
  <c r="J48" i="1"/>
  <c r="K48" i="1"/>
  <c r="L70" i="1" l="1"/>
  <c r="L71" i="1" s="1"/>
  <c r="L73" i="1" s="1"/>
  <c r="L74" i="1" s="1"/>
  <c r="L68" i="1"/>
  <c r="L69" i="1" s="1"/>
  <c r="H70" i="1"/>
  <c r="H71" i="1" s="1"/>
  <c r="H73" i="1" s="1"/>
  <c r="H74" i="1" s="1"/>
  <c r="H76" i="1" s="1"/>
  <c r="H68" i="1"/>
  <c r="H69" i="1" s="1"/>
  <c r="J70" i="1"/>
  <c r="J71" i="1" s="1"/>
  <c r="J73" i="1" s="1"/>
  <c r="J74" i="1" s="1"/>
  <c r="J76" i="1" s="1"/>
  <c r="J68" i="1"/>
  <c r="J69" i="1" s="1"/>
  <c r="K68" i="1"/>
  <c r="K69" i="1" s="1"/>
  <c r="K70" i="1"/>
  <c r="K71" i="1" s="1"/>
  <c r="K73" i="1" s="1"/>
  <c r="K74" i="1" s="1"/>
  <c r="K76" i="1" s="1"/>
  <c r="G68" i="1"/>
  <c r="G69" i="1" s="1"/>
  <c r="G70" i="1"/>
  <c r="G71" i="1" s="1"/>
  <c r="G73" i="1" s="1"/>
  <c r="G74" i="1" s="1"/>
  <c r="G76" i="1" s="1"/>
  <c r="M70" i="1"/>
  <c r="M71" i="1" s="1"/>
  <c r="M73" i="1" s="1"/>
  <c r="M74" i="1" s="1"/>
  <c r="M76" i="1" s="1"/>
  <c r="M68" i="1"/>
  <c r="M69" i="1" s="1"/>
  <c r="I70" i="1"/>
  <c r="I71" i="1" s="1"/>
  <c r="I73" i="1" s="1"/>
  <c r="I74" i="1" s="1"/>
  <c r="I76" i="1" s="1"/>
  <c r="I68" i="1"/>
  <c r="I69" i="1" s="1"/>
  <c r="L76" i="1"/>
  <c r="H75" i="1" l="1"/>
  <c r="L75" i="1"/>
  <c r="M75" i="1"/>
  <c r="G77" i="1"/>
  <c r="C48" i="1" s="1"/>
  <c r="I75" i="1"/>
  <c r="J75" i="1"/>
  <c r="G75" i="1"/>
  <c r="K75" i="1"/>
</calcChain>
</file>

<file path=xl/sharedStrings.xml><?xml version="1.0" encoding="utf-8"?>
<sst xmlns="http://schemas.openxmlformats.org/spreadsheetml/2006/main" count="118" uniqueCount="107">
  <si>
    <t>Calibration Protocol</t>
  </si>
  <si>
    <t>Patm=</t>
  </si>
  <si>
    <t>[kPa]</t>
  </si>
  <si>
    <t>Time</t>
  </si>
  <si>
    <t>Ambient temperature</t>
  </si>
  <si>
    <t>[°C]</t>
  </si>
  <si>
    <t>Raw data reading [V]</t>
  </si>
  <si>
    <t>Atmospheric Pressure (Atmos UofI)</t>
  </si>
  <si>
    <t>Processor</t>
  </si>
  <si>
    <t>Location</t>
  </si>
  <si>
    <t>Creative Thermal Solutions, Inc., Urbana, IL</t>
  </si>
  <si>
    <t>Building #</t>
  </si>
  <si>
    <t>Chamber</t>
  </si>
  <si>
    <t>Calibration Device calibration date</t>
  </si>
  <si>
    <t>Calibration Device calibration due date</t>
  </si>
  <si>
    <t>Description of application</t>
  </si>
  <si>
    <t>Project name</t>
  </si>
  <si>
    <t>Fluke reading [kPa]</t>
  </si>
  <si>
    <t>Variable</t>
  </si>
  <si>
    <t>Fluke reading + Patm [kPa]</t>
  </si>
  <si>
    <t>Manufacturer</t>
  </si>
  <si>
    <t>Model</t>
  </si>
  <si>
    <t>Range</t>
  </si>
  <si>
    <t>Serial No</t>
  </si>
  <si>
    <t>Excitation / Supply</t>
  </si>
  <si>
    <t>[VDC]</t>
  </si>
  <si>
    <t>Output</t>
  </si>
  <si>
    <t>CTS Serial Number</t>
  </si>
  <si>
    <t xml:space="preserve">Resistor </t>
  </si>
  <si>
    <r>
      <t>[</t>
    </r>
    <r>
      <rPr>
        <b/>
        <sz val="12"/>
        <rFont val="Calibri"/>
        <family val="2"/>
      </rPr>
      <t>Ω</t>
    </r>
    <r>
      <rPr>
        <b/>
        <sz val="12"/>
        <rFont val="Calibri"/>
        <family val="2"/>
      </rPr>
      <t>]</t>
    </r>
  </si>
  <si>
    <t>Amplifier Information (if used)</t>
  </si>
  <si>
    <t>N/A</t>
  </si>
  <si>
    <t>Description</t>
  </si>
  <si>
    <t>CTS WI 5.4</t>
  </si>
  <si>
    <t>Aproved By</t>
  </si>
  <si>
    <t>Approved by Debbie Smith, QMR</t>
  </si>
  <si>
    <t>Calibration Standard / Reference used</t>
  </si>
  <si>
    <t>Average [kPa]</t>
  </si>
  <si>
    <t>Rferenece Standard abs.</t>
  </si>
  <si>
    <t>Rferenece Standard gauge</t>
  </si>
  <si>
    <t>Standard dev. [kPa]</t>
  </si>
  <si>
    <t>Standard dev. of the mean [kPa]</t>
  </si>
  <si>
    <t>Total reading per point</t>
  </si>
  <si>
    <r>
      <t xml:space="preserve">Reference Uncertainty [kPa] = </t>
    </r>
    <r>
      <rPr>
        <sz val="12"/>
        <color theme="1"/>
        <rFont val="Calibri"/>
        <family val="2"/>
      </rPr>
      <t>σ</t>
    </r>
  </si>
  <si>
    <t>1 psi = 6.89475729 kPa</t>
  </si>
  <si>
    <t>Combined uncertainty [kPa]</t>
  </si>
  <si>
    <t>Freedom ⱴ</t>
  </si>
  <si>
    <t>t distribution at 95% confidence level</t>
  </si>
  <si>
    <t>Percentage uncertaity over full range [-]</t>
  </si>
  <si>
    <t>Conclusion</t>
  </si>
  <si>
    <t>Percentage uncertaity over reading [-]</t>
  </si>
  <si>
    <t>Range position [-]</t>
  </si>
  <si>
    <t>Expanded uncertainty wth 95% confidence [kPa]</t>
  </si>
  <si>
    <t>Reference Standard range [psig]</t>
  </si>
  <si>
    <t>Reference info</t>
  </si>
  <si>
    <t>Reference Standard expanded uncertainty=2σ [kPa] using Type B</t>
  </si>
  <si>
    <t>Sensor range [kPa]</t>
  </si>
  <si>
    <t>Sensor range [psig]</t>
  </si>
  <si>
    <t>Pressure Accuracy is +/- 0.05% of full range</t>
  </si>
  <si>
    <t>12pm</t>
  </si>
  <si>
    <t>AVG voltage [V]</t>
  </si>
  <si>
    <t>Calibration correlation [kPa  - V]</t>
  </si>
  <si>
    <t>Calibration date</t>
  </si>
  <si>
    <t>Sensor Under Calibration Information (Tag)</t>
  </si>
  <si>
    <t>[inH2O]</t>
  </si>
  <si>
    <t>[V]</t>
  </si>
  <si>
    <t>bar code</t>
  </si>
  <si>
    <t>Next calibration due</t>
  </si>
  <si>
    <t>date</t>
  </si>
  <si>
    <t>Calibration Template: Pressure P &amp; DP</t>
  </si>
  <si>
    <t>Effective Date: 2/24/2015</t>
  </si>
  <si>
    <t>Version B</t>
  </si>
  <si>
    <t>Fluke pressure calibrator 717 1500G</t>
  </si>
  <si>
    <t>Yadira Padilla</t>
  </si>
  <si>
    <t>HC-Inc</t>
  </si>
  <si>
    <t>[psi]</t>
  </si>
  <si>
    <r>
      <t>y=</t>
    </r>
    <r>
      <rPr>
        <b/>
        <sz val="12"/>
        <color rgb="FFFF0000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x+b</t>
    </r>
  </si>
  <si>
    <r>
      <t>y=mx+</t>
    </r>
    <r>
      <rPr>
        <b/>
        <sz val="11"/>
        <color rgb="FFFF0000"/>
        <rFont val="Calibri"/>
        <family val="2"/>
        <scheme val="minor"/>
      </rPr>
      <t>b</t>
    </r>
  </si>
  <si>
    <r>
      <t>R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</si>
  <si>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t>1) R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&gt;</t>
    </r>
  </si>
  <si>
    <r>
      <t xml:space="preserve">2) Uncertainty </t>
    </r>
    <r>
      <rPr>
        <b/>
        <sz val="12"/>
        <color theme="1"/>
        <rFont val="Calibri"/>
        <family val="2"/>
      </rPr>
      <t>≤</t>
    </r>
  </si>
  <si>
    <t>Range min</t>
  </si>
  <si>
    <t>Range max</t>
  </si>
  <si>
    <t>slope</t>
  </si>
  <si>
    <t>se(slope)</t>
  </si>
  <si>
    <t>r2</t>
  </si>
  <si>
    <t>F</t>
  </si>
  <si>
    <t>ss reg</t>
  </si>
  <si>
    <t>intercept</t>
  </si>
  <si>
    <t>se(intercept)</t>
  </si>
  <si>
    <t>se(y)</t>
  </si>
  <si>
    <t>df</t>
  </si>
  <si>
    <t>ss resid</t>
  </si>
  <si>
    <t>Calibation Pass Or Fail Criteria</t>
  </si>
  <si>
    <t>Results</t>
  </si>
  <si>
    <r>
      <t>R</t>
    </r>
    <r>
      <rPr>
        <b/>
        <vertAlign val="superscript"/>
        <sz val="20"/>
        <color theme="0"/>
        <rFont val="Calibri"/>
        <family val="2"/>
        <scheme val="minor"/>
      </rPr>
      <t>2</t>
    </r>
  </si>
  <si>
    <r>
      <t>y=</t>
    </r>
    <r>
      <rPr>
        <b/>
        <sz val="22"/>
        <color theme="0"/>
        <rFont val="Calibri"/>
        <family val="2"/>
        <scheme val="minor"/>
      </rPr>
      <t>m</t>
    </r>
    <r>
      <rPr>
        <sz val="20"/>
        <color theme="0"/>
        <rFont val="Calibri"/>
        <family val="2"/>
        <scheme val="minor"/>
      </rPr>
      <t>x+b</t>
    </r>
  </si>
  <si>
    <r>
      <t>y=mx+</t>
    </r>
    <r>
      <rPr>
        <b/>
        <sz val="22"/>
        <color theme="0"/>
        <rFont val="Calibri"/>
        <family val="2"/>
        <scheme val="minor"/>
      </rPr>
      <t>b</t>
    </r>
  </si>
  <si>
    <t>m</t>
  </si>
  <si>
    <t>b</t>
  </si>
  <si>
    <t>Calibration Pass /Fail ?</t>
  </si>
  <si>
    <t>Pressure before reduction valve</t>
  </si>
  <si>
    <t>Pred</t>
  </si>
  <si>
    <t>Rosemount</t>
  </si>
  <si>
    <t>115GP8s22B3</t>
  </si>
  <si>
    <t>45 max</t>
  </si>
  <si>
    <t>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</si>
</sst>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"/>
    <numFmt numFmtId="166" formatCode="0.000"/>
    <numFmt numFmtId="167" formatCode="0.00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56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</font>
    <font>
      <sz val="14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FF0000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Arial"/>
      <family val="2"/>
    </font>
    <font>
      <b/>
      <sz val="20"/>
      <color theme="0"/>
      <name val="Calibri"/>
      <family val="2"/>
      <scheme val="minor"/>
    </font>
    <font>
      <b/>
      <vertAlign val="superscript"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6" fillId="5" borderId="0" xfId="2" applyFont="1" applyFill="1"/>
    <xf numFmtId="0" fontId="6" fillId="6" borderId="0" xfId="4" applyFont="1" applyFill="1" applyAlignment="1">
      <alignment horizontal="center"/>
    </xf>
    <xf numFmtId="0" fontId="0" fillId="6" borderId="0" xfId="0" applyFill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6" fillId="5" borderId="0" xfId="2" applyFont="1" applyFill="1" applyAlignment="1">
      <alignment horizontal="right"/>
    </xf>
    <xf numFmtId="0" fontId="0" fillId="0" borderId="0" xfId="0" applyFill="1"/>
    <xf numFmtId="0" fontId="6" fillId="5" borderId="0" xfId="2" applyFont="1" applyFill="1" applyAlignment="1">
      <alignment horizontal="left"/>
    </xf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7" fillId="8" borderId="0" xfId="0" applyFont="1" applyFill="1" applyAlignment="1">
      <alignment horizontal="left"/>
    </xf>
    <xf numFmtId="14" fontId="7" fillId="8" borderId="0" xfId="0" applyNumberFormat="1" applyFont="1" applyFill="1" applyAlignment="1">
      <alignment horizontal="left"/>
    </xf>
    <xf numFmtId="0" fontId="6" fillId="5" borderId="0" xfId="2" applyFont="1" applyFill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7" borderId="9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/>
    <xf numFmtId="2" fontId="18" fillId="7" borderId="3" xfId="0" applyNumberFormat="1" applyFont="1" applyFill="1" applyBorder="1" applyAlignment="1">
      <alignment horizontal="center" vertical="center" wrapText="1"/>
    </xf>
    <xf numFmtId="2" fontId="18" fillId="7" borderId="3" xfId="0" applyNumberFormat="1" applyFont="1" applyFill="1" applyBorder="1" applyAlignment="1">
      <alignment horizontal="center" vertical="center"/>
    </xf>
    <xf numFmtId="10" fontId="18" fillId="7" borderId="3" xfId="5" applyNumberFormat="1" applyFont="1" applyFill="1" applyBorder="1" applyAlignment="1">
      <alignment horizontal="center" vertical="center" wrapText="1"/>
    </xf>
    <xf numFmtId="10" fontId="18" fillId="7" borderId="3" xfId="5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vertical="center"/>
    </xf>
    <xf numFmtId="164" fontId="8" fillId="0" borderId="0" xfId="3" applyNumberFormat="1" applyFont="1" applyFill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center" wrapText="1"/>
    </xf>
    <xf numFmtId="164" fontId="9" fillId="0" borderId="2" xfId="0" applyNumberFormat="1" applyFont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 wrapText="1"/>
    </xf>
    <xf numFmtId="164" fontId="9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 textRotation="90" wrapText="1"/>
    </xf>
    <xf numFmtId="164" fontId="9" fillId="0" borderId="0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/>
    </xf>
    <xf numFmtId="0" fontId="17" fillId="0" borderId="6" xfId="0" applyFont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0" fontId="9" fillId="7" borderId="6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164" fontId="9" fillId="7" borderId="3" xfId="0" applyNumberFormat="1" applyFont="1" applyFill="1" applyBorder="1" applyAlignment="1">
      <alignment horizontal="center" vertical="center" wrapText="1"/>
    </xf>
    <xf numFmtId="164" fontId="0" fillId="7" borderId="3" xfId="0" applyNumberForma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0" fontId="8" fillId="0" borderId="0" xfId="3" applyFont="1" applyFill="1" applyBorder="1"/>
    <xf numFmtId="0" fontId="0" fillId="5" borderId="0" xfId="0" applyFill="1"/>
    <xf numFmtId="0" fontId="3" fillId="5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right" vertical="center" wrapText="1"/>
    </xf>
    <xf numFmtId="0" fontId="9" fillId="9" borderId="3" xfId="0" applyFont="1" applyFill="1" applyBorder="1" applyAlignment="1">
      <alignment horizontal="center" vertical="center" wrapText="1"/>
    </xf>
    <xf numFmtId="10" fontId="9" fillId="0" borderId="3" xfId="0" applyNumberFormat="1" applyFont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164" fontId="8" fillId="6" borderId="5" xfId="0" applyNumberFormat="1" applyFont="1" applyFill="1" applyBorder="1" applyAlignment="1">
      <alignment horizontal="center" vertical="center" wrapText="1"/>
    </xf>
    <xf numFmtId="164" fontId="8" fillId="6" borderId="12" xfId="0" applyNumberFormat="1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2" fontId="9" fillId="0" borderId="13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2" fontId="9" fillId="0" borderId="14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64" fontId="9" fillId="0" borderId="13" xfId="0" applyNumberFormat="1" applyFont="1" applyBorder="1" applyAlignment="1">
      <alignment vertical="center"/>
    </xf>
    <xf numFmtId="164" fontId="9" fillId="7" borderId="13" xfId="0" applyNumberFormat="1" applyFont="1" applyFill="1" applyBorder="1" applyAlignment="1">
      <alignment vertical="center"/>
    </xf>
    <xf numFmtId="2" fontId="0" fillId="0" borderId="1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2" fontId="18" fillId="7" borderId="13" xfId="0" applyNumberFormat="1" applyFont="1" applyFill="1" applyBorder="1" applyAlignment="1">
      <alignment horizontal="center" vertical="center"/>
    </xf>
    <xf numFmtId="10" fontId="18" fillId="7" borderId="13" xfId="5" applyNumberFormat="1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 wrapText="1"/>
    </xf>
    <xf numFmtId="10" fontId="18" fillId="10" borderId="3" xfId="5" applyNumberFormat="1" applyFont="1" applyFill="1" applyBorder="1" applyAlignment="1">
      <alignment horizontal="center" vertical="center" wrapText="1"/>
    </xf>
    <xf numFmtId="10" fontId="18" fillId="10" borderId="13" xfId="5" applyNumberFormat="1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65" fontId="21" fillId="9" borderId="3" xfId="0" applyNumberFormat="1" applyFont="1" applyFill="1" applyBorder="1" applyAlignment="1">
      <alignment horizontal="center" vertical="center" wrapText="1"/>
    </xf>
    <xf numFmtId="165" fontId="21" fillId="9" borderId="3" xfId="0" applyNumberFormat="1" applyFont="1" applyFill="1" applyBorder="1" applyAlignment="1">
      <alignment horizontal="center" vertical="center"/>
    </xf>
    <xf numFmtId="165" fontId="21" fillId="9" borderId="13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4" fontId="23" fillId="0" borderId="0" xfId="0" applyNumberFormat="1" applyFont="1" applyAlignment="1">
      <alignment horizontal="left"/>
    </xf>
    <xf numFmtId="20" fontId="23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6" fillId="0" borderId="0" xfId="2" applyFont="1" applyFill="1"/>
    <xf numFmtId="0" fontId="6" fillId="0" borderId="0" xfId="4" applyFont="1" applyFill="1" applyAlignment="1">
      <alignment horizontal="center"/>
    </xf>
    <xf numFmtId="49" fontId="23" fillId="0" borderId="0" xfId="0" applyNumberFormat="1" applyFont="1" applyAlignment="1">
      <alignment horizontal="left"/>
    </xf>
    <xf numFmtId="165" fontId="23" fillId="0" borderId="0" xfId="0" applyNumberFormat="1" applyFont="1" applyAlignment="1">
      <alignment horizontal="left"/>
    </xf>
    <xf numFmtId="0" fontId="23" fillId="0" borderId="0" xfId="0" applyFont="1"/>
    <xf numFmtId="14" fontId="13" fillId="0" borderId="0" xfId="0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14" fontId="23" fillId="0" borderId="0" xfId="0" applyNumberFormat="1" applyFont="1" applyFill="1" applyAlignment="1">
      <alignment horizontal="left"/>
    </xf>
    <xf numFmtId="20" fontId="23" fillId="0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165" fontId="23" fillId="0" borderId="0" xfId="0" applyNumberFormat="1" applyFont="1" applyFill="1" applyAlignment="1">
      <alignment horizontal="left"/>
    </xf>
    <xf numFmtId="0" fontId="23" fillId="0" borderId="0" xfId="0" applyFont="1" applyFill="1"/>
    <xf numFmtId="0" fontId="10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13" fillId="0" borderId="10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7" fillId="0" borderId="0" xfId="0" applyFont="1" applyFill="1"/>
    <xf numFmtId="0" fontId="17" fillId="0" borderId="0" xfId="0" applyFont="1" applyFill="1" applyAlignment="1">
      <alignment vertical="center"/>
    </xf>
    <xf numFmtId="2" fontId="25" fillId="0" borderId="3" xfId="0" applyNumberFormat="1" applyFont="1" applyBorder="1" applyAlignment="1">
      <alignment horizontal="center" vertical="center"/>
    </xf>
    <xf numFmtId="2" fontId="25" fillId="0" borderId="13" xfId="0" applyNumberFormat="1" applyFont="1" applyBorder="1" applyAlignment="1">
      <alignment horizontal="center" vertical="center"/>
    </xf>
    <xf numFmtId="0" fontId="0" fillId="0" borderId="0" xfId="0"/>
    <xf numFmtId="0" fontId="0" fillId="7" borderId="0" xfId="0" applyFill="1"/>
    <xf numFmtId="164" fontId="17" fillId="0" borderId="3" xfId="0" applyNumberFormat="1" applyFont="1" applyBorder="1" applyAlignment="1">
      <alignment horizontal="right" vertical="center"/>
    </xf>
    <xf numFmtId="0" fontId="17" fillId="0" borderId="3" xfId="0" applyFont="1" applyBorder="1"/>
    <xf numFmtId="0" fontId="17" fillId="0" borderId="3" xfId="0" applyFont="1" applyBorder="1" applyAlignment="1">
      <alignment horizontal="right" vertical="center" wrapText="1"/>
    </xf>
    <xf numFmtId="0" fontId="0" fillId="7" borderId="0" xfId="0" applyFill="1" applyBorder="1"/>
    <xf numFmtId="2" fontId="0" fillId="7" borderId="0" xfId="0" applyNumberFormat="1" applyFill="1" applyBorder="1" applyAlignment="1">
      <alignment horizontal="center"/>
    </xf>
    <xf numFmtId="167" fontId="0" fillId="7" borderId="0" xfId="0" applyNumberFormat="1" applyFill="1" applyBorder="1" applyAlignment="1">
      <alignment horizontal="center"/>
    </xf>
    <xf numFmtId="0" fontId="29" fillId="11" borderId="0" xfId="0" applyFont="1" applyFill="1" applyAlignment="1">
      <alignment horizontal="left"/>
    </xf>
    <xf numFmtId="10" fontId="0" fillId="7" borderId="0" xfId="0" applyNumberFormat="1" applyFill="1"/>
    <xf numFmtId="0" fontId="30" fillId="12" borderId="4" xfId="0" applyFont="1" applyFill="1" applyBorder="1"/>
    <xf numFmtId="0" fontId="30" fillId="12" borderId="5" xfId="0" applyFont="1" applyFill="1" applyBorder="1" applyAlignment="1">
      <alignment horizontal="center"/>
    </xf>
    <xf numFmtId="0" fontId="31" fillId="12" borderId="12" xfId="0" applyFont="1" applyFill="1" applyBorder="1" applyAlignment="1">
      <alignment horizontal="left"/>
    </xf>
    <xf numFmtId="0" fontId="30" fillId="12" borderId="6" xfId="0" applyFont="1" applyFill="1" applyBorder="1"/>
    <xf numFmtId="0" fontId="32" fillId="12" borderId="3" xfId="0" applyFont="1" applyFill="1" applyBorder="1" applyAlignment="1">
      <alignment horizontal="center" vertical="center" wrapText="1"/>
    </xf>
    <xf numFmtId="164" fontId="30" fillId="12" borderId="13" xfId="0" applyNumberFormat="1" applyFont="1" applyFill="1" applyBorder="1" applyAlignment="1">
      <alignment horizontal="right" vertical="center"/>
    </xf>
    <xf numFmtId="0" fontId="30" fillId="12" borderId="3" xfId="0" applyFont="1" applyFill="1" applyBorder="1" applyAlignment="1">
      <alignment horizontal="center" vertical="center" wrapText="1"/>
    </xf>
    <xf numFmtId="0" fontId="30" fillId="12" borderId="13" xfId="0" applyFont="1" applyFill="1" applyBorder="1"/>
    <xf numFmtId="0" fontId="30" fillId="12" borderId="13" xfId="0" applyFont="1" applyFill="1" applyBorder="1" applyAlignment="1">
      <alignment horizontal="right" vertical="center" wrapText="1"/>
    </xf>
    <xf numFmtId="0" fontId="30" fillId="12" borderId="7" xfId="0" applyFont="1" applyFill="1" applyBorder="1"/>
    <xf numFmtId="0" fontId="30" fillId="12" borderId="8" xfId="0" applyFont="1" applyFill="1" applyBorder="1" applyAlignment="1">
      <alignment horizontal="center" vertical="center" wrapText="1"/>
    </xf>
    <xf numFmtId="164" fontId="30" fillId="12" borderId="14" xfId="0" applyNumberFormat="1" applyFont="1" applyFill="1" applyBorder="1" applyAlignment="1">
      <alignment horizontal="right" vertical="center" wrapText="1"/>
    </xf>
    <xf numFmtId="2" fontId="0" fillId="7" borderId="3" xfId="0" applyNumberFormat="1" applyFill="1" applyBorder="1" applyAlignment="1">
      <alignment horizontal="center" vertical="center" wrapText="1"/>
    </xf>
    <xf numFmtId="2" fontId="0" fillId="7" borderId="3" xfId="0" applyNumberFormat="1" applyFill="1" applyBorder="1" applyAlignment="1">
      <alignment horizontal="center" vertical="center"/>
    </xf>
    <xf numFmtId="2" fontId="0" fillId="7" borderId="13" xfId="0" applyNumberFormat="1" applyFill="1" applyBorder="1" applyAlignment="1">
      <alignment horizontal="center" vertical="center"/>
    </xf>
    <xf numFmtId="9" fontId="0" fillId="7" borderId="3" xfId="5" applyFont="1" applyFill="1" applyBorder="1" applyAlignment="1">
      <alignment horizontal="center" vertical="center" wrapText="1"/>
    </xf>
    <xf numFmtId="9" fontId="0" fillId="7" borderId="3" xfId="5" applyFont="1" applyFill="1" applyBorder="1" applyAlignment="1">
      <alignment horizontal="center" vertical="center"/>
    </xf>
    <xf numFmtId="9" fontId="0" fillId="7" borderId="13" xfId="5" applyFont="1" applyFill="1" applyBorder="1" applyAlignment="1">
      <alignment horizontal="center" vertical="center"/>
    </xf>
    <xf numFmtId="166" fontId="0" fillId="7" borderId="3" xfId="0" applyNumberFormat="1" applyFill="1" applyBorder="1" applyAlignment="1">
      <alignment horizontal="center" vertical="center" wrapText="1"/>
    </xf>
    <xf numFmtId="166" fontId="0" fillId="7" borderId="3" xfId="0" applyNumberFormat="1" applyFill="1" applyBorder="1" applyAlignment="1">
      <alignment horizontal="center" vertical="center"/>
    </xf>
    <xf numFmtId="166" fontId="0" fillId="7" borderId="13" xfId="0" applyNumberFormat="1" applyFill="1" applyBorder="1" applyAlignment="1">
      <alignment horizontal="center" vertical="center"/>
    </xf>
    <xf numFmtId="166" fontId="0" fillId="7" borderId="13" xfId="0" applyNumberFormat="1" applyFill="1" applyBorder="1" applyAlignment="1">
      <alignment horizontal="center" vertical="center" wrapText="1"/>
    </xf>
    <xf numFmtId="2" fontId="9" fillId="0" borderId="15" xfId="0" applyNumberFormat="1" applyFont="1" applyBorder="1" applyAlignment="1">
      <alignment horizontal="center" vertical="center" wrapText="1"/>
    </xf>
    <xf numFmtId="2" fontId="9" fillId="0" borderId="15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textRotation="90" wrapText="1"/>
    </xf>
    <xf numFmtId="164" fontId="9" fillId="6" borderId="15" xfId="0" applyNumberFormat="1" applyFont="1" applyFill="1" applyBorder="1" applyAlignment="1">
      <alignment horizontal="center" vertical="center" wrapText="1"/>
    </xf>
    <xf numFmtId="164" fontId="9" fillId="6" borderId="15" xfId="0" applyNumberFormat="1" applyFont="1" applyFill="1" applyBorder="1" applyAlignment="1">
      <alignment horizontal="center" vertical="center"/>
    </xf>
    <xf numFmtId="164" fontId="9" fillId="6" borderId="16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19" fillId="10" borderId="8" xfId="0" applyNumberFormat="1" applyFont="1" applyFill="1" applyBorder="1" applyAlignment="1">
      <alignment horizontal="center" vertical="center" wrapText="1"/>
    </xf>
    <xf numFmtId="164" fontId="19" fillId="10" borderId="1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6">
    <cellStyle name="40% - Accent1" xfId="3" builtinId="31"/>
    <cellStyle name="60% - Accent1" xfId="4" builtinId="32"/>
    <cellStyle name="Accent1" xfId="2" builtinId="29"/>
    <cellStyle name="Heading 1" xfId="1" builtinId="16"/>
    <cellStyle name="Normal" xfId="0" builtinId="0"/>
    <cellStyle name="Percent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CH219</a:t>
            </a:r>
            <a:r>
              <a:rPr lang="en-US" baseline="0"/>
              <a:t> </a:t>
            </a:r>
            <a:r>
              <a:rPr lang="en-US"/>
              <a:t>Psuc  [Criterion</a:t>
            </a:r>
            <a:r>
              <a:rPr lang="en-US" baseline="0"/>
              <a:t> No.1 Passed]</a:t>
            </a:r>
            <a:endParaRPr lang="en-US"/>
          </a:p>
        </c:rich>
      </c:tx>
      <c:layout>
        <c:manualLayout>
          <c:xMode val="edge"/>
          <c:yMode val="edge"/>
          <c:x val="0.33915636051342174"/>
          <c:y val="1.2113063477449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996563883628751"/>
          <c:y val="9.9938399475197268E-2"/>
          <c:w val="0.77753362434260953"/>
          <c:h val="0.68255464983176517"/>
        </c:manualLayout>
      </c:layout>
      <c:scatterChart>
        <c:scatterStyle val="lineMarker"/>
        <c:varyColors val="0"/>
        <c:ser>
          <c:idx val="0"/>
          <c:order val="0"/>
          <c:tx>
            <c:strRef>
              <c:f>Pccr!$G$4</c:f>
              <c:strCache>
                <c:ptCount val="1"/>
                <c:pt idx="0">
                  <c:v>Chamber 219 Pred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5"/>
            <c:spPr>
              <a:solidFill>
                <a:schemeClr val="tx2">
                  <a:lumMod val="40000"/>
                  <a:lumOff val="60000"/>
                </a:schemeClr>
              </a:solidFill>
              <a:ln w="31750">
                <a:solidFill>
                  <a:schemeClr val="tx2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788509463641495"/>
                  <c:y val="3.7135069269242552E-2"/>
                </c:manualLayout>
              </c:layout>
              <c:numFmt formatCode="#,##0.00000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</c:spPr>
              <c:txPr>
                <a:bodyPr/>
                <a:lstStyle/>
                <a:p>
                  <a:pPr>
                    <a:defRPr sz="2400"/>
                  </a:pPr>
                  <a:endParaRPr lang="en-US"/>
                </a:p>
              </c:txPr>
            </c:trendlineLbl>
          </c:trendline>
          <c:xVal>
            <c:numRef>
              <c:f>Pccr!$G$30:$M$30</c:f>
              <c:numCache>
                <c:formatCode>0.000000</c:formatCode>
                <c:ptCount val="7"/>
                <c:pt idx="0">
                  <c:v>1.0009999999999999</c:v>
                </c:pt>
                <c:pt idx="1">
                  <c:v>1.163</c:v>
                </c:pt>
                <c:pt idx="2">
                  <c:v>1.2798500000000002</c:v>
                </c:pt>
                <c:pt idx="3">
                  <c:v>1.5250999999999997</c:v>
                </c:pt>
                <c:pt idx="4">
                  <c:v>2.0045000000000002</c:v>
                </c:pt>
                <c:pt idx="5">
                  <c:v>1.8056000000000005</c:v>
                </c:pt>
                <c:pt idx="6">
                  <c:v>2.5697000000000001</c:v>
                </c:pt>
              </c:numCache>
            </c:numRef>
          </c:xVal>
          <c:yVal>
            <c:numRef>
              <c:f>Pccr!$G$31:$M$31</c:f>
              <c:numCache>
                <c:formatCode>0.0</c:formatCode>
                <c:ptCount val="7"/>
                <c:pt idx="0">
                  <c:v>0</c:v>
                </c:pt>
                <c:pt idx="1">
                  <c:v>279.5</c:v>
                </c:pt>
                <c:pt idx="2">
                  <c:v>480.5</c:v>
                </c:pt>
                <c:pt idx="3">
                  <c:v>899</c:v>
                </c:pt>
                <c:pt idx="4">
                  <c:v>1726.5</c:v>
                </c:pt>
                <c:pt idx="5">
                  <c:v>1387.5</c:v>
                </c:pt>
                <c:pt idx="6">
                  <c:v>2705.5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00960"/>
        <c:axId val="30202880"/>
      </c:scatterChart>
      <c:valAx>
        <c:axId val="30200960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50000"/>
                </a:sys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Voltage [mV]</a:t>
                </a:r>
              </a:p>
            </c:rich>
          </c:tx>
          <c:layout>
            <c:manualLayout>
              <c:xMode val="edge"/>
              <c:yMode val="edge"/>
              <c:x val="0.44149743492860305"/>
              <c:y val="0.90574272478234985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0" vert="horz"/>
          <a:lstStyle/>
          <a:p>
            <a:pPr>
              <a:defRPr sz="2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0202880"/>
        <c:crossesAt val="-100"/>
        <c:crossBetween val="midCat"/>
      </c:valAx>
      <c:valAx>
        <c:axId val="302028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  <a:prstDash val="lg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Pressure [kPa]</a:t>
                </a:r>
              </a:p>
            </c:rich>
          </c:tx>
          <c:layout>
            <c:manualLayout>
              <c:xMode val="edge"/>
              <c:yMode val="edge"/>
              <c:x val="2.5837552645104251E-2"/>
              <c:y val="0.3146966217802378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30200960"/>
        <c:crossesAt val="-5"/>
        <c:crossBetween val="midCat"/>
      </c:valAx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8992" cy="84342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1"/>
  <sheetViews>
    <sheetView tabSelected="1" showWhiteSpace="0" topLeftCell="C22" zoomScale="55" zoomScaleNormal="55" zoomScalePageLayoutView="70" workbookViewId="0">
      <selection activeCell="C34" sqref="C34"/>
    </sheetView>
  </sheetViews>
  <sheetFormatPr defaultRowHeight="15" x14ac:dyDescent="0.25"/>
  <cols>
    <col min="1" max="1" width="55" bestFit="1" customWidth="1"/>
    <col min="2" max="2" width="22.85546875" style="10" bestFit="1" customWidth="1"/>
    <col min="3" max="3" width="57.5703125" bestFit="1" customWidth="1"/>
    <col min="4" max="4" width="4.42578125" style="8" customWidth="1"/>
    <col min="5" max="5" width="41.7109375" style="43" bestFit="1" customWidth="1"/>
    <col min="6" max="6" width="37" style="43" customWidth="1"/>
    <col min="7" max="7" width="22.7109375" style="68" bestFit="1" customWidth="1"/>
    <col min="8" max="8" width="17.28515625" style="69" bestFit="1" customWidth="1"/>
    <col min="9" max="9" width="18.28515625" style="69" bestFit="1" customWidth="1"/>
    <col min="10" max="11" width="17.5703125" style="69" bestFit="1" customWidth="1"/>
    <col min="12" max="12" width="18.85546875" style="69" bestFit="1" customWidth="1"/>
    <col min="13" max="13" width="18.5703125" style="69" bestFit="1" customWidth="1"/>
    <col min="14" max="14" width="11.140625" bestFit="1" customWidth="1"/>
    <col min="17" max="17" width="12.140625" bestFit="1" customWidth="1"/>
    <col min="18" max="18" width="9.28515625" bestFit="1" customWidth="1"/>
  </cols>
  <sheetData>
    <row r="1" spans="1:22" ht="31.5" x14ac:dyDescent="0.25">
      <c r="A1" s="18" t="s">
        <v>0</v>
      </c>
      <c r="B1" s="18"/>
      <c r="C1" s="18"/>
      <c r="D1" s="119"/>
      <c r="E1" s="21"/>
      <c r="F1" s="20"/>
      <c r="G1" s="20"/>
      <c r="H1" s="18"/>
      <c r="I1" s="18"/>
      <c r="J1" s="18"/>
      <c r="K1" s="18"/>
      <c r="L1" s="18"/>
      <c r="M1" s="18"/>
      <c r="N1" s="18"/>
      <c r="O1" s="77"/>
      <c r="P1" s="77"/>
      <c r="Q1" s="77"/>
      <c r="R1" s="77"/>
      <c r="S1" s="77"/>
      <c r="T1" s="77"/>
      <c r="U1" s="77"/>
    </row>
    <row r="2" spans="1:22" ht="15.75" x14ac:dyDescent="0.25">
      <c r="A2" s="1" t="s">
        <v>62</v>
      </c>
      <c r="B2" s="2"/>
      <c r="C2" s="110">
        <v>42066</v>
      </c>
      <c r="D2" s="120"/>
      <c r="F2" s="82" t="s">
        <v>1</v>
      </c>
      <c r="G2" s="81">
        <f>C5</f>
        <v>100.812</v>
      </c>
      <c r="H2" s="45" t="s">
        <v>2</v>
      </c>
      <c r="I2" s="45"/>
      <c r="J2" s="45"/>
      <c r="K2" s="45"/>
      <c r="L2" s="45"/>
      <c r="M2" s="46"/>
      <c r="N2" s="78"/>
      <c r="O2" s="77"/>
      <c r="P2" s="77"/>
      <c r="Q2" s="77"/>
      <c r="R2" s="77"/>
      <c r="S2" s="77"/>
      <c r="T2" s="77"/>
      <c r="U2" s="77"/>
    </row>
    <row r="3" spans="1:22" ht="15.75" x14ac:dyDescent="0.25">
      <c r="A3" s="1" t="s">
        <v>3</v>
      </c>
      <c r="B3" s="2"/>
      <c r="C3" s="111" t="s">
        <v>59</v>
      </c>
      <c r="D3" s="121"/>
      <c r="F3" s="82"/>
      <c r="G3" s="81"/>
      <c r="H3" s="45"/>
      <c r="I3" s="45"/>
      <c r="J3" s="45"/>
      <c r="K3" s="45"/>
      <c r="L3" s="45"/>
      <c r="M3" s="46"/>
      <c r="N3" s="78"/>
      <c r="O3" s="77"/>
      <c r="P3" s="77"/>
      <c r="Q3" s="77"/>
      <c r="R3" s="77"/>
      <c r="S3" s="77"/>
      <c r="T3" s="77"/>
      <c r="U3" s="77"/>
    </row>
    <row r="4" spans="1:22" ht="16.5" thickBot="1" x14ac:dyDescent="0.3">
      <c r="A4" s="1" t="s">
        <v>4</v>
      </c>
      <c r="B4" s="2" t="s">
        <v>5</v>
      </c>
      <c r="C4" s="112">
        <v>26</v>
      </c>
      <c r="D4" s="122"/>
      <c r="F4" s="47"/>
      <c r="G4" s="48" t="str">
        <f>A9&amp;" "&amp;C9&amp;" "&amp;C18</f>
        <v>Chamber 219 Pred</v>
      </c>
      <c r="H4" s="49"/>
      <c r="I4" s="49"/>
      <c r="J4" s="49"/>
      <c r="K4" s="49"/>
      <c r="L4" s="49"/>
      <c r="M4" s="50"/>
      <c r="N4" s="78"/>
      <c r="O4" s="77"/>
      <c r="P4" s="77"/>
      <c r="Q4" s="77"/>
      <c r="R4" s="77"/>
      <c r="S4" s="77"/>
      <c r="T4" s="77"/>
      <c r="U4" s="77"/>
    </row>
    <row r="5" spans="1:22" ht="15.75" x14ac:dyDescent="0.25">
      <c r="A5" s="1" t="s">
        <v>7</v>
      </c>
      <c r="B5" s="2" t="s">
        <v>2</v>
      </c>
      <c r="C5" s="112">
        <v>100.812</v>
      </c>
      <c r="D5" s="122"/>
      <c r="F5" s="174"/>
      <c r="G5" s="175" t="s">
        <v>6</v>
      </c>
      <c r="H5" s="176"/>
      <c r="I5" s="176"/>
      <c r="J5" s="176"/>
      <c r="K5" s="176"/>
      <c r="L5" s="176"/>
      <c r="M5" s="177"/>
      <c r="N5" s="4"/>
      <c r="S5" s="77"/>
      <c r="T5" s="77"/>
      <c r="U5" s="77"/>
    </row>
    <row r="6" spans="1:22" ht="15.75" customHeight="1" x14ac:dyDescent="0.25">
      <c r="A6" s="1" t="s">
        <v>8</v>
      </c>
      <c r="B6" s="2"/>
      <c r="C6" s="112" t="s">
        <v>73</v>
      </c>
      <c r="D6" s="122"/>
      <c r="F6" s="178">
        <v>1</v>
      </c>
      <c r="G6" s="138">
        <v>1.0009999999999999</v>
      </c>
      <c r="H6" s="138">
        <v>1.163</v>
      </c>
      <c r="I6" s="138">
        <v>1.28</v>
      </c>
      <c r="J6" s="138">
        <v>1.526</v>
      </c>
      <c r="K6" s="138">
        <v>2.0059999999999998</v>
      </c>
      <c r="L6" s="138">
        <v>1.8069999999999999</v>
      </c>
      <c r="M6" s="138">
        <v>2.5720000000000001</v>
      </c>
      <c r="N6" s="76"/>
      <c r="S6" s="76"/>
      <c r="T6" s="76"/>
      <c r="U6" s="76"/>
      <c r="V6" s="77"/>
    </row>
    <row r="7" spans="1:22" ht="15.75" x14ac:dyDescent="0.25">
      <c r="A7" s="1" t="s">
        <v>9</v>
      </c>
      <c r="B7" s="2"/>
      <c r="C7" s="112" t="s">
        <v>10</v>
      </c>
      <c r="D7" s="122"/>
      <c r="F7" s="179">
        <v>2</v>
      </c>
      <c r="G7" s="138">
        <v>1.0009999999999999</v>
      </c>
      <c r="H7" s="138">
        <v>1.163</v>
      </c>
      <c r="I7" s="138">
        <v>1.28</v>
      </c>
      <c r="J7" s="138">
        <v>1.526</v>
      </c>
      <c r="K7" s="138">
        <v>2.0059999999999998</v>
      </c>
      <c r="L7" s="138">
        <v>1.8069999999999999</v>
      </c>
      <c r="M7" s="138">
        <v>2.5720000000000001</v>
      </c>
      <c r="N7" s="76"/>
      <c r="S7" s="76"/>
      <c r="T7" s="76"/>
      <c r="U7" s="77"/>
    </row>
    <row r="8" spans="1:22" ht="15.75" x14ac:dyDescent="0.25">
      <c r="A8" s="1" t="s">
        <v>11</v>
      </c>
      <c r="B8" s="2"/>
      <c r="C8" s="112">
        <v>2</v>
      </c>
      <c r="D8" s="122"/>
      <c r="F8" s="178">
        <v>3</v>
      </c>
      <c r="G8" s="138">
        <v>1.0009999999999999</v>
      </c>
      <c r="H8" s="138">
        <v>1.163</v>
      </c>
      <c r="I8" s="138">
        <v>1.28</v>
      </c>
      <c r="J8" s="138">
        <v>1.526</v>
      </c>
      <c r="K8" s="138">
        <v>2.0059999999999998</v>
      </c>
      <c r="L8" s="138">
        <v>1.806</v>
      </c>
      <c r="M8" s="138">
        <v>2.5710000000000002</v>
      </c>
      <c r="N8" s="76"/>
      <c r="S8" s="76"/>
      <c r="T8" s="76"/>
      <c r="U8" s="77"/>
    </row>
    <row r="9" spans="1:22" ht="15.75" x14ac:dyDescent="0.25">
      <c r="A9" s="1" t="s">
        <v>12</v>
      </c>
      <c r="B9" s="2"/>
      <c r="C9" s="112">
        <v>219</v>
      </c>
      <c r="D9" s="122"/>
      <c r="F9" s="179">
        <v>4</v>
      </c>
      <c r="G9" s="138">
        <v>1.0009999999999999</v>
      </c>
      <c r="H9" s="138">
        <v>1.163</v>
      </c>
      <c r="I9" s="138">
        <v>1.28</v>
      </c>
      <c r="J9" s="138">
        <v>1.526</v>
      </c>
      <c r="K9" s="138">
        <v>2.0059999999999998</v>
      </c>
      <c r="L9" s="138">
        <v>1.806</v>
      </c>
      <c r="M9" s="138">
        <v>2.5710000000000002</v>
      </c>
      <c r="N9" s="76"/>
      <c r="S9" s="76"/>
      <c r="T9" s="76"/>
      <c r="U9" s="77"/>
    </row>
    <row r="10" spans="1:22" ht="15.75" x14ac:dyDescent="0.25">
      <c r="A10" s="1" t="s">
        <v>15</v>
      </c>
      <c r="B10" s="2"/>
      <c r="C10" s="112" t="s">
        <v>101</v>
      </c>
      <c r="D10" s="122"/>
      <c r="F10" s="178">
        <v>5</v>
      </c>
      <c r="G10" s="138">
        <v>1.0009999999999999</v>
      </c>
      <c r="H10" s="138">
        <v>1.163</v>
      </c>
      <c r="I10" s="138">
        <v>1.28</v>
      </c>
      <c r="J10" s="138">
        <v>1.526</v>
      </c>
      <c r="K10" s="138">
        <v>2.0049999999999999</v>
      </c>
      <c r="L10" s="138">
        <v>1.806</v>
      </c>
      <c r="M10" s="138">
        <v>2.5710000000000002</v>
      </c>
      <c r="N10" s="76"/>
      <c r="O10" s="76"/>
      <c r="P10" s="76"/>
      <c r="Q10" s="76"/>
      <c r="R10" s="76"/>
      <c r="S10" s="76"/>
      <c r="T10" s="76"/>
      <c r="U10" s="77"/>
    </row>
    <row r="11" spans="1:22" ht="15.75" x14ac:dyDescent="0.25">
      <c r="A11" s="1" t="s">
        <v>16</v>
      </c>
      <c r="B11" s="2"/>
      <c r="C11" s="112" t="s">
        <v>74</v>
      </c>
      <c r="D11" s="122"/>
      <c r="F11" s="179">
        <v>6</v>
      </c>
      <c r="G11" s="138">
        <v>1.0009999999999999</v>
      </c>
      <c r="H11" s="138">
        <v>1.163</v>
      </c>
      <c r="I11" s="138">
        <v>1.28</v>
      </c>
      <c r="J11" s="138">
        <v>1.5249999999999999</v>
      </c>
      <c r="K11" s="138">
        <v>2.0049999999999999</v>
      </c>
      <c r="L11" s="138">
        <v>1.806</v>
      </c>
      <c r="M11" s="138">
        <v>2.5710000000000002</v>
      </c>
      <c r="N11" s="76"/>
      <c r="O11" s="76"/>
      <c r="P11" s="76"/>
      <c r="Q11" s="76"/>
      <c r="R11" s="76"/>
      <c r="S11" s="76"/>
      <c r="T11" s="76"/>
      <c r="U11" s="77"/>
    </row>
    <row r="12" spans="1:22" ht="15.75" x14ac:dyDescent="0.25">
      <c r="A12" s="113"/>
      <c r="B12" s="114"/>
      <c r="C12" s="108"/>
      <c r="D12" s="123"/>
      <c r="F12" s="178">
        <v>7</v>
      </c>
      <c r="G12" s="138">
        <v>1.0009999999999999</v>
      </c>
      <c r="H12" s="138">
        <v>1.163</v>
      </c>
      <c r="I12" s="138">
        <v>1.28</v>
      </c>
      <c r="J12" s="138">
        <v>1.5249999999999999</v>
      </c>
      <c r="K12" s="138">
        <v>2.0049999999999999</v>
      </c>
      <c r="L12" s="138">
        <v>1.806</v>
      </c>
      <c r="M12" s="138">
        <v>2.5710000000000002</v>
      </c>
      <c r="N12" s="76"/>
      <c r="O12" s="76"/>
      <c r="P12" s="76"/>
      <c r="Q12" s="76"/>
      <c r="R12" s="76"/>
      <c r="S12" s="76"/>
      <c r="T12" s="76"/>
      <c r="U12" s="77"/>
    </row>
    <row r="13" spans="1:22" ht="15.75" x14ac:dyDescent="0.25">
      <c r="A13" s="1" t="s">
        <v>36</v>
      </c>
      <c r="B13" s="2"/>
      <c r="C13" s="15" t="s">
        <v>72</v>
      </c>
      <c r="D13" s="124"/>
      <c r="E13" s="44"/>
      <c r="F13" s="179">
        <v>8</v>
      </c>
      <c r="G13" s="138">
        <v>1.0009999999999999</v>
      </c>
      <c r="H13" s="138">
        <v>1.163</v>
      </c>
      <c r="I13" s="138">
        <v>1.28</v>
      </c>
      <c r="J13" s="138">
        <v>1.5249999999999999</v>
      </c>
      <c r="K13" s="138">
        <v>2.0049999999999999</v>
      </c>
      <c r="L13" s="138">
        <v>1.806</v>
      </c>
      <c r="M13" s="138">
        <v>2.57</v>
      </c>
      <c r="N13" s="76"/>
      <c r="O13" s="76"/>
      <c r="P13" s="76"/>
      <c r="Q13" s="76"/>
      <c r="R13" s="76"/>
      <c r="S13" s="76"/>
      <c r="T13" s="76"/>
      <c r="U13" s="77"/>
    </row>
    <row r="14" spans="1:22" ht="15.75" x14ac:dyDescent="0.25">
      <c r="A14" s="1" t="s">
        <v>13</v>
      </c>
      <c r="B14" s="2"/>
      <c r="C14" s="16">
        <v>42048</v>
      </c>
      <c r="D14" s="125"/>
      <c r="E14" s="44"/>
      <c r="F14" s="178">
        <v>9</v>
      </c>
      <c r="G14" s="138">
        <v>1.0009999999999999</v>
      </c>
      <c r="H14" s="138">
        <v>1.163</v>
      </c>
      <c r="I14" s="138">
        <v>1.28</v>
      </c>
      <c r="J14" s="138">
        <v>1.5249999999999999</v>
      </c>
      <c r="K14" s="138">
        <v>2.0049999999999999</v>
      </c>
      <c r="L14" s="138">
        <v>1.806</v>
      </c>
      <c r="M14" s="138">
        <v>2.57</v>
      </c>
      <c r="N14" s="76"/>
      <c r="O14" s="76"/>
      <c r="P14" s="76"/>
      <c r="Q14" s="76"/>
      <c r="R14" s="76"/>
      <c r="S14" s="76"/>
      <c r="T14" s="76"/>
      <c r="U14" s="77"/>
    </row>
    <row r="15" spans="1:22" ht="15.75" x14ac:dyDescent="0.25">
      <c r="A15" s="1" t="s">
        <v>14</v>
      </c>
      <c r="B15" s="2"/>
      <c r="C15" s="16">
        <v>42429</v>
      </c>
      <c r="D15" s="125"/>
      <c r="E15" s="44"/>
      <c r="F15" s="179">
        <v>10</v>
      </c>
      <c r="G15" s="138">
        <v>1.0009999999999999</v>
      </c>
      <c r="H15" s="138">
        <v>1.163</v>
      </c>
      <c r="I15" s="138">
        <v>1.28</v>
      </c>
      <c r="J15" s="138">
        <v>1.5249999999999999</v>
      </c>
      <c r="K15" s="138">
        <v>2.0049999999999999</v>
      </c>
      <c r="L15" s="138">
        <v>1.806</v>
      </c>
      <c r="M15" s="138">
        <v>2.57</v>
      </c>
      <c r="N15" s="76"/>
      <c r="O15" s="76"/>
      <c r="P15" s="76"/>
      <c r="Q15" s="76"/>
      <c r="R15" s="76"/>
      <c r="S15" s="76"/>
      <c r="T15" s="76"/>
      <c r="U15" s="77"/>
    </row>
    <row r="16" spans="1:22" ht="15.75" x14ac:dyDescent="0.25">
      <c r="C16" s="138"/>
      <c r="E16" s="44"/>
      <c r="F16" s="178">
        <v>11</v>
      </c>
      <c r="G16" s="138">
        <v>1.0009999999999999</v>
      </c>
      <c r="H16" s="138">
        <v>1.163</v>
      </c>
      <c r="I16" s="138">
        <v>1.28</v>
      </c>
      <c r="J16" s="138">
        <v>1.5249999999999999</v>
      </c>
      <c r="K16" s="138">
        <v>2.004</v>
      </c>
      <c r="L16" s="138">
        <v>1.806</v>
      </c>
      <c r="M16" s="138">
        <v>2.57</v>
      </c>
      <c r="N16" s="76"/>
      <c r="O16" s="76"/>
      <c r="P16" s="76"/>
      <c r="Q16" s="76"/>
      <c r="R16" s="76"/>
      <c r="S16" s="76"/>
      <c r="T16" s="76"/>
      <c r="U16" s="77"/>
    </row>
    <row r="17" spans="1:21" ht="15.75" x14ac:dyDescent="0.25">
      <c r="A17" s="1" t="s">
        <v>63</v>
      </c>
      <c r="B17" s="2"/>
      <c r="C17" s="112"/>
      <c r="D17" s="122"/>
      <c r="E17" s="44"/>
      <c r="F17" s="179">
        <v>12</v>
      </c>
      <c r="G17" s="138">
        <v>1.0009999999999999</v>
      </c>
      <c r="H17" s="138">
        <v>1.163</v>
      </c>
      <c r="I17" s="138">
        <v>1.28</v>
      </c>
      <c r="J17" s="138">
        <v>1.5249999999999999</v>
      </c>
      <c r="K17" s="138">
        <v>2.004</v>
      </c>
      <c r="L17" s="138">
        <v>1.8049999999999999</v>
      </c>
      <c r="M17" s="138">
        <v>2.569</v>
      </c>
      <c r="N17" s="76"/>
      <c r="O17" s="76"/>
      <c r="P17" s="76"/>
      <c r="Q17" s="76"/>
      <c r="R17" s="76"/>
      <c r="S17" s="76"/>
      <c r="T17" s="76"/>
      <c r="U17" s="77"/>
    </row>
    <row r="18" spans="1:21" ht="15.75" x14ac:dyDescent="0.25">
      <c r="A18" s="7" t="s">
        <v>18</v>
      </c>
      <c r="B18" s="2"/>
      <c r="C18" s="112" t="s">
        <v>102</v>
      </c>
      <c r="D18" s="122"/>
      <c r="E18" s="44"/>
      <c r="F18" s="178">
        <v>13</v>
      </c>
      <c r="G18" s="138">
        <v>1.0009999999999999</v>
      </c>
      <c r="H18" s="138">
        <v>1.163</v>
      </c>
      <c r="I18" s="138">
        <v>1.28</v>
      </c>
      <c r="J18" s="138">
        <v>1.5249999999999999</v>
      </c>
      <c r="K18" s="138">
        <v>2.004</v>
      </c>
      <c r="L18" s="138">
        <v>1.8049999999999999</v>
      </c>
      <c r="M18" s="138">
        <v>2.569</v>
      </c>
      <c r="N18" s="76"/>
      <c r="O18" s="76"/>
      <c r="P18" s="76"/>
      <c r="Q18" s="76"/>
      <c r="R18" s="76"/>
      <c r="S18" s="76"/>
      <c r="T18" s="76"/>
      <c r="U18" s="77"/>
    </row>
    <row r="19" spans="1:21" ht="15.75" x14ac:dyDescent="0.25">
      <c r="A19" s="7" t="s">
        <v>20</v>
      </c>
      <c r="B19" s="2"/>
      <c r="C19" s="112" t="s">
        <v>103</v>
      </c>
      <c r="D19" s="122"/>
      <c r="E19" s="44"/>
      <c r="F19" s="179">
        <v>14</v>
      </c>
      <c r="G19" s="138">
        <v>1.0009999999999999</v>
      </c>
      <c r="H19" s="138">
        <v>1.163</v>
      </c>
      <c r="I19" s="138">
        <v>1.28</v>
      </c>
      <c r="J19" s="138">
        <v>1.5249999999999999</v>
      </c>
      <c r="K19" s="138">
        <v>2.004</v>
      </c>
      <c r="L19" s="138">
        <v>1.8049999999999999</v>
      </c>
      <c r="M19" s="138">
        <v>2.569</v>
      </c>
      <c r="N19" s="76"/>
      <c r="O19" s="76"/>
      <c r="P19" s="76"/>
      <c r="Q19" s="76"/>
      <c r="R19" s="76"/>
      <c r="S19" s="76"/>
      <c r="T19" s="76"/>
      <c r="U19" s="77"/>
    </row>
    <row r="20" spans="1:21" ht="15.75" x14ac:dyDescent="0.25">
      <c r="A20" s="7" t="s">
        <v>21</v>
      </c>
      <c r="B20" s="2"/>
      <c r="C20" s="112" t="s">
        <v>104</v>
      </c>
      <c r="D20" s="122"/>
      <c r="E20" s="44"/>
      <c r="F20" s="178">
        <v>15</v>
      </c>
      <c r="G20" s="138">
        <v>1.0009999999999999</v>
      </c>
      <c r="H20" s="138">
        <v>1.163</v>
      </c>
      <c r="I20" s="138">
        <v>1.28</v>
      </c>
      <c r="J20" s="138">
        <v>1.5249999999999999</v>
      </c>
      <c r="K20" s="138">
        <v>2.004</v>
      </c>
      <c r="L20" s="138">
        <v>1.8049999999999999</v>
      </c>
      <c r="M20" s="138">
        <v>2.569</v>
      </c>
      <c r="N20" s="76"/>
      <c r="O20" s="76"/>
      <c r="P20" s="76"/>
      <c r="Q20" s="76"/>
      <c r="R20" s="76"/>
      <c r="S20" s="76"/>
      <c r="T20" s="76"/>
      <c r="U20" s="77"/>
    </row>
    <row r="21" spans="1:21" s="138" customFormat="1" ht="15.75" x14ac:dyDescent="0.25">
      <c r="A21" s="7" t="s">
        <v>81</v>
      </c>
      <c r="B21" s="2" t="s">
        <v>75</v>
      </c>
      <c r="C21" s="112">
        <v>0</v>
      </c>
      <c r="D21" s="122"/>
      <c r="E21" s="44"/>
      <c r="F21" s="179">
        <v>16</v>
      </c>
      <c r="G21" s="138">
        <v>1.0009999999999999</v>
      </c>
      <c r="H21" s="138">
        <v>1.163</v>
      </c>
      <c r="I21" s="138">
        <v>1.28</v>
      </c>
      <c r="J21" s="138">
        <v>1.5249999999999999</v>
      </c>
      <c r="K21" s="138">
        <v>2.004</v>
      </c>
      <c r="L21" s="138">
        <v>1.8049999999999999</v>
      </c>
      <c r="M21" s="138">
        <v>2.5680000000000001</v>
      </c>
      <c r="N21" s="76"/>
      <c r="O21" s="76"/>
      <c r="P21" s="76"/>
      <c r="Q21" s="76"/>
      <c r="R21" s="76"/>
      <c r="S21" s="76"/>
      <c r="T21" s="76"/>
      <c r="U21" s="77"/>
    </row>
    <row r="22" spans="1:21" ht="15.75" x14ac:dyDescent="0.25">
      <c r="A22" s="7" t="s">
        <v>82</v>
      </c>
      <c r="B22" s="2" t="s">
        <v>75</v>
      </c>
      <c r="C22" s="146">
        <v>1000</v>
      </c>
      <c r="D22" s="122"/>
      <c r="E22" s="44"/>
      <c r="F22" s="178">
        <v>17</v>
      </c>
      <c r="G22" s="138">
        <v>1.0009999999999999</v>
      </c>
      <c r="H22" s="138">
        <v>1.163</v>
      </c>
      <c r="I22" s="138">
        <v>1.2789999999999999</v>
      </c>
      <c r="J22" s="138">
        <v>1.5249999999999999</v>
      </c>
      <c r="K22" s="138">
        <v>2.0030000000000001</v>
      </c>
      <c r="L22" s="138">
        <v>1.8049999999999999</v>
      </c>
      <c r="M22" s="138">
        <v>2.5680000000000001</v>
      </c>
      <c r="N22" s="76"/>
      <c r="O22" s="76"/>
      <c r="P22" s="76"/>
      <c r="Q22" s="76"/>
      <c r="R22" s="76"/>
      <c r="S22" s="76"/>
      <c r="T22" s="76"/>
      <c r="U22" s="77"/>
    </row>
    <row r="23" spans="1:21" ht="15.75" x14ac:dyDescent="0.25">
      <c r="A23" s="7" t="s">
        <v>23</v>
      </c>
      <c r="B23" s="2"/>
      <c r="C23" s="112">
        <v>2184768</v>
      </c>
      <c r="D23" s="122"/>
      <c r="E23" s="44"/>
      <c r="F23" s="179">
        <v>18</v>
      </c>
      <c r="G23" s="138">
        <v>1.0009999999999999</v>
      </c>
      <c r="H23" s="138">
        <v>1.163</v>
      </c>
      <c r="I23" s="138">
        <v>1.28</v>
      </c>
      <c r="J23" s="138">
        <v>1.524</v>
      </c>
      <c r="K23" s="138">
        <v>2.0030000000000001</v>
      </c>
      <c r="L23" s="138">
        <v>1.8049999999999999</v>
      </c>
      <c r="M23" s="138">
        <v>2.5680000000000001</v>
      </c>
      <c r="N23" s="76"/>
      <c r="O23" s="76"/>
      <c r="P23" s="76"/>
      <c r="Q23" s="76"/>
      <c r="R23" s="76"/>
      <c r="S23" s="76"/>
      <c r="T23" s="76"/>
      <c r="U23" s="77"/>
    </row>
    <row r="24" spans="1:21" ht="15.75" x14ac:dyDescent="0.25">
      <c r="A24" s="7" t="s">
        <v>24</v>
      </c>
      <c r="B24" s="2" t="s">
        <v>25</v>
      </c>
      <c r="C24" s="115" t="s">
        <v>105</v>
      </c>
      <c r="D24" s="122"/>
      <c r="E24" s="44"/>
      <c r="F24" s="178">
        <v>19</v>
      </c>
      <c r="G24" s="138">
        <v>1.0009999999999999</v>
      </c>
      <c r="H24" s="138">
        <v>1.163</v>
      </c>
      <c r="I24" s="138">
        <v>1.2789999999999999</v>
      </c>
      <c r="J24" s="138">
        <v>1.524</v>
      </c>
      <c r="K24" s="138">
        <v>2.0030000000000001</v>
      </c>
      <c r="L24" s="138">
        <v>1.8049999999999999</v>
      </c>
      <c r="M24" s="138">
        <v>2.5680000000000001</v>
      </c>
      <c r="N24" s="76"/>
      <c r="O24" s="76"/>
      <c r="P24" s="76"/>
      <c r="Q24" s="76"/>
      <c r="R24" s="76"/>
      <c r="S24" s="76"/>
      <c r="T24" s="76"/>
      <c r="U24" s="77"/>
    </row>
    <row r="25" spans="1:21" ht="16.5" thickBot="1" x14ac:dyDescent="0.3">
      <c r="A25" s="7" t="s">
        <v>26</v>
      </c>
      <c r="B25" s="2" t="s">
        <v>25</v>
      </c>
      <c r="C25" s="115" t="s">
        <v>106</v>
      </c>
      <c r="D25" s="126"/>
      <c r="E25" s="44"/>
      <c r="F25" s="180">
        <v>20</v>
      </c>
      <c r="G25" s="138">
        <v>1.0009999999999999</v>
      </c>
      <c r="H25" s="138">
        <v>1.163</v>
      </c>
      <c r="I25" s="138">
        <v>1.2789999999999999</v>
      </c>
      <c r="J25" s="138">
        <v>1.524</v>
      </c>
      <c r="K25" s="138">
        <v>2.0030000000000001</v>
      </c>
      <c r="L25" s="138">
        <v>1.804</v>
      </c>
      <c r="M25" s="138">
        <v>2.5670000000000002</v>
      </c>
      <c r="N25" s="76"/>
      <c r="O25" s="76"/>
      <c r="P25" s="76"/>
      <c r="Q25" s="76"/>
      <c r="R25" s="76"/>
      <c r="S25" s="76"/>
      <c r="T25" s="76"/>
      <c r="U25" s="77"/>
    </row>
    <row r="26" spans="1:21" ht="15.75" x14ac:dyDescent="0.25">
      <c r="A26" s="7" t="s">
        <v>27</v>
      </c>
      <c r="B26" s="2"/>
      <c r="C26" s="112">
        <v>105335</v>
      </c>
      <c r="D26" s="122"/>
      <c r="E26" s="44"/>
      <c r="F26" s="53"/>
      <c r="G26"/>
      <c r="H26"/>
      <c r="I26"/>
      <c r="J26"/>
      <c r="K26"/>
      <c r="L26"/>
      <c r="M26"/>
      <c r="N26" s="76"/>
      <c r="O26" s="76"/>
      <c r="P26" s="76"/>
      <c r="Q26" s="76"/>
      <c r="R26" s="76"/>
      <c r="S26" s="76"/>
      <c r="T26" s="76"/>
      <c r="U26" s="77"/>
    </row>
    <row r="27" spans="1:21" ht="15.75" x14ac:dyDescent="0.25">
      <c r="A27" s="7" t="s">
        <v>28</v>
      </c>
      <c r="B27" s="2" t="s">
        <v>29</v>
      </c>
      <c r="C27" s="116">
        <v>249</v>
      </c>
      <c r="D27" s="127"/>
      <c r="E27" s="44"/>
      <c r="N27" s="77"/>
      <c r="O27" s="77"/>
      <c r="P27" s="77"/>
      <c r="Q27" s="77"/>
      <c r="R27" s="77"/>
      <c r="S27" s="77"/>
      <c r="T27" s="77"/>
      <c r="U27" s="77"/>
    </row>
    <row r="28" spans="1:21" ht="15.75" x14ac:dyDescent="0.25">
      <c r="A28" s="183"/>
      <c r="B28" s="183"/>
      <c r="C28" s="117"/>
      <c r="D28" s="128"/>
      <c r="E28" s="44"/>
      <c r="F28" s="53"/>
      <c r="G28" s="51"/>
      <c r="H28" s="52"/>
      <c r="I28" s="52"/>
      <c r="J28" s="52"/>
      <c r="K28" s="52"/>
      <c r="L28" s="52"/>
      <c r="M28" s="52"/>
      <c r="N28" s="77"/>
      <c r="O28" s="77"/>
      <c r="P28" s="77"/>
      <c r="Q28" s="77"/>
      <c r="R28" s="77"/>
      <c r="S28" s="77"/>
      <c r="T28" s="77"/>
      <c r="U28" s="77"/>
    </row>
    <row r="29" spans="1:21" ht="18.75" thickBot="1" x14ac:dyDescent="0.3">
      <c r="A29" s="9" t="s">
        <v>30</v>
      </c>
      <c r="B29" s="2"/>
      <c r="C29" s="117" t="s">
        <v>31</v>
      </c>
      <c r="D29" s="128"/>
      <c r="E29" s="44"/>
      <c r="F29" s="56" t="s">
        <v>44</v>
      </c>
      <c r="G29" s="54"/>
      <c r="H29" s="55"/>
      <c r="I29" s="55"/>
      <c r="J29" s="55"/>
      <c r="K29" s="55"/>
      <c r="L29" s="55"/>
      <c r="M29" s="55"/>
      <c r="N29" s="77"/>
      <c r="O29" s="77"/>
      <c r="P29" s="77"/>
      <c r="Q29" s="77"/>
      <c r="R29" s="77"/>
      <c r="S29" s="77"/>
      <c r="T29" s="77"/>
      <c r="U29" s="77"/>
    </row>
    <row r="30" spans="1:21" ht="15.75" x14ac:dyDescent="0.25">
      <c r="A30" s="7" t="s">
        <v>32</v>
      </c>
      <c r="B30" s="2"/>
      <c r="C30" s="112"/>
      <c r="D30" s="122"/>
      <c r="E30" s="85"/>
      <c r="F30" s="86" t="s">
        <v>60</v>
      </c>
      <c r="G30" s="87">
        <f>AVERAGE(G6:G29)</f>
        <v>1.0009999999999999</v>
      </c>
      <c r="H30" s="87">
        <f t="shared" ref="H30:M30" si="0">AVERAGE(H6:H29)</f>
        <v>1.163</v>
      </c>
      <c r="I30" s="87">
        <f t="shared" si="0"/>
        <v>1.2798500000000002</v>
      </c>
      <c r="J30" s="87">
        <f t="shared" si="0"/>
        <v>1.5250999999999997</v>
      </c>
      <c r="K30" s="87">
        <f t="shared" si="0"/>
        <v>2.0045000000000002</v>
      </c>
      <c r="L30" s="87">
        <f t="shared" si="0"/>
        <v>1.8056000000000005</v>
      </c>
      <c r="M30" s="88">
        <f t="shared" si="0"/>
        <v>2.5697000000000001</v>
      </c>
      <c r="O30" s="139" t="s">
        <v>83</v>
      </c>
      <c r="P30" s="139" t="s">
        <v>88</v>
      </c>
      <c r="Q30" s="143">
        <f t="array" ref="Q30:R34">LINEST(G31:M31,G30:M30, TRUE, TRUE)</f>
        <v>1724.0785448789377</v>
      </c>
      <c r="R30" s="143">
        <v>-1726.8051980278344</v>
      </c>
    </row>
    <row r="31" spans="1:21" ht="15.6" customHeight="1" x14ac:dyDescent="0.25">
      <c r="A31" s="7" t="s">
        <v>20</v>
      </c>
      <c r="B31" s="2"/>
      <c r="C31" s="112"/>
      <c r="D31" s="122"/>
      <c r="E31" s="89" t="s">
        <v>39</v>
      </c>
      <c r="F31" s="83" t="s">
        <v>17</v>
      </c>
      <c r="G31" s="105">
        <v>0</v>
      </c>
      <c r="H31" s="106">
        <v>279.5</v>
      </c>
      <c r="I31" s="106">
        <v>480.5</v>
      </c>
      <c r="J31" s="106">
        <v>899</v>
      </c>
      <c r="K31" s="106">
        <v>1726.5</v>
      </c>
      <c r="L31" s="106">
        <v>1387.5</v>
      </c>
      <c r="M31" s="107">
        <v>2705.5</v>
      </c>
      <c r="O31" s="139" t="s">
        <v>84</v>
      </c>
      <c r="P31" s="143" t="s">
        <v>89</v>
      </c>
      <c r="Q31" s="144">
        <v>1.7684480100201716</v>
      </c>
      <c r="R31" s="144">
        <v>3.0041380288874056</v>
      </c>
    </row>
    <row r="32" spans="1:21" ht="15.75" x14ac:dyDescent="0.25">
      <c r="A32" s="7" t="s">
        <v>21</v>
      </c>
      <c r="B32" s="2"/>
      <c r="C32" s="112"/>
      <c r="D32" s="122"/>
      <c r="E32" s="57" t="s">
        <v>38</v>
      </c>
      <c r="F32" s="39" t="s">
        <v>19</v>
      </c>
      <c r="G32" s="27">
        <f>G31+$G$2</f>
        <v>100.812</v>
      </c>
      <c r="H32" s="40">
        <f t="shared" ref="H32:M32" si="1">H31+$G$2</f>
        <v>380.31200000000001</v>
      </c>
      <c r="I32" s="40">
        <f t="shared" si="1"/>
        <v>581.31200000000001</v>
      </c>
      <c r="J32" s="40">
        <f t="shared" si="1"/>
        <v>999.81200000000001</v>
      </c>
      <c r="K32" s="40">
        <f t="shared" si="1"/>
        <v>1827.3119999999999</v>
      </c>
      <c r="L32" s="40">
        <f t="shared" si="1"/>
        <v>1488.3119999999999</v>
      </c>
      <c r="M32" s="90">
        <f t="shared" si="1"/>
        <v>2806.3119999999999</v>
      </c>
      <c r="O32" s="143" t="s">
        <v>85</v>
      </c>
      <c r="P32" s="144" t="s">
        <v>90</v>
      </c>
      <c r="Q32" s="145">
        <v>0.99999473936441585</v>
      </c>
      <c r="R32" s="144">
        <v>2.3732313977102755</v>
      </c>
    </row>
    <row r="33" spans="1:18" s="22" customFormat="1" ht="15.75" x14ac:dyDescent="0.25">
      <c r="A33" s="7" t="s">
        <v>22</v>
      </c>
      <c r="B33" s="2" t="s">
        <v>64</v>
      </c>
      <c r="C33" s="112"/>
      <c r="D33" s="122"/>
      <c r="E33" s="57" t="s">
        <v>54</v>
      </c>
      <c r="F33" s="39" t="s">
        <v>53</v>
      </c>
      <c r="G33" s="39">
        <v>1500</v>
      </c>
      <c r="H33" s="40"/>
      <c r="I33" s="40"/>
      <c r="J33" s="40"/>
      <c r="K33" s="40"/>
      <c r="L33" s="40"/>
      <c r="M33" s="90"/>
      <c r="O33" s="144" t="s">
        <v>86</v>
      </c>
      <c r="P33" s="144" t="s">
        <v>91</v>
      </c>
      <c r="Q33" s="144">
        <v>950450.49536572816</v>
      </c>
      <c r="R33" s="144">
        <v>5</v>
      </c>
    </row>
    <row r="34" spans="1:18" ht="31.5" x14ac:dyDescent="0.25">
      <c r="A34" s="7" t="s">
        <v>23</v>
      </c>
      <c r="B34" s="2"/>
      <c r="C34" s="112"/>
      <c r="D34" s="122"/>
      <c r="E34" s="57" t="s">
        <v>54</v>
      </c>
      <c r="F34" s="39" t="s">
        <v>58</v>
      </c>
      <c r="G34" s="84">
        <v>5.0000000000000001E-4</v>
      </c>
      <c r="H34" s="40"/>
      <c r="I34" s="40"/>
      <c r="J34" s="40"/>
      <c r="K34" s="40"/>
      <c r="L34" s="40"/>
      <c r="M34" s="90"/>
      <c r="O34" s="144" t="s">
        <v>87</v>
      </c>
      <c r="P34" s="144" t="s">
        <v>92</v>
      </c>
      <c r="Q34" s="144">
        <v>5353153.1960065216</v>
      </c>
      <c r="R34" s="144">
        <v>28.161136335389344</v>
      </c>
    </row>
    <row r="35" spans="1:18" ht="31.5" x14ac:dyDescent="0.25">
      <c r="A35" s="7" t="s">
        <v>24</v>
      </c>
      <c r="B35" s="2" t="s">
        <v>25</v>
      </c>
      <c r="C35" s="112"/>
      <c r="D35" s="122"/>
      <c r="E35" s="57"/>
      <c r="F35" s="39" t="s">
        <v>55</v>
      </c>
      <c r="G35" s="27">
        <f>$G$33*6.894757298*$G$34</f>
        <v>5.1710679735000005</v>
      </c>
      <c r="H35" s="27">
        <f t="shared" ref="H35:L35" si="2">$G$33*6.894757298*$G$34</f>
        <v>5.1710679735000005</v>
      </c>
      <c r="I35" s="27">
        <f t="shared" si="2"/>
        <v>5.1710679735000005</v>
      </c>
      <c r="J35" s="27">
        <f t="shared" si="2"/>
        <v>5.1710679735000005</v>
      </c>
      <c r="K35" s="27">
        <f t="shared" si="2"/>
        <v>5.1710679735000005</v>
      </c>
      <c r="L35" s="27">
        <f t="shared" si="2"/>
        <v>5.1710679735000005</v>
      </c>
      <c r="M35" s="91">
        <f>$G$33*6.894757298*$G$34</f>
        <v>5.1710679735000005</v>
      </c>
    </row>
    <row r="36" spans="1:18" s="22" customFormat="1" ht="41.45" customHeight="1" thickBot="1" x14ac:dyDescent="0.3">
      <c r="A36" s="7" t="s">
        <v>26</v>
      </c>
      <c r="B36" s="2" t="s">
        <v>65</v>
      </c>
      <c r="C36" s="112"/>
      <c r="D36" s="122"/>
      <c r="E36" s="75"/>
      <c r="F36" s="92" t="s">
        <v>43</v>
      </c>
      <c r="G36" s="41">
        <f>G35/2</f>
        <v>2.5855339867500002</v>
      </c>
      <c r="H36" s="42">
        <f t="shared" ref="H36:M36" si="3">H35/2</f>
        <v>2.5855339867500002</v>
      </c>
      <c r="I36" s="42">
        <f t="shared" si="3"/>
        <v>2.5855339867500002</v>
      </c>
      <c r="J36" s="42">
        <f t="shared" si="3"/>
        <v>2.5855339867500002</v>
      </c>
      <c r="K36" s="42">
        <f t="shared" si="3"/>
        <v>2.5855339867500002</v>
      </c>
      <c r="L36" s="42">
        <f t="shared" si="3"/>
        <v>2.5855339867500002</v>
      </c>
      <c r="M36" s="93">
        <f t="shared" si="3"/>
        <v>2.5855339867500002</v>
      </c>
    </row>
    <row r="37" spans="1:18" ht="37.5" customHeight="1" x14ac:dyDescent="0.25">
      <c r="A37" s="7" t="s">
        <v>27</v>
      </c>
      <c r="B37" s="2" t="s">
        <v>66</v>
      </c>
      <c r="C37" s="115"/>
      <c r="D37" s="126"/>
      <c r="E37" s="29" t="s">
        <v>61</v>
      </c>
      <c r="F37" s="104"/>
      <c r="G37" s="170"/>
      <c r="H37" s="171"/>
      <c r="I37" s="171"/>
      <c r="J37" s="171"/>
      <c r="K37" s="171"/>
      <c r="L37" s="171"/>
      <c r="M37" s="172"/>
    </row>
    <row r="38" spans="1:18" s="138" customFormat="1" ht="17.25" x14ac:dyDescent="0.25">
      <c r="A38" s="7"/>
      <c r="B38" s="2"/>
      <c r="C38" s="115"/>
      <c r="D38" s="126"/>
      <c r="E38" s="173" t="s">
        <v>78</v>
      </c>
      <c r="F38" s="140">
        <f>Q32</f>
        <v>0.99999473936441585</v>
      </c>
      <c r="G38" s="27"/>
      <c r="H38" s="40"/>
      <c r="I38" s="40"/>
      <c r="J38" s="40"/>
      <c r="K38" s="40"/>
      <c r="L38" s="40"/>
      <c r="M38" s="90"/>
    </row>
    <row r="39" spans="1:18" s="138" customFormat="1" ht="15.75" x14ac:dyDescent="0.25">
      <c r="A39" s="7"/>
      <c r="B39" s="2"/>
      <c r="C39" s="115"/>
      <c r="D39" s="126"/>
      <c r="E39" s="58" t="s">
        <v>76</v>
      </c>
      <c r="F39" s="141">
        <f>Q30</f>
        <v>1724.0785448789377</v>
      </c>
      <c r="G39" s="27"/>
      <c r="H39" s="40"/>
      <c r="I39" s="40"/>
      <c r="J39" s="40"/>
      <c r="K39" s="40"/>
      <c r="L39" s="40"/>
      <c r="M39" s="90"/>
    </row>
    <row r="40" spans="1:18" ht="15.75" x14ac:dyDescent="0.25">
      <c r="A40" s="5"/>
      <c r="B40" s="109"/>
      <c r="C40" s="6"/>
      <c r="D40" s="129"/>
      <c r="E40" s="63" t="s">
        <v>77</v>
      </c>
      <c r="F40" s="142">
        <f>R30</f>
        <v>-1726.8051980278344</v>
      </c>
      <c r="G40" s="27"/>
      <c r="H40" s="40"/>
      <c r="I40" s="40"/>
      <c r="J40" s="40"/>
      <c r="K40" s="40"/>
      <c r="L40" s="40"/>
      <c r="M40" s="90"/>
    </row>
    <row r="41" spans="1:18" ht="17.45" customHeight="1" x14ac:dyDescent="0.25">
      <c r="A41" s="80" t="s">
        <v>93</v>
      </c>
      <c r="B41" s="11" t="s">
        <v>79</v>
      </c>
      <c r="C41" s="139">
        <v>0.99</v>
      </c>
      <c r="D41" s="130"/>
      <c r="E41" s="63" t="s">
        <v>57</v>
      </c>
      <c r="F41" s="94">
        <f>C22</f>
        <v>1000</v>
      </c>
      <c r="G41" s="27"/>
      <c r="H41" s="40"/>
      <c r="I41" s="40"/>
      <c r="J41" s="40"/>
      <c r="K41" s="40"/>
      <c r="L41" s="40"/>
      <c r="M41" s="90"/>
    </row>
    <row r="42" spans="1:18" ht="14.45" customHeight="1" x14ac:dyDescent="0.25">
      <c r="A42" s="79"/>
      <c r="B42" s="11" t="s">
        <v>80</v>
      </c>
      <c r="C42" s="147">
        <v>1.5E-3</v>
      </c>
      <c r="D42" s="130"/>
      <c r="E42" s="63" t="s">
        <v>56</v>
      </c>
      <c r="F42" s="94">
        <f>F41*6.89475729</f>
        <v>6894.7572900000005</v>
      </c>
      <c r="G42" s="27"/>
      <c r="H42" s="40"/>
      <c r="I42" s="40"/>
      <c r="J42" s="40"/>
      <c r="K42" s="40"/>
      <c r="L42" s="40"/>
      <c r="M42" s="90"/>
    </row>
    <row r="43" spans="1:18" ht="16.5" thickBot="1" x14ac:dyDescent="0.3">
      <c r="A43" s="8"/>
      <c r="B43" s="12"/>
      <c r="C43" s="13"/>
      <c r="D43" s="13"/>
      <c r="E43" s="57" t="s">
        <v>42</v>
      </c>
      <c r="F43" s="26">
        <v>20</v>
      </c>
      <c r="G43" s="27"/>
      <c r="H43" s="40"/>
      <c r="I43" s="40"/>
      <c r="J43" s="40"/>
      <c r="K43" s="40"/>
      <c r="L43" s="40"/>
      <c r="M43" s="90"/>
    </row>
    <row r="44" spans="1:18" s="138" customFormat="1" ht="26.25" x14ac:dyDescent="0.4">
      <c r="A44" s="148" t="s">
        <v>94</v>
      </c>
      <c r="B44" s="149"/>
      <c r="C44" s="150"/>
      <c r="D44" s="13"/>
      <c r="E44" s="58" t="s">
        <v>46</v>
      </c>
      <c r="F44" s="26">
        <f>F43-1</f>
        <v>19</v>
      </c>
      <c r="G44" s="59"/>
      <c r="H44" s="60"/>
      <c r="I44" s="60"/>
      <c r="J44" s="60"/>
      <c r="K44" s="60"/>
      <c r="L44" s="60"/>
      <c r="M44" s="95"/>
    </row>
    <row r="45" spans="1:18" s="138" customFormat="1" ht="29.25" x14ac:dyDescent="0.4">
      <c r="A45" s="151"/>
      <c r="B45" s="152" t="s">
        <v>95</v>
      </c>
      <c r="C45" s="153">
        <f>F38</f>
        <v>0.99999473936441585</v>
      </c>
      <c r="D45" s="13"/>
      <c r="E45" s="58" t="s">
        <v>47</v>
      </c>
      <c r="F45" s="26">
        <v>2</v>
      </c>
      <c r="G45" s="59"/>
      <c r="H45" s="61"/>
      <c r="I45" s="61"/>
      <c r="J45" s="61"/>
      <c r="K45" s="61"/>
      <c r="L45" s="61"/>
      <c r="M45" s="95"/>
    </row>
    <row r="46" spans="1:18" s="138" customFormat="1" ht="28.5" x14ac:dyDescent="0.4">
      <c r="A46" s="154" t="s">
        <v>96</v>
      </c>
      <c r="B46" s="154" t="s">
        <v>98</v>
      </c>
      <c r="C46" s="155">
        <f>F39</f>
        <v>1724.0785448789377</v>
      </c>
      <c r="D46" s="13"/>
      <c r="E46" s="70"/>
      <c r="F46" s="71"/>
      <c r="G46" s="72"/>
      <c r="H46" s="73"/>
      <c r="I46" s="73"/>
      <c r="J46" s="73"/>
      <c r="K46" s="73"/>
      <c r="L46" s="73"/>
      <c r="M46" s="96"/>
    </row>
    <row r="47" spans="1:18" s="138" customFormat="1" ht="28.5" x14ac:dyDescent="0.25">
      <c r="A47" s="154" t="s">
        <v>97</v>
      </c>
      <c r="B47" s="154" t="s">
        <v>99</v>
      </c>
      <c r="C47" s="156">
        <f>F40</f>
        <v>-1726.8051980278344</v>
      </c>
      <c r="D47" s="13"/>
      <c r="E47" s="57"/>
      <c r="F47" s="62">
        <v>1</v>
      </c>
      <c r="G47" s="136">
        <f t="shared" ref="G47:M56" si="4">$F$39*G6+$F$40</f>
        <v>-1.0025746040180366</v>
      </c>
      <c r="H47" s="136">
        <f t="shared" si="4"/>
        <v>278.29814966637014</v>
      </c>
      <c r="I47" s="136">
        <f t="shared" si="4"/>
        <v>480.01533941720595</v>
      </c>
      <c r="J47" s="136">
        <f t="shared" si="4"/>
        <v>904.13866145742463</v>
      </c>
      <c r="K47" s="136">
        <f t="shared" si="4"/>
        <v>1731.696362999314</v>
      </c>
      <c r="L47" s="136">
        <f t="shared" si="4"/>
        <v>1388.604732568406</v>
      </c>
      <c r="M47" s="137">
        <f t="shared" si="4"/>
        <v>2707.5248194007936</v>
      </c>
    </row>
    <row r="48" spans="1:18" s="138" customFormat="1" ht="53.25" thickBot="1" x14ac:dyDescent="0.45">
      <c r="A48" s="157"/>
      <c r="B48" s="158" t="s">
        <v>100</v>
      </c>
      <c r="C48" s="159" t="str">
        <f>G77</f>
        <v>Pass</v>
      </c>
      <c r="D48" s="13"/>
      <c r="E48" s="57"/>
      <c r="F48" s="26">
        <v>2</v>
      </c>
      <c r="G48" s="136">
        <f t="shared" si="4"/>
        <v>-1.0025746040180366</v>
      </c>
      <c r="H48" s="136">
        <f t="shared" si="4"/>
        <v>278.29814966637014</v>
      </c>
      <c r="I48" s="136">
        <f t="shared" si="4"/>
        <v>480.01533941720595</v>
      </c>
      <c r="J48" s="136">
        <f t="shared" si="4"/>
        <v>904.13866145742463</v>
      </c>
      <c r="K48" s="136">
        <f t="shared" si="4"/>
        <v>1731.696362999314</v>
      </c>
      <c r="L48" s="136">
        <f t="shared" si="4"/>
        <v>1388.604732568406</v>
      </c>
      <c r="M48" s="137">
        <f t="shared" si="4"/>
        <v>2707.5248194007936</v>
      </c>
    </row>
    <row r="49" spans="1:13" ht="15.75" x14ac:dyDescent="0.25">
      <c r="C49" s="11"/>
      <c r="D49" s="130"/>
      <c r="E49" s="57"/>
      <c r="F49" s="62">
        <v>3</v>
      </c>
      <c r="G49" s="136">
        <f t="shared" si="4"/>
        <v>-1.0025746040180366</v>
      </c>
      <c r="H49" s="136">
        <f t="shared" si="4"/>
        <v>278.29814966637014</v>
      </c>
      <c r="I49" s="136">
        <f t="shared" si="4"/>
        <v>480.01533941720595</v>
      </c>
      <c r="J49" s="136">
        <f t="shared" si="4"/>
        <v>904.13866145742463</v>
      </c>
      <c r="K49" s="136">
        <f t="shared" si="4"/>
        <v>1731.696362999314</v>
      </c>
      <c r="L49" s="136">
        <f t="shared" si="4"/>
        <v>1386.8806540235271</v>
      </c>
      <c r="M49" s="137">
        <f t="shared" si="4"/>
        <v>2705.8007408559151</v>
      </c>
    </row>
    <row r="50" spans="1:13" ht="15.75" x14ac:dyDescent="0.25">
      <c r="A50" s="80" t="s">
        <v>67</v>
      </c>
      <c r="B50" s="2" t="s">
        <v>68</v>
      </c>
      <c r="C50" s="118">
        <f>C2+365</f>
        <v>42431</v>
      </c>
      <c r="D50" s="118"/>
      <c r="E50" s="63"/>
      <c r="F50" s="26">
        <v>4</v>
      </c>
      <c r="G50" s="136">
        <f t="shared" si="4"/>
        <v>-1.0025746040180366</v>
      </c>
      <c r="H50" s="136">
        <f t="shared" si="4"/>
        <v>278.29814966637014</v>
      </c>
      <c r="I50" s="136">
        <f t="shared" si="4"/>
        <v>480.01533941720595</v>
      </c>
      <c r="J50" s="136">
        <f t="shared" si="4"/>
        <v>904.13866145742463</v>
      </c>
      <c r="K50" s="136">
        <f t="shared" si="4"/>
        <v>1731.696362999314</v>
      </c>
      <c r="L50" s="136">
        <f t="shared" si="4"/>
        <v>1386.8806540235271</v>
      </c>
      <c r="M50" s="137">
        <f t="shared" si="4"/>
        <v>2705.8007408559151</v>
      </c>
    </row>
    <row r="51" spans="1:13" ht="16.5" thickBot="1" x14ac:dyDescent="0.3">
      <c r="C51" s="14"/>
      <c r="D51" s="14"/>
      <c r="E51" s="63"/>
      <c r="F51" s="62">
        <v>5</v>
      </c>
      <c r="G51" s="136">
        <f t="shared" si="4"/>
        <v>-1.0025746040180366</v>
      </c>
      <c r="H51" s="136">
        <f t="shared" si="4"/>
        <v>278.29814966637014</v>
      </c>
      <c r="I51" s="136">
        <f t="shared" si="4"/>
        <v>480.01533941720595</v>
      </c>
      <c r="J51" s="136">
        <f t="shared" si="4"/>
        <v>904.13866145742463</v>
      </c>
      <c r="K51" s="136">
        <f t="shared" si="4"/>
        <v>1729.9722844544356</v>
      </c>
      <c r="L51" s="136">
        <f t="shared" si="4"/>
        <v>1386.8806540235271</v>
      </c>
      <c r="M51" s="137">
        <f t="shared" si="4"/>
        <v>2705.8007408559151</v>
      </c>
    </row>
    <row r="52" spans="1:13" ht="15.75" x14ac:dyDescent="0.25">
      <c r="A52" s="17" t="s">
        <v>34</v>
      </c>
      <c r="B52" s="3"/>
      <c r="C52" s="23" t="s">
        <v>33</v>
      </c>
      <c r="D52" s="131"/>
      <c r="E52" s="63"/>
      <c r="F52" s="26">
        <v>6</v>
      </c>
      <c r="G52" s="136">
        <f t="shared" si="4"/>
        <v>-1.0025746040180366</v>
      </c>
      <c r="H52" s="136">
        <f t="shared" si="4"/>
        <v>278.29814966637014</v>
      </c>
      <c r="I52" s="136">
        <f t="shared" si="4"/>
        <v>480.01533941720595</v>
      </c>
      <c r="J52" s="136">
        <f t="shared" si="4"/>
        <v>902.41458291254526</v>
      </c>
      <c r="K52" s="136">
        <f t="shared" si="4"/>
        <v>1729.9722844544356</v>
      </c>
      <c r="L52" s="136">
        <f t="shared" si="4"/>
        <v>1386.8806540235271</v>
      </c>
      <c r="M52" s="137">
        <f t="shared" si="4"/>
        <v>2705.8007408559151</v>
      </c>
    </row>
    <row r="53" spans="1:13" ht="15.75" x14ac:dyDescent="0.25">
      <c r="A53" s="17"/>
      <c r="B53" s="3"/>
      <c r="C53" s="24" t="s">
        <v>69</v>
      </c>
      <c r="D53" s="131"/>
      <c r="E53" s="63"/>
      <c r="F53" s="62">
        <v>7</v>
      </c>
      <c r="G53" s="136">
        <f t="shared" si="4"/>
        <v>-1.0025746040180366</v>
      </c>
      <c r="H53" s="136">
        <f t="shared" si="4"/>
        <v>278.29814966637014</v>
      </c>
      <c r="I53" s="136">
        <f t="shared" si="4"/>
        <v>480.01533941720595</v>
      </c>
      <c r="J53" s="136">
        <f t="shared" si="4"/>
        <v>902.41458291254526</v>
      </c>
      <c r="K53" s="136">
        <f t="shared" si="4"/>
        <v>1729.9722844544356</v>
      </c>
      <c r="L53" s="136">
        <f t="shared" si="4"/>
        <v>1386.8806540235271</v>
      </c>
      <c r="M53" s="137">
        <f t="shared" si="4"/>
        <v>2705.8007408559151</v>
      </c>
    </row>
    <row r="54" spans="1:13" ht="15.75" x14ac:dyDescent="0.25">
      <c r="C54" s="24" t="s">
        <v>70</v>
      </c>
      <c r="D54" s="131"/>
      <c r="E54" s="63"/>
      <c r="F54" s="26">
        <v>8</v>
      </c>
      <c r="G54" s="136">
        <f t="shared" si="4"/>
        <v>-1.0025746040180366</v>
      </c>
      <c r="H54" s="136">
        <f t="shared" si="4"/>
        <v>278.29814966637014</v>
      </c>
      <c r="I54" s="136">
        <f t="shared" si="4"/>
        <v>480.01533941720595</v>
      </c>
      <c r="J54" s="136">
        <f t="shared" si="4"/>
        <v>902.41458291254526</v>
      </c>
      <c r="K54" s="136">
        <f t="shared" si="4"/>
        <v>1729.9722844544356</v>
      </c>
      <c r="L54" s="136">
        <f t="shared" si="4"/>
        <v>1386.8806540235271</v>
      </c>
      <c r="M54" s="137">
        <f t="shared" si="4"/>
        <v>2704.0766623110358</v>
      </c>
    </row>
    <row r="55" spans="1:13" ht="15.75" x14ac:dyDescent="0.25">
      <c r="C55" s="24" t="s">
        <v>71</v>
      </c>
      <c r="D55" s="132"/>
      <c r="E55" s="63"/>
      <c r="F55" s="62">
        <v>9</v>
      </c>
      <c r="G55" s="136">
        <f t="shared" si="4"/>
        <v>-1.0025746040180366</v>
      </c>
      <c r="H55" s="136">
        <f t="shared" si="4"/>
        <v>278.29814966637014</v>
      </c>
      <c r="I55" s="136">
        <f t="shared" si="4"/>
        <v>480.01533941720595</v>
      </c>
      <c r="J55" s="136">
        <f t="shared" si="4"/>
        <v>902.41458291254526</v>
      </c>
      <c r="K55" s="136">
        <f t="shared" si="4"/>
        <v>1729.9722844544356</v>
      </c>
      <c r="L55" s="136">
        <f t="shared" si="4"/>
        <v>1386.8806540235271</v>
      </c>
      <c r="M55" s="137">
        <f t="shared" si="4"/>
        <v>2704.0766623110358</v>
      </c>
    </row>
    <row r="56" spans="1:13" ht="16.5" thickBot="1" x14ac:dyDescent="0.3">
      <c r="C56" s="25" t="s">
        <v>35</v>
      </c>
      <c r="D56" s="133"/>
      <c r="E56" s="63"/>
      <c r="F56" s="26">
        <v>10</v>
      </c>
      <c r="G56" s="136">
        <f t="shared" si="4"/>
        <v>-1.0025746040180366</v>
      </c>
      <c r="H56" s="136">
        <f t="shared" si="4"/>
        <v>278.29814966637014</v>
      </c>
      <c r="I56" s="136">
        <f t="shared" si="4"/>
        <v>480.01533941720595</v>
      </c>
      <c r="J56" s="136">
        <f t="shared" si="4"/>
        <v>902.41458291254526</v>
      </c>
      <c r="K56" s="136">
        <f t="shared" si="4"/>
        <v>1729.9722844544356</v>
      </c>
      <c r="L56" s="136">
        <f t="shared" si="4"/>
        <v>1386.8806540235271</v>
      </c>
      <c r="M56" s="137">
        <f t="shared" si="4"/>
        <v>2704.0766623110358</v>
      </c>
    </row>
    <row r="57" spans="1:13" ht="15.75" x14ac:dyDescent="0.25">
      <c r="E57" s="63"/>
      <c r="F57" s="62">
        <v>11</v>
      </c>
      <c r="G57" s="136">
        <f t="shared" ref="G57:M66" si="5">$F$39*G16+$F$40</f>
        <v>-1.0025746040180366</v>
      </c>
      <c r="H57" s="136">
        <f t="shared" si="5"/>
        <v>278.29814966637014</v>
      </c>
      <c r="I57" s="136">
        <f t="shared" si="5"/>
        <v>480.01533941720595</v>
      </c>
      <c r="J57" s="136">
        <f t="shared" si="5"/>
        <v>902.41458291254526</v>
      </c>
      <c r="K57" s="136">
        <f t="shared" si="5"/>
        <v>1728.2482059095566</v>
      </c>
      <c r="L57" s="136">
        <f t="shared" si="5"/>
        <v>1386.8806540235271</v>
      </c>
      <c r="M57" s="137">
        <f t="shared" si="5"/>
        <v>2704.0766623110358</v>
      </c>
    </row>
    <row r="58" spans="1:13" x14ac:dyDescent="0.25">
      <c r="E58" s="63"/>
      <c r="F58" s="26">
        <v>12</v>
      </c>
      <c r="G58" s="136">
        <f t="shared" si="5"/>
        <v>-1.0025746040180366</v>
      </c>
      <c r="H58" s="136">
        <f t="shared" si="5"/>
        <v>278.29814966637014</v>
      </c>
      <c r="I58" s="136">
        <f t="shared" si="5"/>
        <v>480.01533941720595</v>
      </c>
      <c r="J58" s="136">
        <f t="shared" si="5"/>
        <v>902.41458291254526</v>
      </c>
      <c r="K58" s="136">
        <f t="shared" si="5"/>
        <v>1728.2482059095566</v>
      </c>
      <c r="L58" s="136">
        <f t="shared" si="5"/>
        <v>1385.1565754786482</v>
      </c>
      <c r="M58" s="137">
        <f t="shared" si="5"/>
        <v>2702.3525837661564</v>
      </c>
    </row>
    <row r="59" spans="1:13" ht="15.75" x14ac:dyDescent="0.25">
      <c r="E59" s="63"/>
      <c r="F59" s="62">
        <v>13</v>
      </c>
      <c r="G59" s="136">
        <f t="shared" si="5"/>
        <v>-1.0025746040180366</v>
      </c>
      <c r="H59" s="136">
        <f t="shared" si="5"/>
        <v>278.29814966637014</v>
      </c>
      <c r="I59" s="136">
        <f t="shared" si="5"/>
        <v>480.01533941720595</v>
      </c>
      <c r="J59" s="136">
        <f t="shared" si="5"/>
        <v>902.41458291254526</v>
      </c>
      <c r="K59" s="136">
        <f t="shared" si="5"/>
        <v>1728.2482059095566</v>
      </c>
      <c r="L59" s="136">
        <f t="shared" si="5"/>
        <v>1385.1565754786482</v>
      </c>
      <c r="M59" s="137">
        <f t="shared" si="5"/>
        <v>2702.3525837661564</v>
      </c>
    </row>
    <row r="60" spans="1:13" x14ac:dyDescent="0.25">
      <c r="E60" s="63"/>
      <c r="F60" s="26">
        <v>14</v>
      </c>
      <c r="G60" s="136">
        <f t="shared" si="5"/>
        <v>-1.0025746040180366</v>
      </c>
      <c r="H60" s="136">
        <f t="shared" si="5"/>
        <v>278.29814966637014</v>
      </c>
      <c r="I60" s="136">
        <f t="shared" si="5"/>
        <v>480.01533941720595</v>
      </c>
      <c r="J60" s="136">
        <f t="shared" si="5"/>
        <v>902.41458291254526</v>
      </c>
      <c r="K60" s="136">
        <f t="shared" si="5"/>
        <v>1728.2482059095566</v>
      </c>
      <c r="L60" s="136">
        <f t="shared" si="5"/>
        <v>1385.1565754786482</v>
      </c>
      <c r="M60" s="137">
        <f t="shared" si="5"/>
        <v>2702.3525837661564</v>
      </c>
    </row>
    <row r="61" spans="1:13" ht="15.75" x14ac:dyDescent="0.25">
      <c r="E61" s="63"/>
      <c r="F61" s="62">
        <v>15</v>
      </c>
      <c r="G61" s="136">
        <f t="shared" si="5"/>
        <v>-1.0025746040180366</v>
      </c>
      <c r="H61" s="136">
        <f t="shared" si="5"/>
        <v>278.29814966637014</v>
      </c>
      <c r="I61" s="136">
        <f t="shared" si="5"/>
        <v>480.01533941720595</v>
      </c>
      <c r="J61" s="136">
        <f t="shared" si="5"/>
        <v>902.41458291254526</v>
      </c>
      <c r="K61" s="136">
        <f t="shared" si="5"/>
        <v>1728.2482059095566</v>
      </c>
      <c r="L61" s="136">
        <f t="shared" si="5"/>
        <v>1385.1565754786482</v>
      </c>
      <c r="M61" s="137">
        <f t="shared" si="5"/>
        <v>2702.3525837661564</v>
      </c>
    </row>
    <row r="62" spans="1:13" x14ac:dyDescent="0.25">
      <c r="E62" s="63"/>
      <c r="F62" s="26">
        <v>16</v>
      </c>
      <c r="G62" s="136">
        <f t="shared" si="5"/>
        <v>-1.0025746040180366</v>
      </c>
      <c r="H62" s="136">
        <f t="shared" si="5"/>
        <v>278.29814966637014</v>
      </c>
      <c r="I62" s="136">
        <f t="shared" si="5"/>
        <v>480.01533941720595</v>
      </c>
      <c r="J62" s="136">
        <f t="shared" si="5"/>
        <v>902.41458291254526</v>
      </c>
      <c r="K62" s="136">
        <f t="shared" si="5"/>
        <v>1728.2482059095566</v>
      </c>
      <c r="L62" s="136">
        <f t="shared" si="5"/>
        <v>1385.1565754786482</v>
      </c>
      <c r="M62" s="137">
        <f t="shared" si="5"/>
        <v>2700.6285052212779</v>
      </c>
    </row>
    <row r="63" spans="1:13" ht="15.75" x14ac:dyDescent="0.25">
      <c r="E63" s="63"/>
      <c r="F63" s="62">
        <v>17</v>
      </c>
      <c r="G63" s="136">
        <f t="shared" si="5"/>
        <v>-1.0025746040180366</v>
      </c>
      <c r="H63" s="136">
        <f t="shared" si="5"/>
        <v>278.29814966637014</v>
      </c>
      <c r="I63" s="136">
        <f t="shared" si="5"/>
        <v>478.29126087232657</v>
      </c>
      <c r="J63" s="136">
        <f t="shared" si="5"/>
        <v>902.41458291254526</v>
      </c>
      <c r="K63" s="136">
        <f t="shared" si="5"/>
        <v>1726.5241273646782</v>
      </c>
      <c r="L63" s="136">
        <f t="shared" si="5"/>
        <v>1385.1565754786482</v>
      </c>
      <c r="M63" s="137">
        <f t="shared" si="5"/>
        <v>2700.6285052212779</v>
      </c>
    </row>
    <row r="64" spans="1:13" x14ac:dyDescent="0.25">
      <c r="E64" s="63"/>
      <c r="F64" s="26">
        <v>18</v>
      </c>
      <c r="G64" s="136">
        <f t="shared" si="5"/>
        <v>-1.0025746040180366</v>
      </c>
      <c r="H64" s="136">
        <f t="shared" si="5"/>
        <v>278.29814966637014</v>
      </c>
      <c r="I64" s="136">
        <f t="shared" si="5"/>
        <v>480.01533941720595</v>
      </c>
      <c r="J64" s="136">
        <f t="shared" si="5"/>
        <v>900.69050436766679</v>
      </c>
      <c r="K64" s="136">
        <f t="shared" si="5"/>
        <v>1726.5241273646782</v>
      </c>
      <c r="L64" s="136">
        <f t="shared" si="5"/>
        <v>1385.1565754786482</v>
      </c>
      <c r="M64" s="137">
        <f t="shared" si="5"/>
        <v>2700.6285052212779</v>
      </c>
    </row>
    <row r="65" spans="1:13" ht="15.75" x14ac:dyDescent="0.25">
      <c r="E65" s="63"/>
      <c r="F65" s="62">
        <v>19</v>
      </c>
      <c r="G65" s="136">
        <f t="shared" si="5"/>
        <v>-1.0025746040180366</v>
      </c>
      <c r="H65" s="136">
        <f t="shared" si="5"/>
        <v>278.29814966637014</v>
      </c>
      <c r="I65" s="136">
        <f t="shared" si="5"/>
        <v>478.29126087232657</v>
      </c>
      <c r="J65" s="136">
        <f t="shared" si="5"/>
        <v>900.69050436766679</v>
      </c>
      <c r="K65" s="136">
        <f t="shared" si="5"/>
        <v>1726.5241273646782</v>
      </c>
      <c r="L65" s="136">
        <f t="shared" si="5"/>
        <v>1385.1565754786482</v>
      </c>
      <c r="M65" s="137">
        <f t="shared" si="5"/>
        <v>2700.6285052212779</v>
      </c>
    </row>
    <row r="66" spans="1:13" x14ac:dyDescent="0.25">
      <c r="E66" s="63"/>
      <c r="F66" s="26">
        <v>20</v>
      </c>
      <c r="G66" s="136">
        <f t="shared" si="5"/>
        <v>-1.0025746040180366</v>
      </c>
      <c r="H66" s="136">
        <f t="shared" si="5"/>
        <v>278.29814966637014</v>
      </c>
      <c r="I66" s="136">
        <f t="shared" si="5"/>
        <v>478.29126087232657</v>
      </c>
      <c r="J66" s="136">
        <f t="shared" si="5"/>
        <v>900.69050436766679</v>
      </c>
      <c r="K66" s="136">
        <f t="shared" si="5"/>
        <v>1726.5241273646782</v>
      </c>
      <c r="L66" s="136">
        <f t="shared" si="5"/>
        <v>1383.4324969337692</v>
      </c>
      <c r="M66" s="137">
        <f t="shared" si="5"/>
        <v>2698.9044266763995</v>
      </c>
    </row>
    <row r="67" spans="1:13" x14ac:dyDescent="0.25">
      <c r="E67" s="63"/>
      <c r="F67" s="26"/>
      <c r="G67" s="28"/>
      <c r="H67" s="19"/>
      <c r="I67" s="19"/>
      <c r="J67" s="19"/>
      <c r="K67" s="19"/>
      <c r="L67" s="19"/>
      <c r="M67" s="97"/>
    </row>
    <row r="68" spans="1:13" x14ac:dyDescent="0.25">
      <c r="E68" s="63"/>
      <c r="F68" s="71" t="s">
        <v>37</v>
      </c>
      <c r="G68" s="160">
        <f>AVERAGE(G47:G66)</f>
        <v>-1.0025746040180366</v>
      </c>
      <c r="H68" s="161">
        <f t="shared" ref="H68:M68" si="6">AVERAGE(H47:H66)</f>
        <v>278.29814966637025</v>
      </c>
      <c r="I68" s="161">
        <f t="shared" si="6"/>
        <v>479.75672763547402</v>
      </c>
      <c r="J68" s="161">
        <f t="shared" si="6"/>
        <v>902.58699076703306</v>
      </c>
      <c r="K68" s="161">
        <f t="shared" si="6"/>
        <v>1729.1102451819959</v>
      </c>
      <c r="L68" s="161">
        <f t="shared" si="6"/>
        <v>1386.1910226055761</v>
      </c>
      <c r="M68" s="162">
        <f t="shared" si="6"/>
        <v>2703.5594387475721</v>
      </c>
    </row>
    <row r="69" spans="1:13" x14ac:dyDescent="0.25">
      <c r="E69" s="63"/>
      <c r="F69" s="71" t="s">
        <v>51</v>
      </c>
      <c r="G69" s="163">
        <f>G68/$F$42</f>
        <v>-1.4541115253935741E-4</v>
      </c>
      <c r="H69" s="164">
        <f t="shared" ref="H69:M69" si="7">H68/$F$42</f>
        <v>4.0363734060661946E-2</v>
      </c>
      <c r="I69" s="164">
        <f t="shared" si="7"/>
        <v>6.9582830469072821E-2</v>
      </c>
      <c r="J69" s="164">
        <f t="shared" si="7"/>
        <v>0.13090917530572466</v>
      </c>
      <c r="K69" s="164">
        <f t="shared" si="7"/>
        <v>0.25078623836256836</v>
      </c>
      <c r="L69" s="164">
        <f t="shared" si="7"/>
        <v>0.20105001007302695</v>
      </c>
      <c r="M69" s="165">
        <f t="shared" si="7"/>
        <v>0.39211814499529279</v>
      </c>
    </row>
    <row r="70" spans="1:13" x14ac:dyDescent="0.25">
      <c r="A70" s="31"/>
      <c r="B70" s="30"/>
      <c r="E70" s="63"/>
      <c r="F70" s="71" t="s">
        <v>40</v>
      </c>
      <c r="G70" s="166">
        <f>STDEV(G47:G66)</f>
        <v>0</v>
      </c>
      <c r="H70" s="167">
        <f t="shared" ref="H70:M70" si="8">STDEV(H47:H66)</f>
        <v>1.1664023441939594E-13</v>
      </c>
      <c r="I70" s="167">
        <f t="shared" si="8"/>
        <v>0.63161194839407919</v>
      </c>
      <c r="J70" s="167">
        <f t="shared" si="8"/>
        <v>1.1046572525237734</v>
      </c>
      <c r="K70" s="167">
        <f t="shared" si="8"/>
        <v>1.8125495769209412</v>
      </c>
      <c r="L70" s="167">
        <f t="shared" si="8"/>
        <v>1.2998466661039114</v>
      </c>
      <c r="M70" s="168">
        <f t="shared" si="8"/>
        <v>2.5078021675758597</v>
      </c>
    </row>
    <row r="71" spans="1:13" x14ac:dyDescent="0.25">
      <c r="A71" s="31"/>
      <c r="B71" s="30"/>
      <c r="E71" s="63"/>
      <c r="F71" s="71" t="s">
        <v>41</v>
      </c>
      <c r="G71" s="166">
        <f>G70/SQRT($F$43)</f>
        <v>0</v>
      </c>
      <c r="H71" s="166">
        <f t="shared" ref="H71:M71" si="9">H70/SQRT($F$43)</f>
        <v>2.6081549307328E-14</v>
      </c>
      <c r="I71" s="166">
        <f t="shared" si="9"/>
        <v>0.14123272520102501</v>
      </c>
      <c r="J71" s="166">
        <f t="shared" si="9"/>
        <v>0.24700887084813083</v>
      </c>
      <c r="K71" s="166">
        <f t="shared" si="9"/>
        <v>0.40529840665837086</v>
      </c>
      <c r="L71" s="166">
        <f t="shared" si="9"/>
        <v>0.29065455057348177</v>
      </c>
      <c r="M71" s="169">
        <f t="shared" si="9"/>
        <v>0.56076161208209407</v>
      </c>
    </row>
    <row r="72" spans="1:13" x14ac:dyDescent="0.25">
      <c r="A72" s="31"/>
      <c r="B72" s="30"/>
      <c r="C72" s="31"/>
      <c r="D72" s="134"/>
      <c r="E72" s="63"/>
      <c r="F72" s="26"/>
      <c r="G72" s="64"/>
      <c r="H72" s="65"/>
      <c r="I72" s="65"/>
      <c r="J72" s="65"/>
      <c r="K72" s="65"/>
      <c r="L72" s="65"/>
      <c r="M72" s="98"/>
    </row>
    <row r="73" spans="1:13" ht="23.25" customHeight="1" x14ac:dyDescent="0.25">
      <c r="A73" s="31"/>
      <c r="B73" s="30"/>
      <c r="C73" s="31"/>
      <c r="D73" s="134"/>
      <c r="E73" s="66"/>
      <c r="F73" s="67" t="s">
        <v>45</v>
      </c>
      <c r="G73" s="32">
        <f t="shared" ref="G73:M73" si="10">SQRT(G36^2+G71^2)</f>
        <v>2.5855339867500002</v>
      </c>
      <c r="H73" s="33">
        <f t="shared" si="10"/>
        <v>2.5855339867500002</v>
      </c>
      <c r="I73" s="33">
        <f t="shared" si="10"/>
        <v>2.5893884759354009</v>
      </c>
      <c r="J73" s="33">
        <f t="shared" si="10"/>
        <v>2.597306177353186</v>
      </c>
      <c r="K73" s="33">
        <f t="shared" si="10"/>
        <v>2.6171077156049893</v>
      </c>
      <c r="L73" s="33">
        <f t="shared" si="10"/>
        <v>2.6018197601694899</v>
      </c>
      <c r="M73" s="99">
        <f t="shared" si="10"/>
        <v>2.6456453999401091</v>
      </c>
    </row>
    <row r="74" spans="1:13" s="31" customFormat="1" ht="25.5" x14ac:dyDescent="0.2">
      <c r="A74" s="37"/>
      <c r="B74" s="36"/>
      <c r="D74" s="134"/>
      <c r="E74" s="66"/>
      <c r="F74" s="67" t="s">
        <v>52</v>
      </c>
      <c r="G74" s="32">
        <f t="shared" ref="G74:M74" si="11">G73*$F$45</f>
        <v>5.1710679735000005</v>
      </c>
      <c r="H74" s="33">
        <f t="shared" si="11"/>
        <v>5.1710679735000005</v>
      </c>
      <c r="I74" s="33">
        <f t="shared" si="11"/>
        <v>5.1787769518708018</v>
      </c>
      <c r="J74" s="33">
        <f t="shared" si="11"/>
        <v>5.1946123547063721</v>
      </c>
      <c r="K74" s="33">
        <f t="shared" si="11"/>
        <v>5.2342154312099787</v>
      </c>
      <c r="L74" s="33">
        <f t="shared" si="11"/>
        <v>5.2036395203389798</v>
      </c>
      <c r="M74" s="99">
        <f t="shared" si="11"/>
        <v>5.2912907998802181</v>
      </c>
    </row>
    <row r="75" spans="1:13" s="31" customFormat="1" x14ac:dyDescent="0.25">
      <c r="A75"/>
      <c r="B75" s="10"/>
      <c r="D75" s="134"/>
      <c r="E75" s="66"/>
      <c r="F75" s="67" t="s">
        <v>50</v>
      </c>
      <c r="G75" s="34">
        <f>G74/G68</f>
        <v>-5.1577887099631461</v>
      </c>
      <c r="H75" s="35">
        <f t="shared" ref="H75:M75" si="12">H74/H68</f>
        <v>1.858103612869574E-2</v>
      </c>
      <c r="I75" s="35">
        <f t="shared" si="12"/>
        <v>1.0794589535815139E-2</v>
      </c>
      <c r="J75" s="35">
        <f t="shared" si="12"/>
        <v>5.7552484224173295E-3</v>
      </c>
      <c r="K75" s="35">
        <f t="shared" si="12"/>
        <v>3.0271149256067571E-3</v>
      </c>
      <c r="L75" s="35">
        <f t="shared" si="12"/>
        <v>3.7539122930964272E-3</v>
      </c>
      <c r="M75" s="100">
        <f t="shared" si="12"/>
        <v>1.9571571921242524E-3</v>
      </c>
    </row>
    <row r="76" spans="1:13" s="31" customFormat="1" x14ac:dyDescent="0.25">
      <c r="A76"/>
      <c r="B76" s="10"/>
      <c r="C76" s="37"/>
      <c r="D76" s="135"/>
      <c r="E76" s="66"/>
      <c r="F76" s="101" t="s">
        <v>48</v>
      </c>
      <c r="G76" s="102">
        <f>G74/$F$42</f>
        <v>7.5000000087022643E-4</v>
      </c>
      <c r="H76" s="102">
        <f t="shared" ref="H76:M76" si="13">H74/$F$42</f>
        <v>7.5000000087022643E-4</v>
      </c>
      <c r="I76" s="102">
        <f t="shared" si="13"/>
        <v>7.5111809365385241E-4</v>
      </c>
      <c r="J76" s="102">
        <f t="shared" si="13"/>
        <v>7.5341482465822549E-4</v>
      </c>
      <c r="K76" s="102">
        <f t="shared" si="13"/>
        <v>7.5915876528410444E-4</v>
      </c>
      <c r="L76" s="102">
        <f t="shared" si="13"/>
        <v>7.5472410434029641E-4</v>
      </c>
      <c r="M76" s="103">
        <f t="shared" si="13"/>
        <v>7.6743684763995771E-4</v>
      </c>
    </row>
    <row r="77" spans="1:13" s="31" customFormat="1" ht="27" customHeight="1" thickBot="1" x14ac:dyDescent="0.3">
      <c r="A77"/>
      <c r="B77" s="10"/>
      <c r="C77"/>
      <c r="D77" s="8"/>
      <c r="E77" s="38"/>
      <c r="F77" s="74" t="s">
        <v>49</v>
      </c>
      <c r="G77" s="181" t="str">
        <f>IF((F38&gt;C41)*AND(G76&lt;C42)*AND(H76&lt;C42)*AND(I76&lt;C42)*AND(J76&lt;C42)*AND(K76&lt;C42)*AND(L76&lt;C42)*AND(M76&lt;C42),"Pass","Fail")</f>
        <v>Pass</v>
      </c>
      <c r="H77" s="181"/>
      <c r="I77" s="181"/>
      <c r="J77" s="181"/>
      <c r="K77" s="181"/>
      <c r="L77" s="181"/>
      <c r="M77" s="182"/>
    </row>
    <row r="78" spans="1:13" s="37" customFormat="1" ht="27" customHeight="1" x14ac:dyDescent="0.25">
      <c r="A78"/>
      <c r="B78" s="10"/>
      <c r="C78"/>
      <c r="D78" s="8"/>
    </row>
    <row r="79" spans="1:13" ht="32.25" customHeight="1" x14ac:dyDescent="0.25"/>
    <row r="80" spans="1:13" ht="32.25" customHeight="1" x14ac:dyDescent="0.25"/>
    <row r="81" ht="25.5" customHeight="1" x14ac:dyDescent="0.25"/>
  </sheetData>
  <mergeCells count="2">
    <mergeCell ref="G77:M77"/>
    <mergeCell ref="A28:B28"/>
  </mergeCells>
  <pageMargins left="0.7" right="0.7" top="0.75" bottom="0.75" header="0.3" footer="0.3"/>
  <pageSetup scale="37" orientation="landscape" r:id="rId1"/>
  <headerFooter>
    <oddHeader>&amp;L&amp;"-,Italic"&amp;14Pressure transducer&amp;C&amp;"-,Italic"&amp;14Calibration protocol&amp;R&amp;G</oddHeader>
    <oddFooter>&amp;L&amp;"-,Italic"&amp;14Version 1.0 MP&amp;C&amp;"-,Italic"&amp;14Creative Thermal Solutions, Inc.&amp;R&amp;"-,Italic"&amp;14Print Date: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Pccr</vt:lpstr>
      <vt:lpstr>Chart Pccr</vt:lpstr>
      <vt:lpstr>Pccr!Print_Area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</dc:creator>
  <cp:lastModifiedBy>MOBILEDAQ08</cp:lastModifiedBy>
  <cp:lastPrinted>2014-03-07T22:11:18Z</cp:lastPrinted>
  <dcterms:created xsi:type="dcterms:W3CDTF">2013-08-14T15:18:27Z</dcterms:created>
  <dcterms:modified xsi:type="dcterms:W3CDTF">2015-03-04T22:33:20Z</dcterms:modified>
</cp:coreProperties>
</file>