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osemiguelquinteroholguin/Documents/Titulos Mineros/"/>
    </mc:Choice>
  </mc:AlternateContent>
  <xr:revisionPtr revIDLastSave="0" documentId="13_ncr:1_{49F4E150-E0DC-0E48-AD7E-9CB58534928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02-003-96" sheetId="1" r:id="rId1"/>
    <sheet name="Sheet1" sheetId="3" r:id="rId2"/>
    <sheet name="052-93" sheetId="2" r:id="rId3"/>
  </sheets>
  <definedNames>
    <definedName name="_xlnm.Print_Area" localSheetId="0">'02-003-96'!$A$1:$K$28</definedName>
    <definedName name="_xlnm.Print_Area" localSheetId="2">'052-93'!$A$4:$G$35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2" i="1" l="1"/>
  <c r="J32" i="1"/>
  <c r="J11" i="1"/>
  <c r="L11" i="1" s="1"/>
  <c r="K11" i="1"/>
  <c r="R2" i="1" l="1"/>
  <c r="Q31" i="1"/>
  <c r="P31" i="1"/>
  <c r="R31" i="1" s="1"/>
  <c r="AP31" i="1" s="1"/>
  <c r="Q26" i="1"/>
  <c r="P26" i="1"/>
  <c r="R26" i="1" s="1"/>
  <c r="AP26" i="1" s="1"/>
  <c r="Q21" i="1"/>
  <c r="P21" i="1"/>
  <c r="R21" i="1" s="1"/>
  <c r="AP21" i="1" s="1"/>
  <c r="Q16" i="1"/>
  <c r="P16" i="1"/>
  <c r="P11" i="1"/>
  <c r="Q11" i="1"/>
  <c r="J21" i="1"/>
  <c r="L21" i="1" s="1"/>
  <c r="K26" i="1"/>
  <c r="J26" i="1"/>
  <c r="L26" i="1" s="1"/>
  <c r="K21" i="1"/>
  <c r="K16" i="1"/>
  <c r="J16" i="1"/>
  <c r="E4" i="1"/>
  <c r="E5" i="1"/>
  <c r="D6" i="1"/>
  <c r="E6" i="1"/>
  <c r="D7" i="1"/>
  <c r="E7" i="1"/>
  <c r="D9" i="1"/>
  <c r="E9" i="1"/>
  <c r="D10" i="1"/>
  <c r="E10" i="1"/>
  <c r="D11" i="1"/>
  <c r="E11" i="1"/>
  <c r="D12" i="1"/>
  <c r="E12" i="1"/>
  <c r="K31" i="1"/>
  <c r="M31" i="1" s="1"/>
  <c r="J31" i="1"/>
  <c r="L31" i="1" s="1"/>
  <c r="R11" i="1" l="1"/>
  <c r="AP11" i="1" s="1"/>
  <c r="R16" i="1"/>
  <c r="AP16" i="1" s="1"/>
  <c r="L16" i="1"/>
  <c r="M11" i="1"/>
  <c r="M16" i="1"/>
  <c r="M21" i="1"/>
  <c r="M26" i="1"/>
  <c r="F28" i="2"/>
  <c r="F29" i="2" s="1"/>
  <c r="F33" i="2" l="1"/>
  <c r="F31" i="2"/>
  <c r="F34" i="2" s="1"/>
  <c r="F35" i="2" s="1"/>
  <c r="F21" i="2"/>
  <c r="F20" i="2"/>
  <c r="F19" i="2"/>
  <c r="F18" i="2"/>
  <c r="F15" i="2"/>
  <c r="F14" i="2"/>
  <c r="F16" i="2" s="1"/>
  <c r="F17" i="2" s="1"/>
  <c r="I27" i="1"/>
  <c r="H27" i="1"/>
  <c r="I26" i="1"/>
  <c r="H26" i="1"/>
  <c r="I25" i="1"/>
  <c r="H25" i="1"/>
  <c r="I24" i="1"/>
  <c r="H24" i="1"/>
  <c r="I22" i="1"/>
  <c r="H22" i="1"/>
  <c r="I21" i="1"/>
  <c r="H21" i="1"/>
  <c r="I20" i="1"/>
  <c r="H20" i="1"/>
  <c r="I19" i="1"/>
  <c r="H19" i="1"/>
  <c r="I17" i="1"/>
  <c r="H17" i="1"/>
  <c r="I16" i="1"/>
  <c r="H16" i="1"/>
  <c r="I15" i="1"/>
  <c r="H15" i="1"/>
  <c r="I14" i="1"/>
  <c r="H14" i="1"/>
  <c r="I12" i="1"/>
  <c r="H12" i="1"/>
  <c r="I11" i="1"/>
  <c r="H11" i="1"/>
  <c r="I10" i="1"/>
  <c r="H10" i="1"/>
  <c r="I9" i="1"/>
  <c r="H9" i="1"/>
  <c r="I7" i="1"/>
  <c r="H7" i="1"/>
  <c r="I6" i="1"/>
  <c r="H6" i="1"/>
  <c r="I5" i="1"/>
  <c r="I4" i="1"/>
  <c r="D13" i="2"/>
  <c r="D16" i="2" s="1"/>
  <c r="D28" i="2"/>
  <c r="D22" i="2"/>
  <c r="E22" i="1"/>
  <c r="E27" i="1"/>
  <c r="D27" i="1"/>
  <c r="E26" i="1"/>
  <c r="E25" i="1"/>
  <c r="D25" i="1"/>
  <c r="E24" i="1"/>
  <c r="D24" i="1"/>
  <c r="D22" i="1"/>
  <c r="E21" i="1"/>
  <c r="D21" i="1"/>
  <c r="E20" i="1"/>
  <c r="D20" i="1"/>
  <c r="E19" i="1"/>
  <c r="D19" i="1"/>
  <c r="E17" i="1"/>
  <c r="D17" i="1"/>
  <c r="E16" i="1"/>
  <c r="D16" i="1"/>
  <c r="E15" i="1"/>
  <c r="D15" i="1"/>
  <c r="E14" i="1"/>
  <c r="D14" i="1"/>
  <c r="F22" i="2" l="1"/>
  <c r="F23" i="2" s="1"/>
  <c r="D34" i="2"/>
</calcChain>
</file>

<file path=xl/sharedStrings.xml><?xml version="1.0" encoding="utf-8"?>
<sst xmlns="http://schemas.openxmlformats.org/spreadsheetml/2006/main" count="111" uniqueCount="54">
  <si>
    <t>Titulo Minero</t>
  </si>
  <si>
    <t>Precio Venta</t>
  </si>
  <si>
    <t>Año</t>
  </si>
  <si>
    <t>Precio Base Regalia</t>
  </si>
  <si>
    <t>02-003-96</t>
  </si>
  <si>
    <t>052-93</t>
  </si>
  <si>
    <t>Producción (Ton)</t>
  </si>
  <si>
    <t>I</t>
  </si>
  <si>
    <t>III</t>
  </si>
  <si>
    <t>IV</t>
  </si>
  <si>
    <t>II</t>
  </si>
  <si>
    <t>Trimestre</t>
  </si>
  <si>
    <t>Metalurgico</t>
  </si>
  <si>
    <t>Termico</t>
  </si>
  <si>
    <t>Valor Pagado Concepto Regalias</t>
  </si>
  <si>
    <t>Total Pago Regalias 2018</t>
  </si>
  <si>
    <t>Total Pago Regalias 2019</t>
  </si>
  <si>
    <t>Total Pago Regalias 2020</t>
  </si>
  <si>
    <t>Total Pago Regalias 2021</t>
  </si>
  <si>
    <t>Trim</t>
  </si>
  <si>
    <t>Analisis de Regalias a 5 años Titulo Minero 052-93</t>
  </si>
  <si>
    <t>Analisis de Regalias a 5 años Titulo Minero 02-003-96</t>
  </si>
  <si>
    <t>FACTOR</t>
  </si>
  <si>
    <t>FACTOR ( PM)</t>
  </si>
  <si>
    <t xml:space="preserve">Producción Trimestral
PT TERMICO
</t>
  </si>
  <si>
    <t xml:space="preserve">Producción 
PT METALURGICO
</t>
  </si>
  <si>
    <t>SUMATORIA</t>
  </si>
  <si>
    <t>&gt;= 1,00</t>
  </si>
  <si>
    <t>&gt;=1,20</t>
  </si>
  <si>
    <t>&gt;= 1,30</t>
  </si>
  <si>
    <t>&gt;=1,40</t>
  </si>
  <si>
    <t>&gt;=1,50</t>
  </si>
  <si>
    <t>&gt;=2,00</t>
  </si>
  <si>
    <t>&lt; 1.00</t>
  </si>
  <si>
    <t xml:space="preserve">                        &lt;=0,90</t>
  </si>
  <si>
    <t xml:space="preserve">                        &lt;=0,80</t>
  </si>
  <si>
    <t xml:space="preserve"> &lt;=0,70</t>
  </si>
  <si>
    <t xml:space="preserve"> &lt;=0,60</t>
  </si>
  <si>
    <t xml:space="preserve"> &lt;=0,50</t>
  </si>
  <si>
    <t>PA</t>
  </si>
  <si>
    <t>RANGOS</t>
  </si>
  <si>
    <t xml:space="preserve"> 0.60%</t>
  </si>
  <si>
    <t xml:space="preserve"> 0.50%</t>
  </si>
  <si>
    <t xml:space="preserve"> 0.40%</t>
  </si>
  <si>
    <t xml:space="preserve"> 0.30%</t>
  </si>
  <si>
    <t xml:space="preserve"> 0.20%</t>
  </si>
  <si>
    <t xml:space="preserve"> 0.10%</t>
  </si>
  <si>
    <t xml:space="preserve"> 0.75%</t>
  </si>
  <si>
    <t xml:space="preserve"> 1.00%</t>
  </si>
  <si>
    <t xml:space="preserve"> 1.25%</t>
  </si>
  <si>
    <t xml:space="preserve"> 1.50%</t>
  </si>
  <si>
    <t xml:space="preserve"> 1.75%</t>
  </si>
  <si>
    <t xml:space="preserve"> 2.00%</t>
  </si>
  <si>
    <t>$ /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</si>
</sst>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6" formatCode="_-&quot;$&quot;\ * #,##0_-;\-&quot;$&quot;\ * #,##0_-;_-&quot;$&quot;\ * &quot;-&quot;_-;_-@_-"/>
    <numFmt numFmtId="167" formatCode="_-&quot;$&quot;\ * #,##0.00_-;\-&quot;$&quot;\ * #,##0.00_-;_-&quot;$&quot;\ * &quot;-&quot;_-;_-@_-"/>
    <numFmt numFmtId="168" formatCode="_-* #,##0.000_-;\-* #,##0.000_-;_-* &quot;-&quot;_-;_-@_-"/>
    <numFmt numFmtId="170" formatCode="#,##0.000_);\(#,##0.0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7" fontId="0" fillId="0" borderId="1" xfId="1" applyNumberFormat="1" applyFont="1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7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7" fontId="0" fillId="6" borderId="1" xfId="0" applyNumberFormat="1" applyFill="1" applyBorder="1" applyAlignment="1">
      <alignment vertical="center"/>
    </xf>
    <xf numFmtId="167" fontId="0" fillId="0" borderId="1" xfId="0" applyNumberFormat="1" applyBorder="1" applyAlignment="1">
      <alignment vertical="center" wrapText="1"/>
    </xf>
    <xf numFmtId="0" fontId="0" fillId="0" borderId="1" xfId="0" applyFill="1" applyBorder="1"/>
    <xf numFmtId="2" fontId="0" fillId="0" borderId="1" xfId="0" applyNumberForma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166" fontId="0" fillId="0" borderId="8" xfId="1" applyFont="1" applyBorder="1" applyAlignment="1">
      <alignment vertical="center"/>
    </xf>
    <xf numFmtId="0" fontId="0" fillId="0" borderId="8" xfId="0" applyBorder="1"/>
    <xf numFmtId="166" fontId="0" fillId="0" borderId="9" xfId="1" applyFont="1" applyBorder="1" applyAlignment="1">
      <alignment vertical="center"/>
    </xf>
    <xf numFmtId="164" fontId="0" fillId="0" borderId="0" xfId="2" applyFont="1"/>
    <xf numFmtId="0" fontId="0" fillId="0" borderId="0" xfId="0" applyAlignment="1">
      <alignment wrapText="1"/>
    </xf>
    <xf numFmtId="165" fontId="0" fillId="0" borderId="0" xfId="0" applyNumberFormat="1"/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68" fontId="0" fillId="8" borderId="3" xfId="2" applyNumberFormat="1" applyFont="1" applyFill="1" applyBorder="1" applyAlignment="1"/>
    <xf numFmtId="168" fontId="0" fillId="8" borderId="1" xfId="2" applyNumberFormat="1" applyFont="1" applyFill="1" applyBorder="1" applyAlignment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6" fontId="0" fillId="0" borderId="0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7" xfId="0" applyBorder="1" applyAlignment="1">
      <alignment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7" xfId="0" applyNumberFormat="1" applyBorder="1"/>
    <xf numFmtId="44" fontId="0" fillId="0" borderId="0" xfId="0" applyNumberFormat="1"/>
    <xf numFmtId="2" fontId="0" fillId="0" borderId="1" xfId="1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 wrapText="1"/>
    </xf>
  </cellXfs>
  <cellStyles count="3">
    <cellStyle name="Comma [0]" xfId="2" builtinId="6"/>
    <cellStyle name="Currency [0]" xfId="1" builtinId="7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="120" zoomScaleNormal="12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16" sqref="J16"/>
    </sheetView>
  </sheetViews>
  <sheetFormatPr baseColWidth="10" defaultRowHeight="15" x14ac:dyDescent="0.2"/>
  <cols>
    <col min="1" max="1" width="13" bestFit="1" customWidth="1"/>
    <col min="2" max="2" width="6.33203125" bestFit="1" customWidth="1"/>
    <col min="3" max="3" width="5" bestFit="1" customWidth="1"/>
    <col min="4" max="4" width="9.5" bestFit="1" customWidth="1"/>
    <col min="5" max="5" width="13.5" bestFit="1" customWidth="1"/>
    <col min="6" max="6" width="14.83203125" bestFit="1" customWidth="1"/>
    <col min="7" max="7" width="24.6640625" customWidth="1"/>
    <col min="8" max="9" width="23.1640625" customWidth="1"/>
    <col min="10" max="10" width="13.83203125" bestFit="1" customWidth="1"/>
    <col min="11" max="11" width="18.1640625" bestFit="1" customWidth="1"/>
    <col min="12" max="12" width="12.1640625" bestFit="1" customWidth="1"/>
    <col min="13" max="13" width="14.6640625" bestFit="1" customWidth="1"/>
    <col min="14" max="15" width="12.83203125" bestFit="1" customWidth="1"/>
    <col min="16" max="16" width="18" bestFit="1" customWidth="1"/>
    <col min="17" max="18" width="17.6640625" bestFit="1" customWidth="1"/>
    <col min="19" max="41" width="17.6640625" customWidth="1"/>
  </cols>
  <sheetData>
    <row r="1" spans="1:42" ht="64" x14ac:dyDescent="0.2">
      <c r="A1" s="55" t="s">
        <v>21</v>
      </c>
      <c r="B1" s="55"/>
      <c r="C1" s="55"/>
      <c r="D1" s="55"/>
      <c r="E1" s="55"/>
      <c r="F1" s="55"/>
      <c r="G1" s="55"/>
      <c r="H1" s="55"/>
      <c r="I1" s="55"/>
      <c r="J1" s="55"/>
      <c r="K1" s="55"/>
      <c r="P1" s="28" t="s">
        <v>24</v>
      </c>
      <c r="Q1" s="28" t="s">
        <v>25</v>
      </c>
      <c r="R1" t="s">
        <v>26</v>
      </c>
      <c r="AP1" t="s">
        <v>53</v>
      </c>
    </row>
    <row r="2" spans="1:42" x14ac:dyDescent="0.2">
      <c r="A2" s="57" t="s">
        <v>0</v>
      </c>
      <c r="B2" s="58" t="s">
        <v>2</v>
      </c>
      <c r="C2" s="54" t="s">
        <v>19</v>
      </c>
      <c r="D2" s="51" t="s">
        <v>6</v>
      </c>
      <c r="E2" s="51"/>
      <c r="F2" s="51" t="s">
        <v>3</v>
      </c>
      <c r="G2" s="51"/>
      <c r="H2" s="52" t="s">
        <v>14</v>
      </c>
      <c r="I2" s="53"/>
      <c r="J2" s="51" t="s">
        <v>23</v>
      </c>
      <c r="K2" s="51"/>
      <c r="L2" s="48" t="s">
        <v>22</v>
      </c>
      <c r="M2" s="49"/>
      <c r="N2" s="35" t="s">
        <v>40</v>
      </c>
      <c r="O2" s="35" t="s">
        <v>39</v>
      </c>
      <c r="P2" s="27">
        <v>3000</v>
      </c>
      <c r="Q2">
        <v>12000</v>
      </c>
      <c r="R2" s="34">
        <f>SUM(P2:Q2)</f>
        <v>15000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</row>
    <row r="3" spans="1:42" ht="16" thickBot="1" x14ac:dyDescent="0.25">
      <c r="A3" s="57"/>
      <c r="B3" s="58"/>
      <c r="C3" s="54"/>
      <c r="D3" s="18" t="s">
        <v>13</v>
      </c>
      <c r="E3" s="19" t="s">
        <v>12</v>
      </c>
      <c r="F3" s="18" t="s">
        <v>13</v>
      </c>
      <c r="G3" s="19" t="s">
        <v>12</v>
      </c>
      <c r="H3" s="18" t="s">
        <v>13</v>
      </c>
      <c r="I3" s="19" t="s">
        <v>12</v>
      </c>
      <c r="J3" s="20" t="s">
        <v>13</v>
      </c>
      <c r="K3" s="19" t="s">
        <v>12</v>
      </c>
      <c r="L3" s="30" t="s">
        <v>13</v>
      </c>
      <c r="M3" s="31" t="s">
        <v>12</v>
      </c>
    </row>
    <row r="4" spans="1:42" x14ac:dyDescent="0.2">
      <c r="A4" s="59" t="s">
        <v>4</v>
      </c>
      <c r="B4" s="50">
        <v>2017</v>
      </c>
      <c r="C4" s="8" t="s">
        <v>7</v>
      </c>
      <c r="D4" s="16"/>
      <c r="E4" s="6">
        <f>7482.16+8453.71</f>
        <v>15935.869999999999</v>
      </c>
      <c r="F4" s="4">
        <v>99038.02</v>
      </c>
      <c r="G4" s="4">
        <v>99038.02</v>
      </c>
      <c r="H4" s="1"/>
      <c r="I4" s="4">
        <f>37050916+41861935</f>
        <v>78912851</v>
      </c>
      <c r="J4" s="22"/>
      <c r="K4" s="47"/>
      <c r="L4" s="44"/>
      <c r="N4" s="36" t="s">
        <v>33</v>
      </c>
      <c r="O4" s="37" t="s">
        <v>41</v>
      </c>
    </row>
    <row r="5" spans="1:42" ht="28" x14ac:dyDescent="0.2">
      <c r="A5" s="60"/>
      <c r="B5" s="50"/>
      <c r="C5" s="8" t="s">
        <v>10</v>
      </c>
      <c r="D5" s="16"/>
      <c r="E5" s="6">
        <f>7891.81+7742.83</f>
        <v>15634.64</v>
      </c>
      <c r="F5" s="4">
        <v>98156.98</v>
      </c>
      <c r="G5" s="4">
        <v>152061.09</v>
      </c>
      <c r="H5" s="1"/>
      <c r="I5" s="4">
        <f>38731812+38000640</f>
        <v>76732452</v>
      </c>
      <c r="J5" s="23"/>
      <c r="K5" s="43"/>
      <c r="L5" s="45"/>
      <c r="N5" s="38" t="s">
        <v>34</v>
      </c>
      <c r="O5" s="39" t="s">
        <v>42</v>
      </c>
    </row>
    <row r="6" spans="1:42" ht="28" x14ac:dyDescent="0.2">
      <c r="A6" s="60"/>
      <c r="B6" s="50"/>
      <c r="C6" s="8" t="s">
        <v>8</v>
      </c>
      <c r="D6" s="17">
        <f>4391.93+2683.37</f>
        <v>7075.3</v>
      </c>
      <c r="E6" s="6">
        <f>2894.25+2505.29</f>
        <v>5399.54</v>
      </c>
      <c r="F6" s="4">
        <v>100938.71</v>
      </c>
      <c r="G6" s="4">
        <v>202622.34</v>
      </c>
      <c r="H6" s="4">
        <f>22165787+13542795</f>
        <v>35708582</v>
      </c>
      <c r="I6" s="4">
        <f>29321985+25381386</f>
        <v>54703371</v>
      </c>
      <c r="J6" s="23"/>
      <c r="K6" s="43"/>
      <c r="L6" s="45"/>
      <c r="N6" s="38" t="s">
        <v>35</v>
      </c>
      <c r="O6" s="39" t="s">
        <v>43</v>
      </c>
    </row>
    <row r="7" spans="1:42" x14ac:dyDescent="0.2">
      <c r="A7" s="60"/>
      <c r="B7" s="50"/>
      <c r="C7" s="8" t="s">
        <v>9</v>
      </c>
      <c r="D7" s="6">
        <f>4927.21+896.09</f>
        <v>5823.3</v>
      </c>
      <c r="E7" s="6">
        <f>3720.9+3684.59</f>
        <v>7405.49</v>
      </c>
      <c r="F7" s="4">
        <v>100900.54</v>
      </c>
      <c r="G7" s="4">
        <v>211893.86</v>
      </c>
      <c r="H7" s="4">
        <f>24857907+4520789</f>
        <v>29378696</v>
      </c>
      <c r="I7" s="4">
        <f>39421793+39037100</f>
        <v>78458893</v>
      </c>
      <c r="J7" s="23"/>
      <c r="K7" s="43"/>
      <c r="L7" s="45"/>
      <c r="N7" s="38" t="s">
        <v>36</v>
      </c>
      <c r="O7" s="39" t="s">
        <v>44</v>
      </c>
    </row>
    <row r="8" spans="1:42" x14ac:dyDescent="0.2">
      <c r="A8" s="60"/>
      <c r="B8" s="21"/>
      <c r="C8" s="21"/>
      <c r="D8" s="21"/>
      <c r="E8" s="21"/>
      <c r="F8" s="21"/>
      <c r="G8" s="21"/>
      <c r="H8" s="56"/>
      <c r="I8" s="56"/>
      <c r="J8" s="23"/>
      <c r="K8" s="43"/>
      <c r="L8" s="45"/>
      <c r="N8" s="38" t="s">
        <v>37</v>
      </c>
      <c r="O8" s="39" t="s">
        <v>45</v>
      </c>
    </row>
    <row r="9" spans="1:42" ht="16" thickBot="1" x14ac:dyDescent="0.25">
      <c r="A9" s="60"/>
      <c r="B9" s="50">
        <v>2018</v>
      </c>
      <c r="C9" s="8" t="s">
        <v>7</v>
      </c>
      <c r="D9" s="6">
        <f>5284.87</f>
        <v>5284.87</v>
      </c>
      <c r="E9" s="6">
        <f>3655.35+1636.41</f>
        <v>5291.76</v>
      </c>
      <c r="F9" s="4">
        <v>108098.55</v>
      </c>
      <c r="G9" s="4">
        <v>212800.86</v>
      </c>
      <c r="H9" s="4">
        <f>28564339</f>
        <v>28564339</v>
      </c>
      <c r="I9" s="4">
        <f>38893081+17411473</f>
        <v>56304554</v>
      </c>
      <c r="J9" s="24"/>
      <c r="K9" s="42"/>
      <c r="L9" s="45"/>
      <c r="N9" s="40" t="s">
        <v>38</v>
      </c>
      <c r="O9" s="41" t="s">
        <v>46</v>
      </c>
    </row>
    <row r="10" spans="1:42" x14ac:dyDescent="0.2">
      <c r="A10" s="60"/>
      <c r="B10" s="50"/>
      <c r="C10" s="8" t="s">
        <v>10</v>
      </c>
      <c r="D10" s="6">
        <f>4984.48</f>
        <v>4984.4799999999996</v>
      </c>
      <c r="E10" s="6">
        <f>1441.51+3358.22</f>
        <v>4799.7299999999996</v>
      </c>
      <c r="F10" s="4">
        <v>109997.33</v>
      </c>
      <c r="G10" s="4">
        <v>233296.24</v>
      </c>
      <c r="H10" s="4">
        <f>27413975</f>
        <v>27413975</v>
      </c>
      <c r="I10" s="4">
        <f>16814943+39173005</f>
        <v>55987948</v>
      </c>
      <c r="J10" s="24"/>
      <c r="K10" s="42"/>
      <c r="L10" s="46"/>
    </row>
    <row r="11" spans="1:42" x14ac:dyDescent="0.2">
      <c r="A11" s="60"/>
      <c r="B11" s="50"/>
      <c r="C11" s="8" t="s">
        <v>8</v>
      </c>
      <c r="D11" s="17">
        <f>5167.49</f>
        <v>5167.49</v>
      </c>
      <c r="E11" s="6">
        <f>1495.39+3520.71</f>
        <v>5016.1000000000004</v>
      </c>
      <c r="F11" s="4">
        <v>112927.64</v>
      </c>
      <c r="G11" s="4">
        <v>270486.73</v>
      </c>
      <c r="H11" s="4">
        <f>29177623</f>
        <v>29177623</v>
      </c>
      <c r="I11" s="4">
        <f>20224158+47615267</f>
        <v>67839425</v>
      </c>
      <c r="J11" s="4">
        <f>+AVERAGE(F4:F10)</f>
        <v>102855.02166666667</v>
      </c>
      <c r="K11" s="4">
        <f>+AVERAGE(G4:G10)</f>
        <v>185285.40166666664</v>
      </c>
      <c r="L11" s="32">
        <f>+F11/J11</f>
        <v>1.097930253381082</v>
      </c>
      <c r="M11" s="33">
        <f>+G11/K11</f>
        <v>1.4598383227547131</v>
      </c>
      <c r="P11" s="29">
        <f>0.75%*P2*G11</f>
        <v>6085951.4249999998</v>
      </c>
      <c r="Q11" s="29">
        <f>1.5%*F11*Q2</f>
        <v>20326975.199999999</v>
      </c>
      <c r="R11" s="29">
        <f>SUM(P11:Q11)</f>
        <v>26412926.625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34">
        <f>+R11/$R$2</f>
        <v>1760.8617750000001</v>
      </c>
    </row>
    <row r="12" spans="1:42" ht="16" thickBot="1" x14ac:dyDescent="0.25">
      <c r="A12" s="60"/>
      <c r="B12" s="50"/>
      <c r="C12" s="8" t="s">
        <v>9</v>
      </c>
      <c r="D12" s="6">
        <f>4846.02</f>
        <v>4846.0200000000004</v>
      </c>
      <c r="E12" s="6">
        <f>1979.8+3184.02</f>
        <v>5163.82</v>
      </c>
      <c r="F12" s="5">
        <v>121708.75</v>
      </c>
      <c r="G12" s="5">
        <v>274960.09000000003</v>
      </c>
      <c r="H12" s="5">
        <f>29490152</f>
        <v>29490152</v>
      </c>
      <c r="I12" s="5">
        <f>27218299+43773921</f>
        <v>70992220</v>
      </c>
      <c r="J12" s="24"/>
      <c r="K12" s="24"/>
      <c r="L12" s="67"/>
      <c r="M12" s="68"/>
    </row>
    <row r="13" spans="1:42" x14ac:dyDescent="0.2">
      <c r="A13" s="60"/>
      <c r="B13" s="21"/>
      <c r="C13" s="21"/>
      <c r="D13" s="21"/>
      <c r="E13" s="21"/>
      <c r="F13" s="21"/>
      <c r="G13" s="21"/>
      <c r="H13" s="56"/>
      <c r="I13" s="56"/>
      <c r="J13" s="23"/>
      <c r="K13" s="43"/>
      <c r="L13" s="45"/>
      <c r="N13" s="36" t="s">
        <v>27</v>
      </c>
      <c r="O13" s="37" t="s">
        <v>47</v>
      </c>
    </row>
    <row r="14" spans="1:42" x14ac:dyDescent="0.2">
      <c r="A14" s="60"/>
      <c r="B14" s="50">
        <v>2019</v>
      </c>
      <c r="C14" s="8" t="s">
        <v>7</v>
      </c>
      <c r="D14" s="6">
        <f>4709.67+1539.31</f>
        <v>6248.98</v>
      </c>
      <c r="E14" s="6">
        <f>1547.97+2031.82</f>
        <v>3579.79</v>
      </c>
      <c r="F14" s="4">
        <v>143101.21</v>
      </c>
      <c r="G14" s="4">
        <v>270813.03000000003</v>
      </c>
      <c r="H14" s="4">
        <f>33697974+11013856</f>
        <v>44711830</v>
      </c>
      <c r="I14" s="4">
        <f>20960522+27512167</f>
        <v>48472689</v>
      </c>
      <c r="J14" s="24"/>
      <c r="K14" s="42"/>
      <c r="L14" s="45"/>
      <c r="N14" s="38" t="s">
        <v>28</v>
      </c>
      <c r="O14" s="39" t="s">
        <v>48</v>
      </c>
    </row>
    <row r="15" spans="1:42" x14ac:dyDescent="0.2">
      <c r="A15" s="60"/>
      <c r="B15" s="50"/>
      <c r="C15" s="8" t="s">
        <v>10</v>
      </c>
      <c r="D15" s="6">
        <f>3986.83+315.13</f>
        <v>4301.96</v>
      </c>
      <c r="E15" s="6">
        <f>3625.21+101.85</f>
        <v>3727.06</v>
      </c>
      <c r="F15" s="4">
        <v>166459.94</v>
      </c>
      <c r="G15" s="4">
        <v>294909.83</v>
      </c>
      <c r="H15" s="4">
        <f>33182374+2622826</f>
        <v>35805200</v>
      </c>
      <c r="I15" s="4">
        <f>53455503+1501828</f>
        <v>54957331</v>
      </c>
      <c r="J15" s="24"/>
      <c r="K15" s="42"/>
      <c r="L15" s="46"/>
      <c r="N15" s="38" t="s">
        <v>29</v>
      </c>
      <c r="O15" s="39" t="s">
        <v>49</v>
      </c>
    </row>
    <row r="16" spans="1:42" x14ac:dyDescent="0.2">
      <c r="A16" s="60"/>
      <c r="B16" s="50"/>
      <c r="C16" s="8" t="s">
        <v>8</v>
      </c>
      <c r="D16" s="17">
        <f>3366.86</f>
        <v>3366.86</v>
      </c>
      <c r="E16" s="6">
        <f>2526.32+1665.88</f>
        <v>4192.2000000000007</v>
      </c>
      <c r="F16" s="4">
        <v>176985.61</v>
      </c>
      <c r="G16" s="4">
        <v>325738.46999999997</v>
      </c>
      <c r="H16" s="4">
        <f>29794289</f>
        <v>29794289</v>
      </c>
      <c r="I16" s="4">
        <f>41145981+27132060</f>
        <v>68278041</v>
      </c>
      <c r="J16" s="4">
        <f>+AVERAGE(F9:F15)</f>
        <v>127048.90333333332</v>
      </c>
      <c r="K16" s="4">
        <f>+AVERAGE(G9:G15)</f>
        <v>259544.46333333335</v>
      </c>
      <c r="L16" s="32">
        <f>+F16/J16</f>
        <v>1.3930510642476752</v>
      </c>
      <c r="M16" s="33">
        <f>+G16/K16</f>
        <v>1.2550391783224193</v>
      </c>
      <c r="N16" s="38" t="s">
        <v>30</v>
      </c>
      <c r="O16" s="39" t="s">
        <v>50</v>
      </c>
      <c r="P16" s="29">
        <f>1.25%*P2*F16</f>
        <v>6636960.3749999991</v>
      </c>
      <c r="Q16" s="29">
        <f>1%*Q2*G16</f>
        <v>39088616.399999999</v>
      </c>
      <c r="R16" s="29">
        <f>SUM(P16:Q16)</f>
        <v>45725576.774999999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34">
        <f>+R16/$R$2</f>
        <v>3048.3717849999998</v>
      </c>
    </row>
    <row r="17" spans="1:42" x14ac:dyDescent="0.2">
      <c r="A17" s="60"/>
      <c r="B17" s="50"/>
      <c r="C17" s="8" t="s">
        <v>9</v>
      </c>
      <c r="D17" s="6">
        <f>2909.85</f>
        <v>2909.85</v>
      </c>
      <c r="E17" s="6">
        <f>1375+139.56+1041.33</f>
        <v>2555.89</v>
      </c>
      <c r="F17" s="5">
        <v>183096.53</v>
      </c>
      <c r="G17" s="15">
        <v>302842.98</v>
      </c>
      <c r="H17" s="5">
        <f>26639172</f>
        <v>26639172</v>
      </c>
      <c r="I17" s="5">
        <f>25363799+2113238+15767974</f>
        <v>43245011</v>
      </c>
      <c r="J17" s="24"/>
      <c r="K17" s="42"/>
      <c r="L17" s="44"/>
      <c r="N17" s="38" t="s">
        <v>31</v>
      </c>
      <c r="O17" s="39" t="s">
        <v>51</v>
      </c>
    </row>
    <row r="18" spans="1:42" ht="16" thickBot="1" x14ac:dyDescent="0.25">
      <c r="A18" s="60"/>
      <c r="B18" s="21"/>
      <c r="C18" s="21"/>
      <c r="D18" s="21"/>
      <c r="E18" s="21"/>
      <c r="F18" s="21"/>
      <c r="G18" s="21"/>
      <c r="H18" s="56"/>
      <c r="I18" s="56"/>
      <c r="J18" s="23"/>
      <c r="K18" s="43"/>
      <c r="L18" s="45"/>
      <c r="N18" s="40" t="s">
        <v>32</v>
      </c>
      <c r="O18" s="41" t="s">
        <v>52</v>
      </c>
    </row>
    <row r="19" spans="1:42" x14ac:dyDescent="0.2">
      <c r="A19" s="60"/>
      <c r="B19" s="50">
        <v>2020</v>
      </c>
      <c r="C19" s="8" t="s">
        <v>7</v>
      </c>
      <c r="D19" s="6">
        <f>2204.64+90</f>
        <v>2294.64</v>
      </c>
      <c r="E19" s="6">
        <f>2021.99+4745.29</f>
        <v>6767.28</v>
      </c>
      <c r="F19" s="4">
        <v>169967.78</v>
      </c>
      <c r="G19" s="4">
        <v>251034.16</v>
      </c>
      <c r="H19" s="4">
        <f>18735888+764855</f>
        <v>19500743</v>
      </c>
      <c r="I19" s="4">
        <f>25379428+59561494</f>
        <v>84940922</v>
      </c>
      <c r="J19" s="24"/>
      <c r="K19" s="42"/>
      <c r="L19" s="45"/>
    </row>
    <row r="20" spans="1:42" x14ac:dyDescent="0.2">
      <c r="A20" s="60"/>
      <c r="B20" s="50"/>
      <c r="C20" s="8" t="s">
        <v>10</v>
      </c>
      <c r="D20" s="6">
        <f>1641.38</f>
        <v>1641.38</v>
      </c>
      <c r="E20" s="6">
        <f>5212.18+3083.4</f>
        <v>8295.58</v>
      </c>
      <c r="F20" s="4">
        <v>143315</v>
      </c>
      <c r="G20" s="4">
        <v>209340.98</v>
      </c>
      <c r="H20" s="4">
        <f>11761719</f>
        <v>11761719</v>
      </c>
      <c r="I20" s="4">
        <f>54556143+32274099</f>
        <v>86830242</v>
      </c>
      <c r="J20" s="24"/>
      <c r="K20" s="42"/>
      <c r="L20" s="46"/>
    </row>
    <row r="21" spans="1:42" x14ac:dyDescent="0.2">
      <c r="A21" s="60"/>
      <c r="B21" s="50"/>
      <c r="C21" s="8" t="s">
        <v>8</v>
      </c>
      <c r="D21" s="17">
        <f>2850.46</f>
        <v>2850.46</v>
      </c>
      <c r="E21" s="6">
        <f>6568.65+1979.31</f>
        <v>8547.9599999999991</v>
      </c>
      <c r="F21" s="4">
        <v>137066.91</v>
      </c>
      <c r="G21" s="4">
        <v>202471.39</v>
      </c>
      <c r="H21" s="4">
        <f>19535187</f>
        <v>19535187</v>
      </c>
      <c r="I21" s="4">
        <f>66498185+20037682</f>
        <v>86535867</v>
      </c>
      <c r="J21" s="4">
        <f>+AVERAGE(F14:F20)</f>
        <v>163821.01166666669</v>
      </c>
      <c r="K21" s="4">
        <f>+AVERAGE(G14:G20)</f>
        <v>275779.90833333333</v>
      </c>
      <c r="L21" s="32">
        <f>+F21/J21</f>
        <v>0.83668699518774581</v>
      </c>
      <c r="M21" s="33">
        <f>+G21/K21</f>
        <v>0.73417745050257321</v>
      </c>
      <c r="P21" s="29">
        <f>0.4%*P2*F21</f>
        <v>1644802.92</v>
      </c>
      <c r="Q21" s="29">
        <f>0.4%*Q2*G21</f>
        <v>9718626.7200000007</v>
      </c>
      <c r="R21" s="29">
        <f>SUM(P21:Q21)</f>
        <v>11363429.640000001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4">
        <f>+R21/$R$2</f>
        <v>757.56197600000007</v>
      </c>
    </row>
    <row r="22" spans="1:42" x14ac:dyDescent="0.2">
      <c r="A22" s="60"/>
      <c r="B22" s="50"/>
      <c r="C22" s="8" t="s">
        <v>9</v>
      </c>
      <c r="D22" s="6">
        <f>4104.46</f>
        <v>4104.46</v>
      </c>
      <c r="E22" s="6">
        <f>4154.27+2715.78</f>
        <v>6870.0500000000011</v>
      </c>
      <c r="F22" s="5">
        <v>131717.28</v>
      </c>
      <c r="G22" s="5">
        <v>215967.08</v>
      </c>
      <c r="H22" s="5">
        <f>27031415</f>
        <v>27031415</v>
      </c>
      <c r="I22" s="5">
        <f>44859278+29325954</f>
        <v>74185232</v>
      </c>
      <c r="J22" s="24"/>
      <c r="K22" s="42"/>
      <c r="L22" s="44"/>
    </row>
    <row r="23" spans="1:42" x14ac:dyDescent="0.2">
      <c r="A23" s="60"/>
      <c r="B23" s="21"/>
      <c r="C23" s="21"/>
      <c r="D23" s="21"/>
      <c r="E23" s="21"/>
      <c r="F23" s="21"/>
      <c r="G23" s="21"/>
      <c r="H23" s="56"/>
      <c r="I23" s="56"/>
      <c r="J23" s="23"/>
      <c r="K23" s="43"/>
      <c r="L23" s="45"/>
    </row>
    <row r="24" spans="1:42" x14ac:dyDescent="0.2">
      <c r="A24" s="60"/>
      <c r="B24" s="50">
        <v>2021</v>
      </c>
      <c r="C24" s="8" t="s">
        <v>7</v>
      </c>
      <c r="D24" s="6">
        <f>3377.61</f>
        <v>3377.61</v>
      </c>
      <c r="E24" s="6">
        <f>4329.08+2420.41</f>
        <v>6749.49</v>
      </c>
      <c r="F24" s="4">
        <v>129017.39</v>
      </c>
      <c r="G24" s="4">
        <v>177788.66</v>
      </c>
      <c r="H24" s="4">
        <f>21788521</f>
        <v>21788521</v>
      </c>
      <c r="I24" s="4">
        <f>38483067+21516073</f>
        <v>59999140</v>
      </c>
      <c r="J24" s="24"/>
      <c r="K24" s="42"/>
      <c r="L24" s="45"/>
    </row>
    <row r="25" spans="1:42" x14ac:dyDescent="0.2">
      <c r="A25" s="60"/>
      <c r="B25" s="50"/>
      <c r="C25" s="8" t="s">
        <v>10</v>
      </c>
      <c r="D25" s="6">
        <f>3455.86</f>
        <v>3455.86</v>
      </c>
      <c r="E25" s="6">
        <f>2041.39+6268.73</f>
        <v>8310.119999999999</v>
      </c>
      <c r="F25" s="4">
        <v>131755.45000000001</v>
      </c>
      <c r="G25" s="4">
        <v>191768.25</v>
      </c>
      <c r="H25" s="4">
        <f>22766419</f>
        <v>22766419</v>
      </c>
      <c r="I25" s="4">
        <f>19573689+60107169</f>
        <v>79680858</v>
      </c>
      <c r="J25" s="24"/>
      <c r="K25" s="42"/>
      <c r="L25" s="46"/>
    </row>
    <row r="26" spans="1:42" x14ac:dyDescent="0.2">
      <c r="A26" s="60"/>
      <c r="B26" s="50"/>
      <c r="C26" s="8" t="s">
        <v>8</v>
      </c>
      <c r="D26" s="17">
        <v>3586.09</v>
      </c>
      <c r="E26" s="6">
        <f>3547.06+6073.5</f>
        <v>9620.56</v>
      </c>
      <c r="F26" s="4">
        <v>141496.84</v>
      </c>
      <c r="G26" s="4">
        <v>231540.45</v>
      </c>
      <c r="H26" s="4">
        <f>25371020</f>
        <v>25371020</v>
      </c>
      <c r="I26" s="4">
        <f>41064394+70313046</f>
        <v>111377440</v>
      </c>
      <c r="J26" s="4">
        <f>+AVERAGE(F19:F25)</f>
        <v>140473.30166666667</v>
      </c>
      <c r="K26" s="4">
        <f>+AVERAGE(G19:G25)</f>
        <v>208061.75333333333</v>
      </c>
      <c r="L26" s="32">
        <f>+F26/J26</f>
        <v>1.0072863549243123</v>
      </c>
      <c r="M26" s="33">
        <f>+G26/K26</f>
        <v>1.1128448467366885</v>
      </c>
      <c r="P26" s="29">
        <f>0.6%*P2*F26</f>
        <v>2546943.12</v>
      </c>
      <c r="Q26" s="29">
        <f>0.75%*Q2*G26</f>
        <v>20838640.5</v>
      </c>
      <c r="R26" s="29">
        <f>SUM(P26:Q26)</f>
        <v>23385583.620000001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4">
        <f>+R26/$R$2</f>
        <v>1559.038908</v>
      </c>
    </row>
    <row r="27" spans="1:42" x14ac:dyDescent="0.2">
      <c r="A27" s="60"/>
      <c r="B27" s="50"/>
      <c r="C27" s="8" t="s">
        <v>9</v>
      </c>
      <c r="D27" s="6">
        <f>3718.36</f>
        <v>3718.36</v>
      </c>
      <c r="E27" s="6">
        <f>53+7326.63</f>
        <v>7379.63</v>
      </c>
      <c r="F27" s="5">
        <v>153189.79</v>
      </c>
      <c r="G27" s="5">
        <v>275446.26</v>
      </c>
      <c r="H27" s="5">
        <f>28480739</f>
        <v>28480739</v>
      </c>
      <c r="I27" s="5">
        <f>729933+100904642</f>
        <v>101634575</v>
      </c>
      <c r="J27" s="24"/>
    </row>
    <row r="28" spans="1:42" x14ac:dyDescent="0.2">
      <c r="A28" s="60"/>
      <c r="B28" s="21"/>
      <c r="C28" s="21"/>
      <c r="D28" s="21"/>
      <c r="E28" s="21"/>
      <c r="F28" s="21"/>
      <c r="G28" s="21"/>
      <c r="H28" s="56"/>
      <c r="I28" s="56"/>
      <c r="J28" s="25"/>
    </row>
    <row r="29" spans="1:42" x14ac:dyDescent="0.2">
      <c r="A29" s="60"/>
      <c r="B29" s="50">
        <v>2022</v>
      </c>
      <c r="C29" s="8" t="s">
        <v>7</v>
      </c>
      <c r="D29" s="6"/>
      <c r="E29" s="6"/>
      <c r="F29" s="4">
        <v>288294.93</v>
      </c>
      <c r="G29" s="4">
        <v>602435.44999999995</v>
      </c>
      <c r="H29" s="4"/>
      <c r="I29" s="4"/>
      <c r="J29" s="24"/>
    </row>
    <row r="30" spans="1:42" x14ac:dyDescent="0.2">
      <c r="A30" s="60"/>
      <c r="B30" s="50"/>
      <c r="C30" s="8" t="s">
        <v>10</v>
      </c>
      <c r="D30" s="6"/>
      <c r="E30" s="6"/>
      <c r="F30" s="4">
        <v>487287.51</v>
      </c>
      <c r="G30" s="4">
        <v>1003459.19</v>
      </c>
      <c r="H30" s="4"/>
      <c r="I30" s="4"/>
      <c r="J30" s="26"/>
    </row>
    <row r="31" spans="1:42" x14ac:dyDescent="0.2">
      <c r="A31" s="60"/>
      <c r="B31" s="50"/>
      <c r="C31" s="8" t="s">
        <v>8</v>
      </c>
      <c r="D31" s="17"/>
      <c r="E31" s="6"/>
      <c r="F31" s="4">
        <v>615475.54</v>
      </c>
      <c r="G31" s="4">
        <v>1208446.75</v>
      </c>
      <c r="H31" s="4"/>
      <c r="I31" s="4"/>
      <c r="J31" s="4">
        <f>+AVERAGE(F24:F30)</f>
        <v>221840.31833333336</v>
      </c>
      <c r="K31" s="4">
        <f>+AVERAGE(G24:G30)</f>
        <v>413739.70999999996</v>
      </c>
      <c r="L31" s="32">
        <f>+F31/J31</f>
        <v>2.7744079373128079</v>
      </c>
      <c r="M31" s="33">
        <f>+G31/K31</f>
        <v>2.9207898608523704</v>
      </c>
      <c r="P31" s="29">
        <f>2%*F31*P2</f>
        <v>36928532.400000006</v>
      </c>
      <c r="Q31" s="29">
        <f>2%*G31*Q2</f>
        <v>290027220</v>
      </c>
      <c r="R31" s="29">
        <f>SUM(P31:Q31)</f>
        <v>326955752.39999998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34">
        <f>+R31/$R$2</f>
        <v>21797.050159999999</v>
      </c>
    </row>
    <row r="32" spans="1:42" x14ac:dyDescent="0.2">
      <c r="A32" s="60"/>
      <c r="B32" s="50"/>
      <c r="C32" s="8" t="s">
        <v>9</v>
      </c>
      <c r="D32" s="6"/>
      <c r="E32" s="6"/>
      <c r="H32" s="5"/>
      <c r="I32" s="5"/>
      <c r="J32" s="24">
        <f>+AVERAGE(F25-F24,F26-F25,F27-F26,F29-F27,F30-F29,F31-F30)</f>
        <v>81076.358333333337</v>
      </c>
      <c r="L32">
        <f>F31/(F26+5*J32)</f>
        <v>1.1254335136925673</v>
      </c>
    </row>
    <row r="33" spans="1:9" x14ac:dyDescent="0.2">
      <c r="A33" s="60"/>
      <c r="B33" s="61"/>
      <c r="C33" s="61"/>
      <c r="D33" s="61"/>
      <c r="E33" s="61"/>
      <c r="F33" s="61"/>
      <c r="G33" s="61"/>
      <c r="H33" s="56"/>
      <c r="I33" s="56"/>
    </row>
  </sheetData>
  <mergeCells count="23">
    <mergeCell ref="B14:B17"/>
    <mergeCell ref="D2:E2"/>
    <mergeCell ref="A1:K1"/>
    <mergeCell ref="H23:I23"/>
    <mergeCell ref="H28:I28"/>
    <mergeCell ref="H8:I8"/>
    <mergeCell ref="H13:I13"/>
    <mergeCell ref="H18:I18"/>
    <mergeCell ref="B19:B22"/>
    <mergeCell ref="B24:B27"/>
    <mergeCell ref="A2:A3"/>
    <mergeCell ref="B2:B3"/>
    <mergeCell ref="A4:A33"/>
    <mergeCell ref="B29:B32"/>
    <mergeCell ref="B33:G33"/>
    <mergeCell ref="H33:I33"/>
    <mergeCell ref="L2:M2"/>
    <mergeCell ref="B9:B12"/>
    <mergeCell ref="F2:G2"/>
    <mergeCell ref="J2:K2"/>
    <mergeCell ref="H2:I2"/>
    <mergeCell ref="C2:C3"/>
    <mergeCell ref="B4:B7"/>
  </mergeCell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01B8-72FE-D04C-8BEE-DB7EE41EF2C8}">
  <dimension ref="A1:F23"/>
  <sheetViews>
    <sheetView workbookViewId="0">
      <selection activeCell="F23" sqref="F1:F23"/>
    </sheetView>
  </sheetViews>
  <sheetFormatPr baseColWidth="10" defaultRowHeight="15" x14ac:dyDescent="0.2"/>
  <cols>
    <col min="1" max="1" width="12.5" bestFit="1" customWidth="1"/>
    <col min="6" max="6" width="14" bestFit="1" customWidth="1"/>
  </cols>
  <sheetData>
    <row r="1" spans="1:6" x14ac:dyDescent="0.2">
      <c r="A1" s="69">
        <v>99038.02</v>
      </c>
      <c r="F1" s="69">
        <v>99038.02</v>
      </c>
    </row>
    <row r="2" spans="1:6" x14ac:dyDescent="0.2">
      <c r="A2" s="69">
        <v>98156.98</v>
      </c>
      <c r="F2" s="69">
        <v>152061.09</v>
      </c>
    </row>
    <row r="3" spans="1:6" x14ac:dyDescent="0.2">
      <c r="A3" s="69">
        <v>100938.71</v>
      </c>
      <c r="F3" s="69">
        <v>202622.34</v>
      </c>
    </row>
    <row r="4" spans="1:6" x14ac:dyDescent="0.2">
      <c r="A4" s="69">
        <v>100900.54</v>
      </c>
      <c r="F4" s="69">
        <v>211893.86</v>
      </c>
    </row>
    <row r="5" spans="1:6" x14ac:dyDescent="0.2">
      <c r="A5" s="69">
        <v>108098.55</v>
      </c>
      <c r="F5" s="69">
        <v>212800.86</v>
      </c>
    </row>
    <row r="6" spans="1:6" x14ac:dyDescent="0.2">
      <c r="A6" s="69">
        <v>109997.33</v>
      </c>
      <c r="F6" s="69">
        <v>233296.24</v>
      </c>
    </row>
    <row r="7" spans="1:6" x14ac:dyDescent="0.2">
      <c r="A7" s="69">
        <v>112927.64</v>
      </c>
      <c r="F7" s="69">
        <v>270486.73</v>
      </c>
    </row>
    <row r="8" spans="1:6" x14ac:dyDescent="0.2">
      <c r="A8" s="70">
        <v>121708.75</v>
      </c>
      <c r="F8" s="70">
        <v>274960.09000000003</v>
      </c>
    </row>
    <row r="9" spans="1:6" x14ac:dyDescent="0.2">
      <c r="A9" s="69">
        <v>143101.21</v>
      </c>
      <c r="F9" s="69">
        <v>270813.03000000003</v>
      </c>
    </row>
    <row r="10" spans="1:6" x14ac:dyDescent="0.2">
      <c r="A10" s="69">
        <v>166459.94</v>
      </c>
      <c r="F10" s="69">
        <v>294909.83</v>
      </c>
    </row>
    <row r="11" spans="1:6" x14ac:dyDescent="0.2">
      <c r="A11" s="69">
        <v>176985.61</v>
      </c>
      <c r="F11" s="69">
        <v>325738.46999999997</v>
      </c>
    </row>
    <row r="12" spans="1:6" x14ac:dyDescent="0.2">
      <c r="A12" s="70">
        <v>183096.53</v>
      </c>
      <c r="F12" s="71">
        <v>302842.98</v>
      </c>
    </row>
    <row r="13" spans="1:6" x14ac:dyDescent="0.2">
      <c r="A13" s="69">
        <v>169967.78</v>
      </c>
      <c r="F13" s="69">
        <v>251034.16</v>
      </c>
    </row>
    <row r="14" spans="1:6" x14ac:dyDescent="0.2">
      <c r="A14" s="69">
        <v>143315</v>
      </c>
      <c r="F14" s="69">
        <v>209340.98</v>
      </c>
    </row>
    <row r="15" spans="1:6" x14ac:dyDescent="0.2">
      <c r="A15" s="69">
        <v>137066.91</v>
      </c>
      <c r="F15" s="69">
        <v>202471.39</v>
      </c>
    </row>
    <row r="16" spans="1:6" x14ac:dyDescent="0.2">
      <c r="A16" s="70">
        <v>131717.28</v>
      </c>
      <c r="F16" s="70">
        <v>215967.08</v>
      </c>
    </row>
    <row r="17" spans="1:6" x14ac:dyDescent="0.2">
      <c r="A17" s="69">
        <v>129017.39</v>
      </c>
      <c r="F17" s="69">
        <v>177788.66</v>
      </c>
    </row>
    <row r="18" spans="1:6" x14ac:dyDescent="0.2">
      <c r="A18" s="69">
        <v>131755.45000000001</v>
      </c>
      <c r="F18" s="69">
        <v>191768.25</v>
      </c>
    </row>
    <row r="19" spans="1:6" x14ac:dyDescent="0.2">
      <c r="A19" s="69">
        <v>141496.84</v>
      </c>
      <c r="F19" s="69">
        <v>231540.45</v>
      </c>
    </row>
    <row r="20" spans="1:6" x14ac:dyDescent="0.2">
      <c r="A20" s="70">
        <v>153189.79</v>
      </c>
      <c r="F20" s="70">
        <v>275446.26</v>
      </c>
    </row>
    <row r="21" spans="1:6" x14ac:dyDescent="0.2">
      <c r="A21" s="69">
        <v>288294.93</v>
      </c>
      <c r="F21" s="69">
        <v>602435.44999999995</v>
      </c>
    </row>
    <row r="22" spans="1:6" x14ac:dyDescent="0.2">
      <c r="A22" s="69">
        <v>487287.51</v>
      </c>
      <c r="F22" s="69">
        <v>1003459.19</v>
      </c>
    </row>
    <row r="23" spans="1:6" x14ac:dyDescent="0.2">
      <c r="A23" s="69">
        <v>615475.54</v>
      </c>
      <c r="F23" s="69">
        <v>1208446.75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35"/>
  <sheetViews>
    <sheetView workbookViewId="0">
      <selection activeCell="I6" sqref="I6"/>
    </sheetView>
  </sheetViews>
  <sheetFormatPr baseColWidth="10" defaultRowHeight="15" x14ac:dyDescent="0.2"/>
  <cols>
    <col min="1" max="1" width="13" bestFit="1" customWidth="1"/>
    <col min="3" max="3" width="13" bestFit="1" customWidth="1"/>
    <col min="4" max="4" width="16.1640625" bestFit="1" customWidth="1"/>
    <col min="5" max="5" width="18.1640625" bestFit="1" customWidth="1"/>
    <col min="6" max="6" width="29.5" bestFit="1" customWidth="1"/>
    <col min="7" max="7" width="18.1640625" bestFit="1" customWidth="1"/>
  </cols>
  <sheetData>
    <row r="4" spans="1:7" x14ac:dyDescent="0.2">
      <c r="A4" s="62" t="s">
        <v>20</v>
      </c>
      <c r="B4" s="62"/>
      <c r="C4" s="62"/>
      <c r="D4" s="62"/>
      <c r="E4" s="62"/>
      <c r="F4" s="62"/>
      <c r="G4" s="62"/>
    </row>
    <row r="5" spans="1:7" x14ac:dyDescent="0.2">
      <c r="A5" s="63" t="s">
        <v>0</v>
      </c>
      <c r="B5" s="50" t="s">
        <v>2</v>
      </c>
      <c r="C5" s="64" t="s">
        <v>11</v>
      </c>
      <c r="D5" s="2" t="s">
        <v>6</v>
      </c>
      <c r="E5" s="2" t="s">
        <v>3</v>
      </c>
      <c r="F5" s="13" t="s">
        <v>14</v>
      </c>
      <c r="G5" s="2" t="s">
        <v>1</v>
      </c>
    </row>
    <row r="6" spans="1:7" x14ac:dyDescent="0.2">
      <c r="A6" s="63"/>
      <c r="B6" s="50"/>
      <c r="C6" s="64"/>
      <c r="D6" s="2" t="s">
        <v>12</v>
      </c>
      <c r="E6" s="2" t="s">
        <v>12</v>
      </c>
      <c r="F6" s="2" t="s">
        <v>12</v>
      </c>
      <c r="G6" s="2" t="s">
        <v>12</v>
      </c>
    </row>
    <row r="7" spans="1:7" x14ac:dyDescent="0.2">
      <c r="A7" s="63" t="s">
        <v>5</v>
      </c>
      <c r="B7" s="50">
        <v>2017</v>
      </c>
      <c r="C7" s="8" t="s">
        <v>7</v>
      </c>
      <c r="D7" s="11"/>
      <c r="E7" s="10"/>
      <c r="F7" s="10"/>
      <c r="G7" s="66"/>
    </row>
    <row r="8" spans="1:7" x14ac:dyDescent="0.2">
      <c r="A8" s="63"/>
      <c r="B8" s="50"/>
      <c r="C8" s="8" t="s">
        <v>10</v>
      </c>
      <c r="D8" s="11"/>
      <c r="E8" s="10"/>
      <c r="F8" s="10"/>
      <c r="G8" s="66"/>
    </row>
    <row r="9" spans="1:7" x14ac:dyDescent="0.2">
      <c r="A9" s="63"/>
      <c r="B9" s="50"/>
      <c r="C9" s="8" t="s">
        <v>8</v>
      </c>
      <c r="D9" s="3"/>
      <c r="E9" s="4"/>
      <c r="F9" s="4"/>
      <c r="G9" s="66"/>
    </row>
    <row r="10" spans="1:7" x14ac:dyDescent="0.2">
      <c r="A10" s="63"/>
      <c r="B10" s="50"/>
      <c r="C10" s="8" t="s">
        <v>9</v>
      </c>
      <c r="D10" s="3"/>
      <c r="E10" s="4"/>
      <c r="F10" s="4"/>
      <c r="G10" s="66"/>
    </row>
    <row r="11" spans="1:7" x14ac:dyDescent="0.2">
      <c r="A11" s="63"/>
      <c r="B11" s="7"/>
      <c r="C11" s="8"/>
      <c r="D11" s="3"/>
      <c r="E11" s="3"/>
      <c r="F11" s="3"/>
      <c r="G11" s="3"/>
    </row>
    <row r="12" spans="1:7" x14ac:dyDescent="0.2">
      <c r="A12" s="63"/>
      <c r="B12" s="50">
        <v>2018</v>
      </c>
      <c r="C12" s="8" t="s">
        <v>7</v>
      </c>
      <c r="D12" s="3">
        <v>0</v>
      </c>
      <c r="E12" s="4">
        <v>0</v>
      </c>
      <c r="F12" s="4">
        <v>0</v>
      </c>
      <c r="G12" s="65">
        <v>150000</v>
      </c>
    </row>
    <row r="13" spans="1:7" x14ac:dyDescent="0.2">
      <c r="A13" s="63"/>
      <c r="B13" s="50"/>
      <c r="C13" s="8" t="s">
        <v>10</v>
      </c>
      <c r="D13" s="3">
        <f>1297.8</f>
        <v>1297.8</v>
      </c>
      <c r="E13" s="4">
        <v>233296.24</v>
      </c>
      <c r="F13" s="4">
        <v>15138593</v>
      </c>
      <c r="G13" s="65"/>
    </row>
    <row r="14" spans="1:7" x14ac:dyDescent="0.2">
      <c r="A14" s="63"/>
      <c r="B14" s="50"/>
      <c r="C14" s="8" t="s">
        <v>8</v>
      </c>
      <c r="D14" s="3">
        <v>1284.3399999999999</v>
      </c>
      <c r="E14" s="4">
        <v>270486.73</v>
      </c>
      <c r="F14" s="4">
        <f>17369846</f>
        <v>17369846</v>
      </c>
      <c r="G14" s="65"/>
    </row>
    <row r="15" spans="1:7" x14ac:dyDescent="0.2">
      <c r="A15" s="63"/>
      <c r="B15" s="50"/>
      <c r="C15" s="8" t="s">
        <v>9</v>
      </c>
      <c r="D15" s="3">
        <v>1793.23</v>
      </c>
      <c r="E15" s="5">
        <v>274960.09000000003</v>
      </c>
      <c r="F15" s="5">
        <f>24653334</f>
        <v>24653334</v>
      </c>
      <c r="G15" s="65"/>
    </row>
    <row r="16" spans="1:7" x14ac:dyDescent="0.2">
      <c r="A16" s="63"/>
      <c r="B16" s="7"/>
      <c r="C16" s="8"/>
      <c r="D16" s="9">
        <f>SUM(D12:D15)</f>
        <v>4375.37</v>
      </c>
      <c r="E16" s="3"/>
      <c r="F16" s="12">
        <f>SUM(F12:F15)</f>
        <v>57161773</v>
      </c>
      <c r="G16" s="3"/>
    </row>
    <row r="17" spans="1:7" x14ac:dyDescent="0.2">
      <c r="A17" s="63"/>
      <c r="B17" s="61" t="s">
        <v>15</v>
      </c>
      <c r="C17" s="61"/>
      <c r="D17" s="61"/>
      <c r="E17" s="61"/>
      <c r="F17" s="14">
        <f>F16</f>
        <v>57161773</v>
      </c>
      <c r="G17" s="3"/>
    </row>
    <row r="18" spans="1:7" x14ac:dyDescent="0.2">
      <c r="A18" s="63"/>
      <c r="B18" s="50">
        <v>2019</v>
      </c>
      <c r="C18" s="8" t="s">
        <v>7</v>
      </c>
      <c r="D18" s="3">
        <v>1682.4</v>
      </c>
      <c r="E18" s="4">
        <v>270813.03000000003</v>
      </c>
      <c r="F18" s="4">
        <f>22780792</f>
        <v>22780792</v>
      </c>
      <c r="G18" s="65">
        <v>150000</v>
      </c>
    </row>
    <row r="19" spans="1:7" x14ac:dyDescent="0.2">
      <c r="A19" s="63"/>
      <c r="B19" s="50"/>
      <c r="C19" s="8" t="s">
        <v>10</v>
      </c>
      <c r="D19" s="3">
        <v>1560.84</v>
      </c>
      <c r="E19" s="4">
        <v>294909.83</v>
      </c>
      <c r="F19" s="4">
        <f>23015353</f>
        <v>23015353</v>
      </c>
      <c r="G19" s="65"/>
    </row>
    <row r="20" spans="1:7" x14ac:dyDescent="0.2">
      <c r="A20" s="63"/>
      <c r="B20" s="50"/>
      <c r="C20" s="8" t="s">
        <v>8</v>
      </c>
      <c r="D20" s="3">
        <v>1620.68</v>
      </c>
      <c r="E20" s="4">
        <v>325738.46999999997</v>
      </c>
      <c r="F20" s="4">
        <f>26395891</f>
        <v>26395891</v>
      </c>
      <c r="G20" s="65"/>
    </row>
    <row r="21" spans="1:7" x14ac:dyDescent="0.2">
      <c r="A21" s="63"/>
      <c r="B21" s="50"/>
      <c r="C21" s="8" t="s">
        <v>9</v>
      </c>
      <c r="D21" s="3">
        <v>1713.39</v>
      </c>
      <c r="E21" s="5">
        <v>302842.98</v>
      </c>
      <c r="F21" s="5">
        <f>25944407</f>
        <v>25944407</v>
      </c>
      <c r="G21" s="65"/>
    </row>
    <row r="22" spans="1:7" x14ac:dyDescent="0.2">
      <c r="A22" s="63"/>
      <c r="B22" s="7"/>
      <c r="C22" s="8"/>
      <c r="D22" s="9">
        <f>SUM(D18:D21)</f>
        <v>6577.31</v>
      </c>
      <c r="E22" s="3"/>
      <c r="F22" s="12">
        <f>SUM(F18:F21)</f>
        <v>98136443</v>
      </c>
      <c r="G22" s="3"/>
    </row>
    <row r="23" spans="1:7" x14ac:dyDescent="0.2">
      <c r="A23" s="63"/>
      <c r="B23" s="61" t="s">
        <v>16</v>
      </c>
      <c r="C23" s="61"/>
      <c r="D23" s="61"/>
      <c r="E23" s="61"/>
      <c r="F23" s="14">
        <f>F22</f>
        <v>98136443</v>
      </c>
      <c r="G23" s="3"/>
    </row>
    <row r="24" spans="1:7" x14ac:dyDescent="0.2">
      <c r="A24" s="63"/>
      <c r="B24" s="50">
        <v>2020</v>
      </c>
      <c r="C24" s="8" t="s">
        <v>7</v>
      </c>
      <c r="D24" s="3">
        <v>0</v>
      </c>
      <c r="E24" s="4"/>
      <c r="F24" s="4">
        <v>0</v>
      </c>
      <c r="G24" s="65">
        <v>0</v>
      </c>
    </row>
    <row r="25" spans="1:7" x14ac:dyDescent="0.2">
      <c r="A25" s="63"/>
      <c r="B25" s="50"/>
      <c r="C25" s="8" t="s">
        <v>10</v>
      </c>
      <c r="D25" s="3">
        <v>0</v>
      </c>
      <c r="E25" s="4"/>
      <c r="F25" s="4">
        <v>0</v>
      </c>
      <c r="G25" s="65"/>
    </row>
    <row r="26" spans="1:7" x14ac:dyDescent="0.2">
      <c r="A26" s="63"/>
      <c r="B26" s="50"/>
      <c r="C26" s="8" t="s">
        <v>8</v>
      </c>
      <c r="D26" s="3">
        <v>0</v>
      </c>
      <c r="E26" s="4"/>
      <c r="F26" s="4">
        <v>0</v>
      </c>
      <c r="G26" s="65"/>
    </row>
    <row r="27" spans="1:7" x14ac:dyDescent="0.2">
      <c r="A27" s="63"/>
      <c r="B27" s="50"/>
      <c r="C27" s="8" t="s">
        <v>9</v>
      </c>
      <c r="D27" s="3">
        <v>0</v>
      </c>
      <c r="E27" s="5"/>
      <c r="F27" s="5">
        <v>0</v>
      </c>
      <c r="G27" s="65"/>
    </row>
    <row r="28" spans="1:7" x14ac:dyDescent="0.2">
      <c r="A28" s="63"/>
      <c r="B28" s="7"/>
      <c r="C28" s="8"/>
      <c r="D28" s="9">
        <f>SUM(D24:D27)</f>
        <v>0</v>
      </c>
      <c r="E28" s="3"/>
      <c r="F28" s="12">
        <f>SUM(F24:F27)</f>
        <v>0</v>
      </c>
      <c r="G28" s="3"/>
    </row>
    <row r="29" spans="1:7" x14ac:dyDescent="0.2">
      <c r="A29" s="63"/>
      <c r="B29" s="61" t="s">
        <v>17</v>
      </c>
      <c r="C29" s="61"/>
      <c r="D29" s="61"/>
      <c r="E29" s="61"/>
      <c r="F29" s="14">
        <f>F28</f>
        <v>0</v>
      </c>
      <c r="G29" s="3"/>
    </row>
    <row r="30" spans="1:7" x14ac:dyDescent="0.2">
      <c r="A30" s="63"/>
      <c r="B30" s="50">
        <v>2021</v>
      </c>
      <c r="C30" s="8" t="s">
        <v>7</v>
      </c>
      <c r="D30" s="3">
        <v>0</v>
      </c>
      <c r="E30" s="4"/>
      <c r="F30" s="4">
        <v>0</v>
      </c>
      <c r="G30" s="65">
        <v>275446.26</v>
      </c>
    </row>
    <row r="31" spans="1:7" x14ac:dyDescent="0.2">
      <c r="A31" s="63"/>
      <c r="B31" s="50"/>
      <c r="C31" s="8" t="s">
        <v>10</v>
      </c>
      <c r="D31" s="3">
        <v>1618.48</v>
      </c>
      <c r="E31" s="4">
        <v>191768.25</v>
      </c>
      <c r="F31" s="4">
        <f>15518654</f>
        <v>15518654</v>
      </c>
      <c r="G31" s="65"/>
    </row>
    <row r="32" spans="1:7" x14ac:dyDescent="0.2">
      <c r="A32" s="63"/>
      <c r="B32" s="50"/>
      <c r="C32" s="8" t="s">
        <v>8</v>
      </c>
      <c r="D32" s="3">
        <v>0</v>
      </c>
      <c r="E32" s="4"/>
      <c r="F32" s="4">
        <v>0</v>
      </c>
      <c r="G32" s="65"/>
    </row>
    <row r="33" spans="1:7" x14ac:dyDescent="0.2">
      <c r="A33" s="63"/>
      <c r="B33" s="50"/>
      <c r="C33" s="8" t="s">
        <v>9</v>
      </c>
      <c r="D33" s="3">
        <v>917.3</v>
      </c>
      <c r="E33" s="5">
        <v>275446.26</v>
      </c>
      <c r="F33" s="5">
        <f>12633343</f>
        <v>12633343</v>
      </c>
      <c r="G33" s="65"/>
    </row>
    <row r="34" spans="1:7" x14ac:dyDescent="0.2">
      <c r="A34" s="63"/>
      <c r="B34" s="7"/>
      <c r="C34" s="8"/>
      <c r="D34" s="9">
        <f>SUM(D30:D33)</f>
        <v>2535.7799999999997</v>
      </c>
      <c r="E34" s="3"/>
      <c r="F34" s="12">
        <f>SUM(F30:F33)</f>
        <v>28151997</v>
      </c>
      <c r="G34" s="3"/>
    </row>
    <row r="35" spans="1:7" x14ac:dyDescent="0.2">
      <c r="A35" s="63"/>
      <c r="B35" s="61" t="s">
        <v>18</v>
      </c>
      <c r="C35" s="61"/>
      <c r="D35" s="61"/>
      <c r="E35" s="61"/>
      <c r="F35" s="14">
        <f>F34</f>
        <v>28151997</v>
      </c>
      <c r="G35" s="3"/>
    </row>
  </sheetData>
  <mergeCells count="19">
    <mergeCell ref="B35:E35"/>
    <mergeCell ref="A7:A35"/>
    <mergeCell ref="B7:B10"/>
    <mergeCell ref="G7:G10"/>
    <mergeCell ref="B12:B15"/>
    <mergeCell ref="A4:G4"/>
    <mergeCell ref="A5:A6"/>
    <mergeCell ref="B5:B6"/>
    <mergeCell ref="C5:C6"/>
    <mergeCell ref="B30:B33"/>
    <mergeCell ref="G30:G33"/>
    <mergeCell ref="G12:G15"/>
    <mergeCell ref="B18:B21"/>
    <mergeCell ref="G18:G21"/>
    <mergeCell ref="B24:B27"/>
    <mergeCell ref="G24:G27"/>
    <mergeCell ref="B17:E17"/>
    <mergeCell ref="B23:E23"/>
    <mergeCell ref="B29:E2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02-003-96</vt:lpstr>
      <vt:lpstr>Sheet1</vt:lpstr>
      <vt:lpstr>052-93</vt:lpstr>
      <vt:lpstr>'02-003-96'!Print_Area</vt:lpstr>
      <vt:lpstr>'052-93'!Print_Area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Ludbin Amezquita</dc:creator>
  <cp:lastModifiedBy>Microsoft Office User</cp:lastModifiedBy>
  <cp:lastPrinted>2022-06-25T15:49:22Z</cp:lastPrinted>
  <dcterms:created xsi:type="dcterms:W3CDTF">2022-06-24T20:36:46Z</dcterms:created>
  <dcterms:modified xsi:type="dcterms:W3CDTF">2022-08-01T01:45:14Z</dcterms:modified>
</cp:coreProperties>
</file>