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dar\Documents\repos\ruta-analisis-de-datos\pe4b\Tareas\"/>
    </mc:Choice>
  </mc:AlternateContent>
  <xr:revisionPtr revIDLastSave="0" documentId="13_ncr:1_{95648706-981E-4822-8BD4-11F50D65C6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6" r:id="rId5"/>
  </sheets>
  <definedNames>
    <definedName name="_xlnm._FilterDatabase" localSheetId="3" hidden="1">'Ejercicio 4'!$P$17:$T$36</definedName>
    <definedName name="_xlchart.v1.0" hidden="1">'Ejercicio 4'!$J$33:$J$79</definedName>
    <definedName name="_xlchart.v1.1" hidden="1">'Ejercicio 4'!$J$33:$J$79</definedName>
    <definedName name="_xlchart.v1.2" hidden="1">'Ejercicio 4'!$L$33:$L$79</definedName>
    <definedName name="_xlchart.v1.3" hidden="1">'Ejercicio 4'!$J$50:$J$96</definedName>
    <definedName name="_xlchart.v1.4" hidden="1">'Ejercicio 4'!$L$50:$L$96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 s="1"/>
  <c r="H8" i="1" s="1"/>
  <c r="F9" i="1"/>
  <c r="G9" i="1" s="1"/>
  <c r="H9" i="1" s="1"/>
  <c r="F10" i="1"/>
  <c r="F11" i="1"/>
  <c r="G11" i="1" s="1"/>
  <c r="H11" i="1" s="1"/>
  <c r="F12" i="1"/>
  <c r="G12" i="1" s="1"/>
  <c r="H12" i="1" s="1"/>
  <c r="F7" i="1"/>
  <c r="G7" i="1" s="1"/>
  <c r="H7" i="1" s="1"/>
  <c r="G10" i="1"/>
  <c r="H10" i="1" s="1"/>
  <c r="C16" i="1"/>
  <c r="E13" i="1"/>
  <c r="C13" i="1"/>
  <c r="E8" i="1"/>
  <c r="E9" i="1"/>
  <c r="E10" i="1"/>
  <c r="E11" i="1"/>
  <c r="E12" i="1"/>
  <c r="E7" i="1"/>
  <c r="D12" i="1"/>
  <c r="D11" i="1"/>
  <c r="D10" i="1"/>
  <c r="D9" i="1"/>
  <c r="D8" i="1"/>
  <c r="D7" i="1"/>
  <c r="K17" i="4" a="1"/>
  <c r="K19" i="4" s="1"/>
  <c r="L19" i="4" s="1"/>
  <c r="J17" i="4" a="1"/>
  <c r="J17" i="4" s="1"/>
  <c r="P50" i="4"/>
  <c r="O50" i="4"/>
  <c r="N50" i="4"/>
  <c r="L63" i="4" s="1"/>
  <c r="K35" i="6" a="1"/>
  <c r="K35" i="6"/>
  <c r="K30" i="6" a="1"/>
  <c r="K30" i="6"/>
  <c r="K31" i="6" s="1"/>
  <c r="K27" i="6"/>
  <c r="K33" i="6"/>
  <c r="K32" i="6" a="1"/>
  <c r="K32" i="6" s="1"/>
  <c r="K28" i="6"/>
  <c r="K25" i="6"/>
  <c r="H13" i="1" l="1"/>
  <c r="C22" i="1" s="1"/>
  <c r="C23" i="1" s="1"/>
  <c r="K34" i="4"/>
  <c r="L34" i="4" s="1"/>
  <c r="K30" i="4"/>
  <c r="L30" i="4" s="1"/>
  <c r="K26" i="4"/>
  <c r="L26" i="4" s="1"/>
  <c r="K22" i="4"/>
  <c r="L22" i="4" s="1"/>
  <c r="K18" i="4"/>
  <c r="L18" i="4" s="1"/>
  <c r="K33" i="4"/>
  <c r="L33" i="4" s="1"/>
  <c r="K29" i="4"/>
  <c r="L29" i="4" s="1"/>
  <c r="K25" i="4"/>
  <c r="L25" i="4" s="1"/>
  <c r="K21" i="4"/>
  <c r="L21" i="4" s="1"/>
  <c r="K17" i="4"/>
  <c r="K36" i="4"/>
  <c r="K32" i="4"/>
  <c r="L32" i="4" s="1"/>
  <c r="K28" i="4"/>
  <c r="L28" i="4" s="1"/>
  <c r="K24" i="4"/>
  <c r="L24" i="4" s="1"/>
  <c r="K20" i="4"/>
  <c r="L20" i="4" s="1"/>
  <c r="K35" i="4"/>
  <c r="L35" i="4" s="1"/>
  <c r="K31" i="4"/>
  <c r="L31" i="4" s="1"/>
  <c r="K27" i="4"/>
  <c r="L27" i="4" s="1"/>
  <c r="K23" i="4"/>
  <c r="L23" i="4" s="1"/>
  <c r="L17" i="4"/>
  <c r="L69" i="4"/>
  <c r="L55" i="4"/>
  <c r="L52" i="4"/>
  <c r="L82" i="4"/>
  <c r="L85" i="4"/>
  <c r="L86" i="4"/>
  <c r="L93" i="4"/>
  <c r="L62" i="4"/>
  <c r="L59" i="4"/>
  <c r="L91" i="4"/>
  <c r="L57" i="4"/>
  <c r="L80" i="4"/>
  <c r="L67" i="4"/>
  <c r="L65" i="4"/>
  <c r="L71" i="4"/>
  <c r="L94" i="4"/>
  <c r="L88" i="4"/>
  <c r="L92" i="4"/>
  <c r="L95" i="4"/>
  <c r="L64" i="4"/>
  <c r="L96" i="4"/>
  <c r="L84" i="4"/>
  <c r="L66" i="4"/>
  <c r="L81" i="4"/>
  <c r="L78" i="4"/>
  <c r="L54" i="4"/>
  <c r="L76" i="4"/>
  <c r="L50" i="4"/>
  <c r="L79" i="4"/>
  <c r="L53" i="4"/>
  <c r="L77" i="4"/>
  <c r="L74" i="4"/>
  <c r="L73" i="4"/>
  <c r="L68" i="4"/>
  <c r="L90" i="4"/>
  <c r="L87" i="4"/>
  <c r="L70" i="4"/>
  <c r="L83" i="4"/>
  <c r="L60" i="4"/>
  <c r="L58" i="4"/>
  <c r="L56" i="4"/>
  <c r="L75" i="4"/>
  <c r="L89" i="4"/>
  <c r="L51" i="4"/>
  <c r="L61" i="4"/>
  <c r="L72" i="4"/>
  <c r="K37" i="6"/>
  <c r="K39" i="4" l="1"/>
  <c r="K40" i="4" s="1"/>
  <c r="C32" i="3"/>
  <c r="C31" i="3"/>
  <c r="C24" i="3"/>
  <c r="C29" i="3"/>
  <c r="C28" i="3"/>
  <c r="C30" i="3"/>
  <c r="C13" i="3"/>
  <c r="C15" i="3" s="1"/>
  <c r="C19" i="3" s="1" a="1"/>
  <c r="C19" i="3" s="1"/>
  <c r="C20" i="3" s="1"/>
  <c r="C36" i="3" s="1"/>
  <c r="C26" i="2"/>
  <c r="C24" i="2"/>
  <c r="C22" i="2"/>
  <c r="C20" i="2"/>
  <c r="I6" i="2"/>
  <c r="I7" i="2"/>
  <c r="I8" i="2"/>
  <c r="I9" i="2"/>
  <c r="I10" i="2"/>
  <c r="I11" i="2"/>
  <c r="I12" i="2"/>
  <c r="I5" i="2"/>
  <c r="H6" i="2"/>
  <c r="H7" i="2"/>
  <c r="H8" i="2"/>
  <c r="H9" i="2"/>
  <c r="H10" i="2"/>
  <c r="H11" i="2"/>
  <c r="H12" i="2"/>
  <c r="H5" i="2"/>
  <c r="G6" i="2"/>
  <c r="G7" i="2"/>
  <c r="G8" i="2"/>
  <c r="G9" i="2"/>
  <c r="G10" i="2"/>
  <c r="G11" i="2"/>
  <c r="G12" i="2"/>
  <c r="G5" i="2"/>
  <c r="F6" i="2"/>
  <c r="F7" i="2"/>
  <c r="F8" i="2"/>
  <c r="F9" i="2"/>
  <c r="F10" i="2"/>
  <c r="F11" i="2"/>
  <c r="F12" i="2"/>
  <c r="F5" i="2"/>
  <c r="C25" i="2"/>
  <c r="C23" i="2"/>
  <c r="C21" i="2"/>
  <c r="C19" i="2"/>
  <c r="C17" i="2"/>
  <c r="K41" i="4" l="1" a="1"/>
  <c r="K41" i="4" s="1"/>
  <c r="M20" i="4"/>
  <c r="N20" i="4" s="1"/>
  <c r="O20" i="4" s="1"/>
  <c r="M24" i="4"/>
  <c r="N24" i="4" s="1"/>
  <c r="O24" i="4" s="1"/>
  <c r="M29" i="4"/>
  <c r="N29" i="4" s="1"/>
  <c r="O29" i="4" s="1"/>
  <c r="M35" i="4"/>
  <c r="N35" i="4" s="1"/>
  <c r="O35" i="4" s="1"/>
  <c r="M21" i="4"/>
  <c r="N21" i="4" s="1"/>
  <c r="O21" i="4" s="1"/>
  <c r="M25" i="4"/>
  <c r="N25" i="4" s="1"/>
  <c r="O25" i="4" s="1"/>
  <c r="M33" i="4"/>
  <c r="N33" i="4" s="1"/>
  <c r="O33" i="4" s="1"/>
  <c r="M18" i="4"/>
  <c r="N18" i="4" s="1"/>
  <c r="O18" i="4" s="1"/>
  <c r="M22" i="4"/>
  <c r="N22" i="4" s="1"/>
  <c r="O22" i="4" s="1"/>
  <c r="M26" i="4"/>
  <c r="N26" i="4" s="1"/>
  <c r="O26" i="4" s="1"/>
  <c r="M30" i="4"/>
  <c r="N30" i="4" s="1"/>
  <c r="O30" i="4" s="1"/>
  <c r="M34" i="4"/>
  <c r="N34" i="4" s="1"/>
  <c r="O34" i="4" s="1"/>
  <c r="M19" i="4"/>
  <c r="N19" i="4" s="1"/>
  <c r="O19" i="4" s="1"/>
  <c r="M23" i="4"/>
  <c r="N23" i="4" s="1"/>
  <c r="O23" i="4" s="1"/>
  <c r="M27" i="4"/>
  <c r="N27" i="4" s="1"/>
  <c r="O27" i="4" s="1"/>
  <c r="M31" i="4"/>
  <c r="N31" i="4" s="1"/>
  <c r="O31" i="4" s="1"/>
  <c r="M28" i="4"/>
  <c r="N28" i="4" s="1"/>
  <c r="O28" i="4" s="1"/>
  <c r="M32" i="4"/>
  <c r="N32" i="4" s="1"/>
  <c r="O32" i="4" s="1"/>
  <c r="M17" i="4"/>
  <c r="N17" i="4" s="1"/>
  <c r="O1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<sst xmlns="http://schemas.openxmlformats.org/spreadsheetml/2006/main" count="215" uniqueCount="150">
  <si>
    <t>Un aeropuerto importante contrató recientemente al consultor Manuel López para estudiar el problema</t>
  </si>
  <si>
    <t>de los retrasos en el tráfico aéreo. En la siguiente tabla se puede observar la cantidad de minutos que</t>
  </si>
  <si>
    <t>los aviones llegaron tarde en una muestra de vuelos:</t>
  </si>
  <si>
    <t>Minutos de retraso</t>
  </si>
  <si>
    <t>0&lt;10</t>
  </si>
  <si>
    <t>10&lt;20</t>
  </si>
  <si>
    <t>20&lt;30</t>
  </si>
  <si>
    <t>30&lt;40</t>
  </si>
  <si>
    <t>40&lt;50</t>
  </si>
  <si>
    <t>50&lt;60</t>
  </si>
  <si>
    <t>b. Estime la varianza y la desviación estándar de la muestra.</t>
  </si>
  <si>
    <t>a. Estime el número medio de minutos de retraso.</t>
  </si>
  <si>
    <t>Considere las siguientes cuatro poblaciones:</t>
  </si>
  <si>
    <t>Todas estas poblaciones tienen la misma media. Sin hacer los cálculos, organice las poblaciones de acuerdo con</t>
  </si>
  <si>
    <t>las magnitudes de sus varianzas, de menor a mayor. Luego calcule cada una de las variaciones manualmente.</t>
  </si>
  <si>
    <t></t>
  </si>
  <si>
    <r>
      <t>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</si>
  <si>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MS Reference Sans Serif"/>
        <family val="2"/>
      </rPr>
      <t></t>
    </r>
    <r>
      <rPr>
        <vertAlign val="subscript"/>
        <sz val="11"/>
        <color theme="1"/>
        <rFont val="Calibri"/>
        <family val="2"/>
      </rPr>
      <t>2</t>
    </r>
  </si>
  <si>
    <r>
      <t></t>
    </r>
    <r>
      <rPr>
        <vertAlign val="subscript"/>
        <sz val="11"/>
        <color theme="1"/>
        <rFont val="Calibri"/>
        <family val="2"/>
        <scheme val="minor"/>
      </rPr>
      <t>3</t>
    </r>
  </si>
  <si>
    <r>
      <t></t>
    </r>
    <r>
      <rPr>
        <vertAlign val="subscript"/>
        <sz val="11"/>
        <color theme="1"/>
        <rFont val="Calibri"/>
        <family val="2"/>
        <scheme val="minor"/>
      </rPr>
      <t>4</t>
    </r>
  </si>
  <si>
    <t>n</t>
  </si>
  <si>
    <t>Las varianzas ordenadas de menor a mayor serían:</t>
  </si>
  <si>
    <t>Con el cálculo manual se corrobora el hecho a priori</t>
  </si>
  <si>
    <t>Los tiempos en minutos que están 50 clientes en un supermercado local para realizar la compra son los</t>
  </si>
  <si>
    <t>siguientes:</t>
  </si>
  <si>
    <t>a. Calcular el tiempo medio que tardan los 50 clientes.</t>
  </si>
  <si>
    <t>b. Calcular la varianza y la desviación típica de los tiempos.</t>
  </si>
  <si>
    <t>c. Calcular el percentil 90.</t>
  </si>
  <si>
    <r>
      <t>P</t>
    </r>
    <r>
      <rPr>
        <vertAlign val="subscript"/>
        <sz val="11"/>
        <color theme="1"/>
        <rFont val="Calibri"/>
        <family val="2"/>
        <scheme val="minor"/>
      </rPr>
      <t>90</t>
    </r>
  </si>
  <si>
    <t>d. Calcular los 5 números resumen.</t>
  </si>
  <si>
    <t>e. Calcular el coeficiente de variación.</t>
  </si>
  <si>
    <t>min</t>
  </si>
  <si>
    <t>max</t>
  </si>
  <si>
    <t>mediana</t>
  </si>
  <si>
    <t>1er cuartil</t>
  </si>
  <si>
    <t>3er cuartil</t>
  </si>
  <si>
    <t>CV</t>
  </si>
  <si>
    <t>Fertilidad</t>
  </si>
  <si>
    <t>Agricultura</t>
  </si>
  <si>
    <t>Examen</t>
  </si>
  <si>
    <t>Educación</t>
  </si>
  <si>
    <t>Católicos</t>
  </si>
  <si>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</si>
  <si>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</si>
  <si>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</si>
  <si>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</si>
  <si>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</si>
  <si>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</si>
  <si>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</si>
  <si>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</si>
  <si>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</si>
  <si>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</si>
  <si>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</si>
  <si>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</si>
  <si>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</si>
  <si>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</si>
  <si>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</si>
  <si>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</si>
  <si>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</si>
  <si>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</si>
  <si>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Lavaux</t>
  </si>
  <si>
    <t>Morges</t>
  </si>
  <si>
    <t>Moudon</t>
  </si>
  <si>
    <t>Nyone</t>
  </si>
  <si>
    <t>Orbe</t>
  </si>
  <si>
    <t>Oron</t>
  </si>
  <si>
    <t>Payerne</t>
  </si>
  <si>
    <t>Paysd’enhaut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</si>
  <si>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</si>
  <si>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</si>
  <si>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</si>
  <si>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</si>
  <si>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</si>
  <si>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</si>
  <si>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</si>
  <si>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</si>
  <si>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Sierre</t>
  </si>
  <si>
    <t>Sion</t>
  </si>
  <si>
    <t>Boudry</t>
  </si>
  <si>
    <t>Neuchatel</t>
  </si>
  <si>
    <t>ValdeTravers</t>
  </si>
  <si>
    <t>La Vallee</t>
  </si>
  <si>
    <t>St Maurice</t>
  </si>
  <si>
    <t>La Chauxdfnd</t>
  </si>
  <si>
    <t>Le Locle</t>
  </si>
  <si>
    <t>Val de Ruz</t>
  </si>
  <si>
    <t>V. De Geneve</t>
  </si>
  <si>
    <t>Rive Droite</t>
  </si>
  <si>
    <t>Rive Gauche</t>
  </si>
  <si>
    <t>La tabla siguiente nos da unos indicadores socio-económicos para cada una de las 47 provincias de habla</t>
  </si>
  <si>
    <t>francesa de Suiza en 1888:</t>
  </si>
  <si>
    <t>Fertilidad: indica el índice de fertilidad de la provincia,</t>
  </si>
  <si>
    <t>• Agricultura: indica el porcentaje de hombres que se dedican a la agricultura,</t>
  </si>
  <si>
    <t>• Examen: indica el porcentaje de reclutas que reciben la calificación más alta en el examen del ejército,</t>
  </si>
  <si>
    <t>• Educación: indica el porcentaje de reclutas que tienen una educación superior a la primaria,</t>
  </si>
  <si>
    <t>• Católicos: indica el porcentaje de católicos,</t>
  </si>
  <si>
    <t>• Mortalidad infantil: indica el porcentaje de bebés que viven menos de un año.</t>
  </si>
  <si>
    <t>a. Dar la tabla de frecuencias de la variable Educación.</t>
  </si>
  <si>
    <t>b. Calcula la media y la varianza de la variable Educación.</t>
  </si>
  <si>
    <t>Mortalidad infantil</t>
  </si>
  <si>
    <t>c. Calcular los cuartiles de la variable Educación. Realizar un diagrama de caja de la variable Fertilidad</t>
  </si>
  <si>
    <t>según el cuartil dónde esté la provincia correspondiente. Es decir, dibujar 4 diagramas de caja para</t>
  </si>
  <si>
    <t>la variable Fertilidad, uno para las provincias que estén en el primer cuartil de la variable Educación,</t>
  </si>
  <si>
    <t>otro para las provincias que estén en el segundo cuartil de la variable Educación y lo mismo para los</t>
  </si>
  <si>
    <t>cuartiles tercero y cuarto. Comentar los resultados observados.</t>
  </si>
  <si>
    <t>y Examen.</t>
  </si>
  <si>
    <t>• Realiza un gráfico de puntos de las variables anteriores, indicando en el eje X o abscisas la variable</t>
  </si>
  <si>
    <t>• Calcula la covarianza y la correlación entre las variables anteriores. ¿A qué conclusión llegas?</t>
  </si>
  <si>
    <t>Usando los datos de la tabla anterior, queremos estudiar la posible relación entre las variables Fertilidad</t>
  </si>
  <si>
    <t>Examen y en el Y, la variable Fertilidad.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</si>
  <si>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</si>
  <si>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</si>
  <si>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</si>
  <si>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</si>
  <si>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b/>
        <vertAlign val="subscript"/>
        <sz val="11"/>
        <color theme="1"/>
        <rFont val="MS Reference Sans Serif"/>
        <family val="2"/>
      </rPr>
      <t>1</t>
    </r>
    <r>
      <rPr>
        <b/>
        <sz val="11"/>
        <color theme="1"/>
        <rFont val="MS Reference Sans Serif"/>
        <family val="2"/>
      </rPr>
      <t xml:space="preserve"> - 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</si>
  <si>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MS Reference Sans Serif"/>
        <family val="2"/>
      </rPr>
      <t>2</t>
    </r>
    <r>
      <rPr>
        <b/>
        <sz val="11"/>
        <color theme="1"/>
        <rFont val="MS Reference Sans Serif"/>
        <family val="2"/>
      </rPr>
      <t xml:space="preserve"> - 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</si>
  <si>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MS Reference Sans Serif"/>
        <family val="2"/>
      </rPr>
      <t>3</t>
    </r>
    <r>
      <rPr>
        <b/>
        <sz val="11"/>
        <color theme="1"/>
        <rFont val="MS Reference Sans Serif"/>
        <family val="2"/>
      </rPr>
      <t xml:space="preserve"> - 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</si>
  <si>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b/>
        <vertAlign val="subscript"/>
        <sz val="11"/>
        <color theme="1"/>
        <rFont val="MS Reference Sans Serif"/>
        <family val="2"/>
      </rPr>
      <t>4</t>
    </r>
    <r>
      <rPr>
        <b/>
        <sz val="11"/>
        <color theme="1"/>
        <rFont val="MS Reference Sans Serif"/>
        <family val="2"/>
      </rPr>
      <t xml:space="preserve"> - 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</si>
  <si>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r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</si>
  <si>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</si>
  <si>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</si>
  <si>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</si>
  <si>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</si>
  <si>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xy</t>
    </r>
  </si>
  <si>
    <t></t>
  </si>
  <si>
    <t>Como se observa en el gráfico anterior, entre ambas variables existe una correlación</t>
  </si>
  <si>
    <t>negativa significativa. Es decir, al aumentar la variable Examen, disminuye la variable</t>
  </si>
  <si>
    <t>Fertilidad.</t>
  </si>
  <si>
    <t>Primer cuartil</t>
  </si>
  <si>
    <t>Segundo Cuartil</t>
  </si>
  <si>
    <t>Tercer cuartil</t>
  </si>
  <si>
    <t>Cuartil educación</t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</si>
  <si>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</si>
  <si>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* x</t>
    </r>
    <r>
      <rPr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</si>
  <si>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MS Reference Sans Serif"/>
        <family val="2"/>
      </rPr>
      <t>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</si>
  <si>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* 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MS Reference Sans Serif"/>
        <family val="2"/>
      </rPr>
      <t>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</si>
  <si>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MS Reference Sans Serif"/>
        <family val="2"/>
      </rPr>
      <t>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</si>
  <si>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t>s</t>
  </si>
  <si>
    <r>
      <t>x</t>
    </r>
    <r>
      <rPr>
        <b/>
        <vertAlign val="subscript"/>
        <sz val="11"/>
        <color theme="1"/>
        <rFont val="MS Reference Sans Serif"/>
        <family val="2"/>
      </rPr>
      <t>i</t>
    </r>
    <r>
      <rPr>
        <b/>
        <sz val="11"/>
        <color theme="1"/>
        <rFont val="MS Reference Sans Serif"/>
        <family val="2"/>
      </rPr>
      <t xml:space="preserve"> - </t>
    </r>
    <r>
      <rPr>
        <sz val="11"/>
        <color theme="1"/>
        <rFont val="MS Reference Sans Serif"/>
        <family val="2"/>
      </rPr>
      <t>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</si>
  <si>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MS Reference Sans Serif"/>
        <family val="2"/>
      </rPr>
      <t></t>
    </r>
    <r>
      <rPr>
        <sz val="11"/>
        <color theme="1"/>
        <rFont val="Calibri"/>
        <family val="2"/>
      </rPr>
      <t>)</t>
    </r>
    <r>
      <rPr>
        <vertAlign val="superscript"/>
        <sz val="11"/>
        <color theme="1"/>
        <rFont val="Calibri"/>
        <family val="2"/>
      </rPr>
      <t>2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</si>
  <si>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* 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MS Reference Sans Serif"/>
        <family val="2"/>
      </rPr>
      <t></t>
    </r>
    <r>
      <rPr>
        <sz val="11"/>
        <color theme="1"/>
        <rFont val="Calibri"/>
        <family val="2"/>
      </rPr>
      <t>)</t>
    </r>
    <r>
      <rPr>
        <vertAlign val="superscript"/>
        <sz val="11"/>
        <color theme="1"/>
        <rFont val="Calibri"/>
        <family val="2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</si>
  <si>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</si>
  <si>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* f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</si>
  <si>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</si>
  <si>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</si>
  <si>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4</t>
    </r>
  </si>
  <si>
    <r>
      <t>s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3</t>
    </r>
  </si>
  <si>
    <r>
      <t>s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2</t>
    </r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</si>
  <si>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</si>
  <si>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&lt; 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&lt; 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&lt; 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</si>
</sst>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MS Reference Sans Serif"/>
      <family val="2"/>
    </font>
    <font>
      <b/>
      <vertAlign val="subscript"/>
      <sz val="11"/>
      <color theme="1"/>
      <name val="MS Reference Sans Serif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164" fontId="0" fillId="0" borderId="0" xfId="0" applyNumberFormat="1"/>
    <xf numFmtId="0" fontId="0" fillId="0" borderId="1" xfId="0" applyBorder="1"/>
    <xf numFmtId="164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1" fillId="0" borderId="0" xfId="0" applyFont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'Ejercicio 5'!$E$6:$E$52</c:f>
              <c:numCache>
                <c:formatCode>General</c:formatCode>
                <c:ptCount val="47"/>
                <c:pt idx="0">
                  <c:v>15</c:v>
                </c:pt>
                <c:pt idx="1">
                  <c:v>6</c:v>
                </c:pt>
                <c:pt idx="2">
                  <c:v>5</c:v>
                </c:pt>
                <c:pt idx="3">
                  <c:v>12</c:v>
                </c:pt>
                <c:pt idx="4">
                  <c:v>17</c:v>
                </c:pt>
                <c:pt idx="5">
                  <c:v>9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16</c:v>
                </c:pt>
                <c:pt idx="10">
                  <c:v>14</c:v>
                </c:pt>
                <c:pt idx="11">
                  <c:v>21</c:v>
                </c:pt>
                <c:pt idx="12">
                  <c:v>14</c:v>
                </c:pt>
                <c:pt idx="13">
                  <c:v>19</c:v>
                </c:pt>
                <c:pt idx="14">
                  <c:v>22</c:v>
                </c:pt>
                <c:pt idx="15">
                  <c:v>18</c:v>
                </c:pt>
                <c:pt idx="16">
                  <c:v>17</c:v>
                </c:pt>
                <c:pt idx="17">
                  <c:v>26</c:v>
                </c:pt>
                <c:pt idx="18">
                  <c:v>31</c:v>
                </c:pt>
                <c:pt idx="19">
                  <c:v>19</c:v>
                </c:pt>
                <c:pt idx="20">
                  <c:v>22</c:v>
                </c:pt>
                <c:pt idx="21">
                  <c:v>14</c:v>
                </c:pt>
                <c:pt idx="22">
                  <c:v>22</c:v>
                </c:pt>
                <c:pt idx="23">
                  <c:v>20</c:v>
                </c:pt>
                <c:pt idx="24">
                  <c:v>12</c:v>
                </c:pt>
                <c:pt idx="25">
                  <c:v>14</c:v>
                </c:pt>
                <c:pt idx="26">
                  <c:v>6</c:v>
                </c:pt>
                <c:pt idx="27">
                  <c:v>16</c:v>
                </c:pt>
                <c:pt idx="28">
                  <c:v>25</c:v>
                </c:pt>
                <c:pt idx="29">
                  <c:v>15</c:v>
                </c:pt>
                <c:pt idx="30">
                  <c:v>3</c:v>
                </c:pt>
                <c:pt idx="31">
                  <c:v>7</c:v>
                </c:pt>
                <c:pt idx="32">
                  <c:v>5</c:v>
                </c:pt>
                <c:pt idx="33">
                  <c:v>12</c:v>
                </c:pt>
                <c:pt idx="34">
                  <c:v>7</c:v>
                </c:pt>
                <c:pt idx="35">
                  <c:v>9</c:v>
                </c:pt>
                <c:pt idx="36">
                  <c:v>3</c:v>
                </c:pt>
                <c:pt idx="37">
                  <c:v>13</c:v>
                </c:pt>
                <c:pt idx="38">
                  <c:v>26</c:v>
                </c:pt>
                <c:pt idx="39">
                  <c:v>29</c:v>
                </c:pt>
                <c:pt idx="40">
                  <c:v>22</c:v>
                </c:pt>
                <c:pt idx="41">
                  <c:v>35</c:v>
                </c:pt>
                <c:pt idx="42">
                  <c:v>15</c:v>
                </c:pt>
                <c:pt idx="43">
                  <c:v>25</c:v>
                </c:pt>
                <c:pt idx="44">
                  <c:v>37</c:v>
                </c:pt>
                <c:pt idx="45">
                  <c:v>16</c:v>
                </c:pt>
                <c:pt idx="46">
                  <c:v>22</c:v>
                </c:pt>
              </c:numCache>
            </c:numRef>
          </c:xVal>
          <c:yVal>
            <c:numRef>
              <c:f>'Ejercicio 5'!$C$6:$C$52</c:f>
              <c:numCache>
                <c:formatCode>General</c:formatCode>
                <c:ptCount val="47"/>
                <c:pt idx="0">
                  <c:v>80.2</c:v>
                </c:pt>
                <c:pt idx="1">
                  <c:v>83.1</c:v>
                </c:pt>
                <c:pt idx="2">
                  <c:v>92.5</c:v>
                </c:pt>
                <c:pt idx="3">
                  <c:v>85.8</c:v>
                </c:pt>
                <c:pt idx="4">
                  <c:v>76.900000000000006</c:v>
                </c:pt>
                <c:pt idx="5">
                  <c:v>76.099999999999994</c:v>
                </c:pt>
                <c:pt idx="6">
                  <c:v>83.8</c:v>
                </c:pt>
                <c:pt idx="7">
                  <c:v>92.4</c:v>
                </c:pt>
                <c:pt idx="8">
                  <c:v>82.4</c:v>
                </c:pt>
                <c:pt idx="9">
                  <c:v>82.9</c:v>
                </c:pt>
                <c:pt idx="10">
                  <c:v>87.1</c:v>
                </c:pt>
                <c:pt idx="11">
                  <c:v>64.099999999999994</c:v>
                </c:pt>
                <c:pt idx="12">
                  <c:v>66.900000000000006</c:v>
                </c:pt>
                <c:pt idx="13">
                  <c:v>68.900000000000006</c:v>
                </c:pt>
                <c:pt idx="14">
                  <c:v>61.7</c:v>
                </c:pt>
                <c:pt idx="15">
                  <c:v>68.3</c:v>
                </c:pt>
                <c:pt idx="16">
                  <c:v>71.7</c:v>
                </c:pt>
                <c:pt idx="17">
                  <c:v>55.7</c:v>
                </c:pt>
                <c:pt idx="18">
                  <c:v>54.3</c:v>
                </c:pt>
                <c:pt idx="19">
                  <c:v>65.099999999999994</c:v>
                </c:pt>
                <c:pt idx="20">
                  <c:v>65.5</c:v>
                </c:pt>
                <c:pt idx="21">
                  <c:v>65</c:v>
                </c:pt>
                <c:pt idx="22">
                  <c:v>56.6</c:v>
                </c:pt>
                <c:pt idx="23">
                  <c:v>57.4</c:v>
                </c:pt>
                <c:pt idx="24">
                  <c:v>72.5</c:v>
                </c:pt>
                <c:pt idx="25">
                  <c:v>74.2</c:v>
                </c:pt>
                <c:pt idx="26">
                  <c:v>72</c:v>
                </c:pt>
                <c:pt idx="27">
                  <c:v>60.5</c:v>
                </c:pt>
                <c:pt idx="28">
                  <c:v>58.3</c:v>
                </c:pt>
                <c:pt idx="29">
                  <c:v>65.400000000000006</c:v>
                </c:pt>
                <c:pt idx="30">
                  <c:v>75.5</c:v>
                </c:pt>
                <c:pt idx="31">
                  <c:v>69.3</c:v>
                </c:pt>
                <c:pt idx="32">
                  <c:v>77.3</c:v>
                </c:pt>
                <c:pt idx="33">
                  <c:v>70.5</c:v>
                </c:pt>
                <c:pt idx="34">
                  <c:v>79.400000000000006</c:v>
                </c:pt>
                <c:pt idx="35">
                  <c:v>65</c:v>
                </c:pt>
                <c:pt idx="36">
                  <c:v>92.2</c:v>
                </c:pt>
                <c:pt idx="37">
                  <c:v>79.3</c:v>
                </c:pt>
                <c:pt idx="38">
                  <c:v>70.400000000000006</c:v>
                </c:pt>
                <c:pt idx="39">
                  <c:v>65.7</c:v>
                </c:pt>
                <c:pt idx="40">
                  <c:v>72.7</c:v>
                </c:pt>
                <c:pt idx="41">
                  <c:v>64.400000000000006</c:v>
                </c:pt>
                <c:pt idx="42">
                  <c:v>77.599999999999994</c:v>
                </c:pt>
                <c:pt idx="43">
                  <c:v>67.599999999999994</c:v>
                </c:pt>
                <c:pt idx="44">
                  <c:v>35</c:v>
                </c:pt>
                <c:pt idx="45">
                  <c:v>44.7</c:v>
                </c:pt>
                <c:pt idx="46">
                  <c:v>42.8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5-42F0-AD4A-4DB99BCA6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911552"/>
        <c:axId val="823605472"/>
      </c:scatterChart>
      <c:valAx>
        <c:axId val="83391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Examen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3605472"/>
        <c:crosses val="autoZero"/>
        <c:crossBetween val="midCat"/>
      </c:valAx>
      <c:valAx>
        <c:axId val="82360547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Fertilidad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391155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DDF5A10A-0FCB-4982-8B47-2389A4C986A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Cuartiles educación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Cuartiles educación</a:t>
              </a:r>
            </a:p>
          </cx:txPr>
        </cx:title>
        <cx:tickLabels/>
      </cx:axis>
      <cx:axis id="1">
        <cx:valScaling/>
        <cx:title>
          <cx:tx>
            <cx:txData>
              <cx:v>Fertilidad
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Fertilidad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106454</xdr:colOff>
      <xdr:row>51</xdr:row>
      <xdr:rowOff>71558</xdr:rowOff>
    </xdr:from>
    <xdr:to>
      <xdr:col>17</xdr:col>
      <xdr:colOff>683559</xdr:colOff>
      <xdr:row>70</xdr:row>
      <xdr:rowOff>82444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460B2EEE-5911-37B5-14F3-F9A50255D9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14778" y="6638205"/>
              <a:ext cx="5373222" cy="36527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61632</xdr:colOff>
      <xdr:row>6</xdr:row>
      <xdr:rowOff>57150</xdr:rowOff>
    </xdr:from>
    <xdr:to>
      <xdr:col>16</xdr:col>
      <xdr:colOff>61632</xdr:colOff>
      <xdr:row>20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2213D0-6AB1-F2EE-81D4-354AD1AB7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2" max="2" width="20" customWidth="1"/>
    <col min="3" max="3" width="17.42578125" bestFit="1" customWidth="1"/>
    <col min="6" max="6" width="7.28515625" bestFit="1" customWidth="1"/>
    <col min="7" max="7" width="8.5703125" bestFit="1" customWidth="1"/>
    <col min="8" max="8" width="11" bestFit="1" customWidth="1"/>
  </cols>
  <sheetData>
    <row r="2" spans="2:8" x14ac:dyDescent="0.25">
      <c r="B2" t="s">
        <v>0</v>
      </c>
    </row>
    <row r="3" spans="2:8" x14ac:dyDescent="0.25">
      <c r="B3" t="s">
        <v>1</v>
      </c>
    </row>
    <row r="4" spans="2:8" x14ac:dyDescent="0.25">
      <c r="B4" t="s">
        <v>2</v>
      </c>
    </row>
    <row r="5" spans="2:8" ht="15.75" thickBot="1" x14ac:dyDescent="0.3"/>
    <row r="6" spans="2:8" ht="19.5" thickTop="1" thickBot="1" x14ac:dyDescent="0.3">
      <c r="B6" s="12" t="s">
        <v>3</v>
      </c>
      <c r="C6" s="12" t="s">
        <v>143</v>
      </c>
      <c r="D6" s="12" t="s">
        <v>141</v>
      </c>
      <c r="E6" s="12" t="s">
        <v>142</v>
      </c>
      <c r="F6" s="15" t="s">
        <v>138</v>
      </c>
      <c r="G6" s="12" t="s">
        <v>139</v>
      </c>
      <c r="H6" s="12" t="s">
        <v>140</v>
      </c>
    </row>
    <row r="7" spans="2:8" ht="15.75" thickTop="1" x14ac:dyDescent="0.25">
      <c r="B7" s="9" t="s">
        <v>4</v>
      </c>
      <c r="C7" s="9">
        <v>30</v>
      </c>
      <c r="D7" s="9">
        <f>AVERAGE(0,10)</f>
        <v>5</v>
      </c>
      <c r="E7" s="9">
        <f>D7*C7</f>
        <v>150</v>
      </c>
      <c r="F7" s="27">
        <f>D7-$C$16</f>
        <v>-13.132530120481928</v>
      </c>
      <c r="G7" s="27">
        <f>F7^2</f>
        <v>172.46334736536508</v>
      </c>
      <c r="H7" s="27">
        <f>C7*G7</f>
        <v>5173.900420960952</v>
      </c>
    </row>
    <row r="8" spans="2:8" x14ac:dyDescent="0.25">
      <c r="B8" s="9" t="s">
        <v>5</v>
      </c>
      <c r="C8" s="9">
        <v>25</v>
      </c>
      <c r="D8" s="9">
        <f>AVERAGE(10,20)</f>
        <v>15</v>
      </c>
      <c r="E8" s="9">
        <f t="shared" ref="E8:E12" si="0">D8*C8</f>
        <v>375</v>
      </c>
      <c r="F8" s="27">
        <f t="shared" ref="F8:F12" si="1">D8-$C$16</f>
        <v>-3.1325301204819276</v>
      </c>
      <c r="G8" s="27">
        <f t="shared" ref="G8:G13" si="2">F8^2</f>
        <v>9.8127449557265205</v>
      </c>
      <c r="H8" s="27">
        <f t="shared" ref="H8:H12" si="3">C8*G8</f>
        <v>245.31862389316302</v>
      </c>
    </row>
    <row r="9" spans="2:8" x14ac:dyDescent="0.25">
      <c r="B9" s="9" t="s">
        <v>6</v>
      </c>
      <c r="C9" s="9">
        <v>13</v>
      </c>
      <c r="D9" s="9">
        <f>AVERAGE(20,30)</f>
        <v>25</v>
      </c>
      <c r="E9" s="9">
        <f t="shared" si="0"/>
        <v>325</v>
      </c>
      <c r="F9" s="27">
        <f t="shared" si="1"/>
        <v>6.8674698795180724</v>
      </c>
      <c r="G9" s="27">
        <f t="shared" si="2"/>
        <v>47.162142546087971</v>
      </c>
      <c r="H9" s="27">
        <f t="shared" si="3"/>
        <v>613.10785309914365</v>
      </c>
    </row>
    <row r="10" spans="2:8" x14ac:dyDescent="0.25">
      <c r="B10" s="9" t="s">
        <v>7</v>
      </c>
      <c r="C10" s="9">
        <v>6</v>
      </c>
      <c r="D10" s="9">
        <f>AVERAGE(30,40)</f>
        <v>35</v>
      </c>
      <c r="E10" s="9">
        <f t="shared" si="0"/>
        <v>210</v>
      </c>
      <c r="F10" s="27">
        <f t="shared" si="1"/>
        <v>16.867469879518072</v>
      </c>
      <c r="G10" s="27">
        <f t="shared" si="2"/>
        <v>284.51154013644941</v>
      </c>
      <c r="H10" s="27">
        <f t="shared" si="3"/>
        <v>1707.0692408186965</v>
      </c>
    </row>
    <row r="11" spans="2:8" x14ac:dyDescent="0.25">
      <c r="B11" s="9" t="s">
        <v>8</v>
      </c>
      <c r="C11" s="9">
        <v>5</v>
      </c>
      <c r="D11" s="9">
        <f>AVERAGE(40,50)</f>
        <v>45</v>
      </c>
      <c r="E11" s="9">
        <f t="shared" si="0"/>
        <v>225</v>
      </c>
      <c r="F11" s="27">
        <f t="shared" si="1"/>
        <v>26.867469879518072</v>
      </c>
      <c r="G11" s="27">
        <f t="shared" si="2"/>
        <v>721.8609377268109</v>
      </c>
      <c r="H11" s="27">
        <f t="shared" si="3"/>
        <v>3609.3046886340544</v>
      </c>
    </row>
    <row r="12" spans="2:8" ht="15.75" thickBot="1" x14ac:dyDescent="0.3">
      <c r="B12" s="13" t="s">
        <v>9</v>
      </c>
      <c r="C12" s="13">
        <v>4</v>
      </c>
      <c r="D12" s="13">
        <f>AVERAGE(50,60)</f>
        <v>55</v>
      </c>
      <c r="E12" s="13">
        <f t="shared" si="0"/>
        <v>220</v>
      </c>
      <c r="F12" s="28">
        <f t="shared" si="1"/>
        <v>36.867469879518069</v>
      </c>
      <c r="G12" s="28">
        <f t="shared" si="2"/>
        <v>1359.2103353171719</v>
      </c>
      <c r="H12" s="28">
        <f t="shared" si="3"/>
        <v>5436.8413412686878</v>
      </c>
    </row>
    <row r="13" spans="2:8" ht="15.75" thickTop="1" x14ac:dyDescent="0.25">
      <c r="B13" s="9"/>
      <c r="C13" s="9">
        <f>SUM(C7:C12)</f>
        <v>83</v>
      </c>
      <c r="D13" s="9"/>
      <c r="E13" s="9">
        <f>SUM(E7:E12)</f>
        <v>1505</v>
      </c>
      <c r="F13" s="9"/>
      <c r="G13" s="9"/>
      <c r="H13" s="27">
        <f>SUM(H7:H12)</f>
        <v>16785.542168674699</v>
      </c>
    </row>
    <row r="14" spans="2:8" x14ac:dyDescent="0.25">
      <c r="B14" s="1" t="s">
        <v>11</v>
      </c>
    </row>
    <row r="16" spans="2:8" x14ac:dyDescent="0.25">
      <c r="B16" s="2" t="s">
        <v>15</v>
      </c>
      <c r="C16" s="31">
        <f>E13/C13</f>
        <v>18.132530120481928</v>
      </c>
    </row>
    <row r="20" spans="2:3" x14ac:dyDescent="0.25">
      <c r="B20" s="1" t="s">
        <v>10</v>
      </c>
    </row>
    <row r="22" spans="2:3" ht="17.25" x14ac:dyDescent="0.25">
      <c r="B22" t="s">
        <v>144</v>
      </c>
      <c r="C22" s="30">
        <f>H13/(C13-1)</f>
        <v>204.70173376432561</v>
      </c>
    </row>
    <row r="23" spans="2:3" x14ac:dyDescent="0.25">
      <c r="B23" t="s">
        <v>137</v>
      </c>
      <c r="C23" s="30">
        <f>SQRT(C22)</f>
        <v>14.307401363082173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585D-34E0-4A75-B213-E15BCA2C3FD7}">
  <dimension ref="B2:I26"/>
  <sheetViews>
    <sheetView workbookViewId="0">
      <selection activeCell="C26" sqref="C26"/>
    </sheetView>
  </sheetViews>
  <sheetFormatPr baseColWidth="10" defaultRowHeight="15" x14ac:dyDescent="0.25"/>
  <sheetData>
    <row r="2" spans="2:9" x14ac:dyDescent="0.25">
      <c r="B2" t="s">
        <v>12</v>
      </c>
    </row>
    <row r="3" spans="2:9" ht="15.75" thickBot="1" x14ac:dyDescent="0.3">
      <c r="B3" s="10"/>
      <c r="C3" s="10"/>
      <c r="D3" s="10"/>
      <c r="E3" s="10"/>
      <c r="F3" s="10"/>
      <c r="G3" s="10"/>
      <c r="H3" s="10"/>
      <c r="I3" s="10"/>
    </row>
    <row r="4" spans="2:9" ht="19.5" thickTop="1" thickBot="1" x14ac:dyDescent="0.3">
      <c r="B4" s="12" t="s">
        <v>110</v>
      </c>
      <c r="C4" s="12" t="s">
        <v>111</v>
      </c>
      <c r="D4" s="12" t="s">
        <v>112</v>
      </c>
      <c r="E4" s="12" t="s">
        <v>113</v>
      </c>
      <c r="F4" s="15" t="s">
        <v>114</v>
      </c>
      <c r="G4" s="15" t="s">
        <v>115</v>
      </c>
      <c r="H4" s="15" t="s">
        <v>116</v>
      </c>
      <c r="I4" s="15" t="s">
        <v>117</v>
      </c>
    </row>
    <row r="5" spans="2:9" ht="15.75" thickTop="1" x14ac:dyDescent="0.25">
      <c r="B5" s="9">
        <v>1</v>
      </c>
      <c r="C5" s="9">
        <v>1</v>
      </c>
      <c r="D5" s="9">
        <v>1</v>
      </c>
      <c r="E5" s="9">
        <v>-6</v>
      </c>
      <c r="F5" s="9">
        <f>B5-$C$19</f>
        <v>-3.5</v>
      </c>
      <c r="G5" s="9">
        <f>C5-$C$21</f>
        <v>-3.5</v>
      </c>
      <c r="H5" s="9">
        <f>D5-$C$23</f>
        <v>-3.5</v>
      </c>
      <c r="I5" s="9">
        <f>E5-$C$25</f>
        <v>-10.5</v>
      </c>
    </row>
    <row r="6" spans="2:9" x14ac:dyDescent="0.25">
      <c r="B6" s="9">
        <v>2</v>
      </c>
      <c r="C6" s="9">
        <v>1</v>
      </c>
      <c r="D6" s="9">
        <v>1</v>
      </c>
      <c r="E6" s="9">
        <v>-3</v>
      </c>
      <c r="F6" s="9">
        <f t="shared" ref="F6:F12" si="0">B6-$C$19</f>
        <v>-2.5</v>
      </c>
      <c r="G6" s="9">
        <f t="shared" ref="G6:G12" si="1">C6-$C$21</f>
        <v>-3.5</v>
      </c>
      <c r="H6" s="9">
        <f t="shared" ref="H6:H12" si="2">D6-$C$23</f>
        <v>-3.5</v>
      </c>
      <c r="I6" s="9">
        <f t="shared" ref="I6:I12" si="3">E6-$C$25</f>
        <v>-7.5</v>
      </c>
    </row>
    <row r="7" spans="2:9" x14ac:dyDescent="0.25">
      <c r="B7" s="9">
        <v>3</v>
      </c>
      <c r="C7" s="9">
        <v>1</v>
      </c>
      <c r="D7" s="9">
        <v>4</v>
      </c>
      <c r="E7" s="9">
        <v>0</v>
      </c>
      <c r="F7" s="9">
        <f t="shared" si="0"/>
        <v>-1.5</v>
      </c>
      <c r="G7" s="9">
        <f t="shared" si="1"/>
        <v>-3.5</v>
      </c>
      <c r="H7" s="9">
        <f t="shared" si="2"/>
        <v>-0.5</v>
      </c>
      <c r="I7" s="9">
        <f t="shared" si="3"/>
        <v>-4.5</v>
      </c>
    </row>
    <row r="8" spans="2:9" x14ac:dyDescent="0.25">
      <c r="B8" s="9">
        <v>4</v>
      </c>
      <c r="C8" s="9">
        <v>1</v>
      </c>
      <c r="D8" s="9">
        <v>4</v>
      </c>
      <c r="E8" s="9">
        <v>3</v>
      </c>
      <c r="F8" s="9">
        <f t="shared" si="0"/>
        <v>-0.5</v>
      </c>
      <c r="G8" s="9">
        <f t="shared" si="1"/>
        <v>-3.5</v>
      </c>
      <c r="H8" s="9">
        <f t="shared" si="2"/>
        <v>-0.5</v>
      </c>
      <c r="I8" s="9">
        <f t="shared" si="3"/>
        <v>-1.5</v>
      </c>
    </row>
    <row r="9" spans="2:9" x14ac:dyDescent="0.25">
      <c r="B9" s="9">
        <v>5</v>
      </c>
      <c r="C9" s="9">
        <v>8</v>
      </c>
      <c r="D9" s="9">
        <v>5</v>
      </c>
      <c r="E9" s="9">
        <v>6</v>
      </c>
      <c r="F9" s="9">
        <f t="shared" si="0"/>
        <v>0.5</v>
      </c>
      <c r="G9" s="9">
        <f t="shared" si="1"/>
        <v>3.5</v>
      </c>
      <c r="H9" s="9">
        <f t="shared" si="2"/>
        <v>0.5</v>
      </c>
      <c r="I9" s="9">
        <f t="shared" si="3"/>
        <v>1.5</v>
      </c>
    </row>
    <row r="10" spans="2:9" x14ac:dyDescent="0.25">
      <c r="B10" s="9">
        <v>6</v>
      </c>
      <c r="C10" s="9">
        <v>8</v>
      </c>
      <c r="D10" s="9">
        <v>5</v>
      </c>
      <c r="E10" s="9">
        <v>9</v>
      </c>
      <c r="F10" s="9">
        <f t="shared" si="0"/>
        <v>1.5</v>
      </c>
      <c r="G10" s="9">
        <f t="shared" si="1"/>
        <v>3.5</v>
      </c>
      <c r="H10" s="9">
        <f t="shared" si="2"/>
        <v>0.5</v>
      </c>
      <c r="I10" s="9">
        <f t="shared" si="3"/>
        <v>4.5</v>
      </c>
    </row>
    <row r="11" spans="2:9" x14ac:dyDescent="0.25">
      <c r="B11" s="9">
        <v>7</v>
      </c>
      <c r="C11" s="9">
        <v>8</v>
      </c>
      <c r="D11" s="9">
        <v>8</v>
      </c>
      <c r="E11" s="9">
        <v>12</v>
      </c>
      <c r="F11" s="9">
        <f t="shared" si="0"/>
        <v>2.5</v>
      </c>
      <c r="G11" s="9">
        <f t="shared" si="1"/>
        <v>3.5</v>
      </c>
      <c r="H11" s="9">
        <f t="shared" si="2"/>
        <v>3.5</v>
      </c>
      <c r="I11" s="9">
        <f t="shared" si="3"/>
        <v>7.5</v>
      </c>
    </row>
    <row r="12" spans="2:9" ht="15.75" thickBot="1" x14ac:dyDescent="0.3">
      <c r="B12" s="13">
        <v>8</v>
      </c>
      <c r="C12" s="13">
        <v>8</v>
      </c>
      <c r="D12" s="13">
        <v>8</v>
      </c>
      <c r="E12" s="13">
        <v>15</v>
      </c>
      <c r="F12" s="13">
        <f t="shared" si="0"/>
        <v>3.5</v>
      </c>
      <c r="G12" s="13">
        <f t="shared" si="1"/>
        <v>3.5</v>
      </c>
      <c r="H12" s="13">
        <f t="shared" si="2"/>
        <v>3.5</v>
      </c>
      <c r="I12" s="13">
        <f t="shared" si="3"/>
        <v>10.5</v>
      </c>
    </row>
    <row r="13" spans="2:9" ht="15.75" thickTop="1" x14ac:dyDescent="0.25"/>
    <row r="14" spans="2:9" x14ac:dyDescent="0.25">
      <c r="B14" t="s">
        <v>13</v>
      </c>
    </row>
    <row r="15" spans="2:9" x14ac:dyDescent="0.25">
      <c r="B15" t="s">
        <v>14</v>
      </c>
    </row>
    <row r="17" spans="2:6" x14ac:dyDescent="0.25">
      <c r="B17" t="s">
        <v>20</v>
      </c>
      <c r="C17">
        <f>COUNT(B5:B12)</f>
        <v>8</v>
      </c>
      <c r="F17" t="s">
        <v>21</v>
      </c>
    </row>
    <row r="18" spans="2:6" ht="18.75" x14ac:dyDescent="0.35">
      <c r="F18" s="1" t="s">
        <v>149</v>
      </c>
    </row>
    <row r="19" spans="2:6" ht="18" x14ac:dyDescent="0.35">
      <c r="B19" s="2" t="s">
        <v>16</v>
      </c>
      <c r="C19">
        <f>SUM(B5:B12)/$C$17</f>
        <v>4.5</v>
      </c>
    </row>
    <row r="20" spans="2:6" ht="18.75" x14ac:dyDescent="0.35">
      <c r="B20" t="s">
        <v>148</v>
      </c>
      <c r="C20" s="4">
        <f>SUMSQ(F5:F12)/(C17-1)</f>
        <v>6</v>
      </c>
    </row>
    <row r="21" spans="2:6" ht="18" x14ac:dyDescent="0.35">
      <c r="B21" s="3" t="s">
        <v>17</v>
      </c>
      <c r="C21">
        <f>SUM(C5:C12)/$C$17</f>
        <v>4.5</v>
      </c>
    </row>
    <row r="22" spans="2:6" ht="18.75" x14ac:dyDescent="0.35">
      <c r="B22" s="3" t="s">
        <v>147</v>
      </c>
      <c r="C22" s="4">
        <f>SUMSQ(G5:G12)/(C17-1)</f>
        <v>14</v>
      </c>
    </row>
    <row r="23" spans="2:6" ht="18" x14ac:dyDescent="0.35">
      <c r="B23" s="2" t="s">
        <v>18</v>
      </c>
      <c r="C23">
        <f>SUM(D5:D12)/$C$17</f>
        <v>4.5</v>
      </c>
    </row>
    <row r="24" spans="2:6" ht="18.75" x14ac:dyDescent="0.35">
      <c r="B24" s="3" t="s">
        <v>146</v>
      </c>
      <c r="C24" s="4">
        <f>SUMSQ(H5:H12)/(C17-1)</f>
        <v>7.1428571428571432</v>
      </c>
    </row>
    <row r="25" spans="2:6" ht="18" x14ac:dyDescent="0.35">
      <c r="B25" s="2" t="s">
        <v>19</v>
      </c>
      <c r="C25">
        <f>SUM(E5:E12)/$C$17</f>
        <v>4.5</v>
      </c>
    </row>
    <row r="26" spans="2:6" ht="18.75" x14ac:dyDescent="0.35">
      <c r="B26" s="3" t="s">
        <v>145</v>
      </c>
      <c r="C26" s="4">
        <f>SUMSQ(I5:I12)/(C17-1)</f>
        <v>54</v>
      </c>
      <c r="E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CC8A-CF4E-4B23-BB51-F2EE095518E3}">
  <dimension ref="B2:K36"/>
  <sheetViews>
    <sheetView workbookViewId="0">
      <selection activeCell="C36" sqref="C36"/>
    </sheetView>
  </sheetViews>
  <sheetFormatPr baseColWidth="10" defaultRowHeight="15" x14ac:dyDescent="0.25"/>
  <cols>
    <col min="3" max="3" width="9.140625" customWidth="1"/>
    <col min="5" max="5" width="11.85546875" bestFit="1" customWidth="1"/>
    <col min="8" max="8" width="11.85546875" bestFit="1" customWidth="1"/>
  </cols>
  <sheetData>
    <row r="2" spans="2:11" x14ac:dyDescent="0.25">
      <c r="B2" t="s">
        <v>23</v>
      </c>
    </row>
    <row r="3" spans="2:11" x14ac:dyDescent="0.25">
      <c r="B3" t="s">
        <v>24</v>
      </c>
    </row>
    <row r="5" spans="2:11" x14ac:dyDescent="0.25">
      <c r="B5" s="6">
        <v>26.88</v>
      </c>
      <c r="C5" s="6">
        <v>28.6</v>
      </c>
      <c r="D5" s="6">
        <v>20.73</v>
      </c>
      <c r="E5" s="6">
        <v>34</v>
      </c>
      <c r="F5" s="6">
        <v>35.869999999999997</v>
      </c>
      <c r="G5" s="6">
        <v>25.99</v>
      </c>
      <c r="H5" s="6">
        <v>20.94</v>
      </c>
      <c r="I5" s="6">
        <v>26.45</v>
      </c>
      <c r="J5" s="6">
        <v>29.54</v>
      </c>
      <c r="K5" s="6">
        <v>26.27</v>
      </c>
    </row>
    <row r="6" spans="2:11" x14ac:dyDescent="0.25">
      <c r="B6" s="6">
        <v>26.51</v>
      </c>
      <c r="C6" s="6">
        <v>29.7</v>
      </c>
      <c r="D6" s="6">
        <v>29.55</v>
      </c>
      <c r="E6" s="6">
        <v>33.520000000000003</v>
      </c>
      <c r="F6" s="6">
        <v>30.49</v>
      </c>
      <c r="G6" s="6">
        <v>31.49</v>
      </c>
      <c r="H6" s="6">
        <v>21.28</v>
      </c>
      <c r="I6" s="6">
        <v>23.57</v>
      </c>
      <c r="J6" s="6">
        <v>22.47</v>
      </c>
      <c r="K6" s="6">
        <v>23.15</v>
      </c>
    </row>
    <row r="7" spans="2:11" x14ac:dyDescent="0.25">
      <c r="B7" s="6">
        <v>19.510000000000002</v>
      </c>
      <c r="C7" s="6">
        <v>23.85</v>
      </c>
      <c r="D7" s="6">
        <v>30.98</v>
      </c>
      <c r="E7" s="6">
        <v>9.81</v>
      </c>
      <c r="F7" s="6">
        <v>26.59</v>
      </c>
      <c r="G7" s="6">
        <v>29.68</v>
      </c>
      <c r="H7" s="6">
        <v>30.48</v>
      </c>
      <c r="I7" s="6">
        <v>25.38</v>
      </c>
      <c r="J7" s="6">
        <v>23.49</v>
      </c>
      <c r="K7" s="6">
        <v>25.11</v>
      </c>
    </row>
    <row r="8" spans="2:11" x14ac:dyDescent="0.25">
      <c r="B8" s="6">
        <v>19.350000000000001</v>
      </c>
      <c r="C8" s="6">
        <v>33.799999999999997</v>
      </c>
      <c r="D8" s="6">
        <v>23.14</v>
      </c>
      <c r="E8" s="6">
        <v>13.56</v>
      </c>
      <c r="F8" s="6">
        <v>24.63</v>
      </c>
      <c r="G8" s="6">
        <v>24.26</v>
      </c>
      <c r="H8" s="6">
        <v>37.18</v>
      </c>
      <c r="I8" s="6">
        <v>22.2</v>
      </c>
      <c r="J8" s="6">
        <v>21.37</v>
      </c>
      <c r="K8" s="6">
        <v>28.3</v>
      </c>
    </row>
    <row r="9" spans="2:11" x14ac:dyDescent="0.25">
      <c r="B9" s="6">
        <v>11.02</v>
      </c>
      <c r="C9" s="6">
        <v>25.59</v>
      </c>
      <c r="D9" s="6">
        <v>24.38</v>
      </c>
      <c r="E9" s="6">
        <v>25.29</v>
      </c>
      <c r="F9" s="6">
        <v>29.17</v>
      </c>
      <c r="G9" s="6">
        <v>25.55</v>
      </c>
      <c r="H9" s="6">
        <v>26.94</v>
      </c>
      <c r="I9" s="6">
        <v>27.24</v>
      </c>
      <c r="J9" s="6">
        <v>19.100000000000001</v>
      </c>
      <c r="K9" s="6">
        <v>27.44</v>
      </c>
    </row>
    <row r="11" spans="2:11" x14ac:dyDescent="0.25">
      <c r="B11" s="1" t="s">
        <v>25</v>
      </c>
    </row>
    <row r="13" spans="2:11" x14ac:dyDescent="0.25">
      <c r="B13" t="s">
        <v>20</v>
      </c>
      <c r="C13">
        <f>COUNT(B5:K9)</f>
        <v>50</v>
      </c>
    </row>
    <row r="15" spans="2:11" x14ac:dyDescent="0.25">
      <c r="B15" s="2" t="s">
        <v>15</v>
      </c>
      <c r="C15" s="7">
        <f>SUM(B5:K9)/C13</f>
        <v>25.627799999999997</v>
      </c>
    </row>
    <row r="17" spans="2:3" x14ac:dyDescent="0.25">
      <c r="B17" s="1" t="s">
        <v>26</v>
      </c>
    </row>
    <row r="19" spans="2:3" ht="17.25" x14ac:dyDescent="0.25">
      <c r="B19" t="s">
        <v>144</v>
      </c>
      <c r="C19" s="7" cm="1">
        <f t="array" ref="C19">SUMSQ(B5:K9-C15)/(C13-1)</f>
        <v>30.90994812244897</v>
      </c>
    </row>
    <row r="20" spans="2:3" x14ac:dyDescent="0.25">
      <c r="B20" t="s">
        <v>137</v>
      </c>
      <c r="C20" s="7">
        <f>SQRT(C19)</f>
        <v>5.5596715840460371</v>
      </c>
    </row>
    <row r="22" spans="2:3" x14ac:dyDescent="0.25">
      <c r="B22" s="1" t="s">
        <v>27</v>
      </c>
    </row>
    <row r="24" spans="2:3" ht="18" x14ac:dyDescent="0.35">
      <c r="B24" t="s">
        <v>28</v>
      </c>
      <c r="C24" s="4">
        <f>_xlfn.PERCENTILE.INC(B5:K9,0.9)</f>
        <v>31.693000000000001</v>
      </c>
    </row>
    <row r="26" spans="2:3" x14ac:dyDescent="0.25">
      <c r="B26" s="1" t="s">
        <v>29</v>
      </c>
    </row>
    <row r="28" spans="2:3" x14ac:dyDescent="0.25">
      <c r="B28" t="s">
        <v>31</v>
      </c>
      <c r="C28" s="7">
        <f>MIN(B5:K9)</f>
        <v>9.81</v>
      </c>
    </row>
    <row r="29" spans="2:3" x14ac:dyDescent="0.25">
      <c r="B29" t="s">
        <v>32</v>
      </c>
      <c r="C29" s="7">
        <f>MAX(B5:K9)</f>
        <v>37.18</v>
      </c>
    </row>
    <row r="30" spans="2:3" x14ac:dyDescent="0.25">
      <c r="B30" t="s">
        <v>33</v>
      </c>
      <c r="C30" s="7">
        <f>MEDIAN(B5:K9)</f>
        <v>25.79</v>
      </c>
    </row>
    <row r="31" spans="2:3" x14ac:dyDescent="0.25">
      <c r="B31" t="s">
        <v>34</v>
      </c>
      <c r="C31" s="7">
        <f>_xlfn.PERCENTILE.INC(B5:K9,0.25)</f>
        <v>23.142499999999998</v>
      </c>
    </row>
    <row r="32" spans="2:3" x14ac:dyDescent="0.25">
      <c r="B32" t="s">
        <v>35</v>
      </c>
      <c r="C32" s="7">
        <f>_xlfn.PERCENTILE.INC(B5:K9,0.75)</f>
        <v>29.447499999999998</v>
      </c>
    </row>
    <row r="34" spans="2:3" x14ac:dyDescent="0.25">
      <c r="B34" s="1" t="s">
        <v>30</v>
      </c>
    </row>
    <row r="36" spans="2:3" x14ac:dyDescent="0.25">
      <c r="B36" t="s">
        <v>36</v>
      </c>
      <c r="C36" s="8">
        <f>C20/C15</f>
        <v>0.21693908895988098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3FF1-75DB-431F-8C4F-5361D3335B71}">
  <dimension ref="B2:V160"/>
  <sheetViews>
    <sheetView zoomScale="85" zoomScaleNormal="85" workbookViewId="0">
      <selection activeCell="K40" sqref="K40"/>
    </sheetView>
  </sheetViews>
  <sheetFormatPr baseColWidth="10" defaultRowHeight="15" x14ac:dyDescent="0.25"/>
  <cols>
    <col min="2" max="2" width="19.42578125" customWidth="1"/>
    <col min="3" max="3" width="12.42578125" bestFit="1" customWidth="1"/>
    <col min="4" max="4" width="14.28515625" bestFit="1" customWidth="1"/>
    <col min="5" max="5" width="10.5703125" bestFit="1" customWidth="1"/>
    <col min="6" max="6" width="13.5703125" bestFit="1" customWidth="1"/>
    <col min="7" max="7" width="12.140625" bestFit="1" customWidth="1"/>
    <col min="8" max="8" width="22.140625" customWidth="1"/>
    <col min="10" max="10" width="21.42578125" customWidth="1"/>
    <col min="11" max="11" width="9.85546875" bestFit="1" customWidth="1"/>
    <col min="12" max="12" width="16.42578125" bestFit="1" customWidth="1"/>
    <col min="13" max="13" width="11.140625" customWidth="1"/>
    <col min="14" max="14" width="14.140625" customWidth="1"/>
    <col min="15" max="15" width="16.85546875" customWidth="1"/>
    <col min="16" max="16" width="15.5703125" customWidth="1"/>
    <col min="17" max="17" width="30" customWidth="1"/>
    <col min="19" max="19" width="24.85546875" bestFit="1" customWidth="1"/>
    <col min="20" max="20" width="15.5703125" bestFit="1" customWidth="1"/>
    <col min="21" max="21" width="13.140625" bestFit="1" customWidth="1"/>
  </cols>
  <sheetData>
    <row r="2" spans="2:15" x14ac:dyDescent="0.25">
      <c r="B2" t="s">
        <v>89</v>
      </c>
    </row>
    <row r="3" spans="2:15" x14ac:dyDescent="0.25">
      <c r="B3" t="s">
        <v>90</v>
      </c>
    </row>
    <row r="4" spans="2:15" ht="15.75" thickBot="1" x14ac:dyDescent="0.3">
      <c r="B4" s="10"/>
      <c r="C4" s="10"/>
      <c r="D4" s="10"/>
      <c r="E4" s="10"/>
      <c r="F4" s="10"/>
      <c r="G4" s="10"/>
      <c r="H4" s="10"/>
    </row>
    <row r="5" spans="2:15" ht="16.5" thickTop="1" thickBot="1" x14ac:dyDescent="0.3">
      <c r="B5" s="10"/>
      <c r="C5" s="12" t="s">
        <v>37</v>
      </c>
      <c r="D5" s="12" t="s">
        <v>38</v>
      </c>
      <c r="E5" s="12" t="s">
        <v>39</v>
      </c>
      <c r="F5" s="12" t="s">
        <v>40</v>
      </c>
      <c r="G5" s="12" t="s">
        <v>41</v>
      </c>
      <c r="H5" s="12" t="s">
        <v>99</v>
      </c>
      <c r="I5" s="14"/>
      <c r="J5" t="s">
        <v>91</v>
      </c>
    </row>
    <row r="6" spans="2:15" ht="15.75" thickTop="1" x14ac:dyDescent="0.25">
      <c r="B6" t="s">
        <v>42</v>
      </c>
      <c r="C6" s="9">
        <v>80.2</v>
      </c>
      <c r="D6" s="9">
        <v>17</v>
      </c>
      <c r="E6" s="9">
        <v>15</v>
      </c>
      <c r="F6" s="9">
        <v>12</v>
      </c>
      <c r="G6" s="9">
        <v>9.9600000000000009</v>
      </c>
      <c r="H6" s="9">
        <v>22.2</v>
      </c>
      <c r="J6" t="s">
        <v>92</v>
      </c>
    </row>
    <row r="7" spans="2:15" x14ac:dyDescent="0.25">
      <c r="B7" t="s">
        <v>43</v>
      </c>
      <c r="C7" s="9">
        <v>83.1</v>
      </c>
      <c r="D7" s="9">
        <v>45.1</v>
      </c>
      <c r="E7" s="9">
        <v>6</v>
      </c>
      <c r="F7" s="9">
        <v>9</v>
      </c>
      <c r="G7" s="9">
        <v>84.84</v>
      </c>
      <c r="H7" s="9">
        <v>22.2</v>
      </c>
      <c r="J7" t="s">
        <v>93</v>
      </c>
    </row>
    <row r="8" spans="2:15" x14ac:dyDescent="0.25">
      <c r="B8" t="s">
        <v>44</v>
      </c>
      <c r="C8" s="9">
        <v>92.5</v>
      </c>
      <c r="D8" s="9">
        <v>39.700000000000003</v>
      </c>
      <c r="E8" s="9">
        <v>5</v>
      </c>
      <c r="F8" s="9">
        <v>5</v>
      </c>
      <c r="G8" s="9">
        <v>93.4</v>
      </c>
      <c r="H8" s="9">
        <v>20.2</v>
      </c>
      <c r="J8" t="s">
        <v>94</v>
      </c>
    </row>
    <row r="9" spans="2:15" x14ac:dyDescent="0.25">
      <c r="B9" t="s">
        <v>45</v>
      </c>
      <c r="C9" s="9">
        <v>85.8</v>
      </c>
      <c r="D9" s="9">
        <v>36.5</v>
      </c>
      <c r="E9" s="9">
        <v>12</v>
      </c>
      <c r="F9" s="9">
        <v>7</v>
      </c>
      <c r="G9" s="9">
        <v>33.770000000000003</v>
      </c>
      <c r="H9" s="9">
        <v>20.3</v>
      </c>
      <c r="J9" t="s">
        <v>95</v>
      </c>
    </row>
    <row r="10" spans="2:15" x14ac:dyDescent="0.25">
      <c r="B10" t="s">
        <v>46</v>
      </c>
      <c r="C10" s="9">
        <v>76.900000000000006</v>
      </c>
      <c r="D10" s="9">
        <v>43.5</v>
      </c>
      <c r="E10" s="9">
        <v>17</v>
      </c>
      <c r="F10" s="9">
        <v>15</v>
      </c>
      <c r="G10" s="9">
        <v>5.16</v>
      </c>
      <c r="H10" s="9">
        <v>20.6</v>
      </c>
      <c r="J10" t="s">
        <v>96</v>
      </c>
    </row>
    <row r="11" spans="2:15" x14ac:dyDescent="0.25">
      <c r="B11" t="s">
        <v>47</v>
      </c>
      <c r="C11" s="9">
        <v>76.099999999999994</v>
      </c>
      <c r="D11" s="9">
        <v>35.299999999999997</v>
      </c>
      <c r="E11" s="9">
        <v>9</v>
      </c>
      <c r="F11" s="9">
        <v>7</v>
      </c>
      <c r="G11" s="9">
        <v>90.57</v>
      </c>
      <c r="H11" s="9">
        <v>26.6</v>
      </c>
    </row>
    <row r="12" spans="2:15" x14ac:dyDescent="0.25">
      <c r="B12" t="s">
        <v>48</v>
      </c>
      <c r="C12" s="9">
        <v>83.8</v>
      </c>
      <c r="D12" s="9">
        <v>70.2</v>
      </c>
      <c r="E12" s="9">
        <v>16</v>
      </c>
      <c r="F12" s="9">
        <v>7</v>
      </c>
      <c r="G12" s="9">
        <v>92.85</v>
      </c>
      <c r="H12" s="9">
        <v>23.6</v>
      </c>
    </row>
    <row r="13" spans="2:15" x14ac:dyDescent="0.25">
      <c r="B13" t="s">
        <v>49</v>
      </c>
      <c r="C13" s="9">
        <v>92.4</v>
      </c>
      <c r="D13" s="9">
        <v>67.8</v>
      </c>
      <c r="E13" s="9">
        <v>14</v>
      </c>
      <c r="F13" s="9">
        <v>8</v>
      </c>
      <c r="G13" s="9">
        <v>97.16</v>
      </c>
      <c r="H13" s="9">
        <v>24.9</v>
      </c>
    </row>
    <row r="14" spans="2:15" x14ac:dyDescent="0.25">
      <c r="B14" t="s">
        <v>50</v>
      </c>
      <c r="C14" s="9">
        <v>82.4</v>
      </c>
      <c r="D14" s="9">
        <v>53.3</v>
      </c>
      <c r="E14" s="9">
        <v>12</v>
      </c>
      <c r="F14" s="9">
        <v>7</v>
      </c>
      <c r="G14" s="9">
        <v>97.67</v>
      </c>
      <c r="H14" s="9">
        <v>21</v>
      </c>
      <c r="J14" s="1" t="s">
        <v>97</v>
      </c>
    </row>
    <row r="15" spans="2:15" ht="15.75" thickBot="1" x14ac:dyDescent="0.3">
      <c r="B15" t="s">
        <v>51</v>
      </c>
      <c r="C15" s="9">
        <v>82.9</v>
      </c>
      <c r="D15" s="9">
        <v>45.2</v>
      </c>
      <c r="E15" s="9">
        <v>16</v>
      </c>
      <c r="F15" s="9">
        <v>13</v>
      </c>
      <c r="G15" s="9">
        <v>91.38</v>
      </c>
      <c r="H15" s="9">
        <v>24.4</v>
      </c>
    </row>
    <row r="16" spans="2:15" ht="19.5" thickTop="1" thickBot="1" x14ac:dyDescent="0.3">
      <c r="B16" t="s">
        <v>52</v>
      </c>
      <c r="C16" s="9">
        <v>87.1</v>
      </c>
      <c r="D16" s="9">
        <v>64.5</v>
      </c>
      <c r="E16" s="9">
        <v>14</v>
      </c>
      <c r="F16" s="9">
        <v>6</v>
      </c>
      <c r="G16" s="9">
        <v>98.61</v>
      </c>
      <c r="H16" s="9">
        <v>24.5</v>
      </c>
      <c r="J16" s="12" t="s">
        <v>40</v>
      </c>
      <c r="K16" s="12" t="s">
        <v>132</v>
      </c>
      <c r="L16" s="12" t="s">
        <v>133</v>
      </c>
      <c r="M16" s="12" t="s">
        <v>134</v>
      </c>
      <c r="N16" s="12" t="s">
        <v>136</v>
      </c>
      <c r="O16" s="12" t="s">
        <v>135</v>
      </c>
    </row>
    <row r="17" spans="2:15" ht="15.75" thickTop="1" x14ac:dyDescent="0.25">
      <c r="B17" t="s">
        <v>53</v>
      </c>
      <c r="C17" s="9">
        <v>64.099999999999994</v>
      </c>
      <c r="D17" s="9">
        <v>62</v>
      </c>
      <c r="E17" s="9">
        <v>21</v>
      </c>
      <c r="F17" s="9">
        <v>12</v>
      </c>
      <c r="G17" s="9">
        <v>8.52</v>
      </c>
      <c r="H17" s="9">
        <v>16.5</v>
      </c>
      <c r="J17" s="9" cm="1">
        <f t="array" ref="J17:J35">_xlfn._xlws.SORT(_xlfn.UNIQUE(F6:F52))</f>
        <v>1</v>
      </c>
      <c r="K17" s="9">
        <f t="array" ref="K17:K36">FREQUENCY(F6:F52,J17:J35)</f>
        <v>1</v>
      </c>
      <c r="L17" s="9">
        <f>K17*J17</f>
        <v>1</v>
      </c>
      <c r="M17" s="27">
        <f>J17-$K$40</f>
        <v>-9.9787234042553195</v>
      </c>
      <c r="N17" s="27">
        <f>M17^2</f>
        <v>99.574920778632872</v>
      </c>
      <c r="O17" s="27">
        <f>K17*N17</f>
        <v>99.574920778632872</v>
      </c>
    </row>
    <row r="18" spans="2:15" x14ac:dyDescent="0.25">
      <c r="B18" t="s">
        <v>54</v>
      </c>
      <c r="C18" s="9">
        <v>66.900000000000006</v>
      </c>
      <c r="D18" s="9">
        <v>67.5</v>
      </c>
      <c r="E18" s="9">
        <v>14</v>
      </c>
      <c r="F18" s="9">
        <v>7</v>
      </c>
      <c r="G18" s="9">
        <v>2.27</v>
      </c>
      <c r="H18" s="9">
        <v>19.100000000000001</v>
      </c>
      <c r="J18" s="9">
        <v>2</v>
      </c>
      <c r="K18" s="9">
        <v>3</v>
      </c>
      <c r="L18" s="9">
        <f t="shared" ref="L18:L35" si="0">K18*J18</f>
        <v>6</v>
      </c>
      <c r="M18" s="27">
        <f>J18-$K$40</f>
        <v>-8.9787234042553195</v>
      </c>
      <c r="N18" s="27">
        <f t="shared" ref="N18:N35" si="1">M18^2</f>
        <v>80.617473970122234</v>
      </c>
      <c r="O18" s="27">
        <f t="shared" ref="O18:O35" si="2">K18*N18</f>
        <v>241.8524219103667</v>
      </c>
    </row>
    <row r="19" spans="2:15" x14ac:dyDescent="0.25">
      <c r="B19" t="s">
        <v>55</v>
      </c>
      <c r="C19" s="9">
        <v>68.900000000000006</v>
      </c>
      <c r="D19" s="9">
        <v>60.7</v>
      </c>
      <c r="E19" s="9">
        <v>19</v>
      </c>
      <c r="F19" s="9">
        <v>12</v>
      </c>
      <c r="G19" s="9">
        <v>4.43</v>
      </c>
      <c r="H19" s="9">
        <v>22.7</v>
      </c>
      <c r="J19" s="9">
        <v>3</v>
      </c>
      <c r="K19" s="9">
        <v>4</v>
      </c>
      <c r="L19" s="9">
        <f t="shared" si="0"/>
        <v>12</v>
      </c>
      <c r="M19" s="27">
        <f>J19-$K$40</f>
        <v>-7.9787234042553195</v>
      </c>
      <c r="N19" s="27">
        <f t="shared" si="1"/>
        <v>63.660027161611595</v>
      </c>
      <c r="O19" s="27">
        <f t="shared" si="2"/>
        <v>254.64010864644638</v>
      </c>
    </row>
    <row r="20" spans="2:15" x14ac:dyDescent="0.25">
      <c r="B20" t="s">
        <v>56</v>
      </c>
      <c r="C20" s="9">
        <v>61.7</v>
      </c>
      <c r="D20" s="9">
        <v>69.3</v>
      </c>
      <c r="E20" s="9">
        <v>22</v>
      </c>
      <c r="F20" s="9">
        <v>5</v>
      </c>
      <c r="G20" s="9">
        <v>2.82</v>
      </c>
      <c r="H20" s="9">
        <v>18.7</v>
      </c>
      <c r="J20" s="9">
        <v>5</v>
      </c>
      <c r="K20" s="9">
        <v>2</v>
      </c>
      <c r="L20" s="9">
        <f t="shared" si="0"/>
        <v>10</v>
      </c>
      <c r="M20" s="27">
        <f>J20-$K$40</f>
        <v>-5.9787234042553195</v>
      </c>
      <c r="N20" s="27">
        <f t="shared" si="1"/>
        <v>35.745133544590317</v>
      </c>
      <c r="O20" s="27">
        <f t="shared" si="2"/>
        <v>71.490267089180634</v>
      </c>
    </row>
    <row r="21" spans="2:15" x14ac:dyDescent="0.25">
      <c r="B21" t="s">
        <v>57</v>
      </c>
      <c r="C21" s="9">
        <v>68.3</v>
      </c>
      <c r="D21" s="9">
        <v>72.599999999999994</v>
      </c>
      <c r="E21" s="9">
        <v>18</v>
      </c>
      <c r="F21" s="9">
        <v>2</v>
      </c>
      <c r="G21" s="9">
        <v>24.2</v>
      </c>
      <c r="H21" s="9">
        <v>21.2</v>
      </c>
      <c r="J21" s="9">
        <v>6</v>
      </c>
      <c r="K21" s="9">
        <v>4</v>
      </c>
      <c r="L21" s="9">
        <f t="shared" si="0"/>
        <v>24</v>
      </c>
      <c r="M21" s="27">
        <f>J21-$K$40</f>
        <v>-4.9787234042553195</v>
      </c>
      <c r="N21" s="27">
        <f t="shared" si="1"/>
        <v>24.787686736079678</v>
      </c>
      <c r="O21" s="27">
        <f t="shared" si="2"/>
        <v>99.150746944318712</v>
      </c>
    </row>
    <row r="22" spans="2:15" x14ac:dyDescent="0.25">
      <c r="B22" t="s">
        <v>58</v>
      </c>
      <c r="C22" s="9">
        <v>71.7</v>
      </c>
      <c r="D22" s="9">
        <v>34</v>
      </c>
      <c r="E22" s="9">
        <v>17</v>
      </c>
      <c r="F22" s="9">
        <v>8</v>
      </c>
      <c r="G22" s="9">
        <v>3.3</v>
      </c>
      <c r="H22" s="9">
        <v>20</v>
      </c>
      <c r="J22" s="9">
        <v>7</v>
      </c>
      <c r="K22" s="9">
        <v>7</v>
      </c>
      <c r="L22" s="9">
        <f t="shared" si="0"/>
        <v>49</v>
      </c>
      <c r="M22" s="27">
        <f>J22-$K$40</f>
        <v>-3.9787234042553195</v>
      </c>
      <c r="N22" s="27">
        <f t="shared" si="1"/>
        <v>15.830239927569037</v>
      </c>
      <c r="O22" s="27">
        <f t="shared" si="2"/>
        <v>110.81167949298326</v>
      </c>
    </row>
    <row r="23" spans="2:15" x14ac:dyDescent="0.25">
      <c r="B23" t="s">
        <v>59</v>
      </c>
      <c r="C23" s="9">
        <v>55.7</v>
      </c>
      <c r="D23" s="9">
        <v>19.399999999999999</v>
      </c>
      <c r="E23" s="9">
        <v>26</v>
      </c>
      <c r="F23" s="9">
        <v>28</v>
      </c>
      <c r="G23" s="9">
        <v>12.11</v>
      </c>
      <c r="H23" s="9">
        <v>20.2</v>
      </c>
      <c r="J23" s="9">
        <v>8</v>
      </c>
      <c r="K23" s="9">
        <v>4</v>
      </c>
      <c r="L23" s="9">
        <f t="shared" si="0"/>
        <v>32</v>
      </c>
      <c r="M23" s="27">
        <f>J23-$K$40</f>
        <v>-2.9787234042553195</v>
      </c>
      <c r="N23" s="27">
        <f t="shared" si="1"/>
        <v>8.8727931190583984</v>
      </c>
      <c r="O23" s="27">
        <f t="shared" si="2"/>
        <v>35.491172476233594</v>
      </c>
    </row>
    <row r="24" spans="2:15" x14ac:dyDescent="0.25">
      <c r="B24" t="s">
        <v>81</v>
      </c>
      <c r="C24" s="9">
        <v>54.3</v>
      </c>
      <c r="D24" s="9">
        <v>15.2</v>
      </c>
      <c r="E24" s="9">
        <v>31</v>
      </c>
      <c r="F24" s="9">
        <v>20</v>
      </c>
      <c r="G24" s="9">
        <v>2.15</v>
      </c>
      <c r="H24" s="9">
        <v>10.8</v>
      </c>
      <c r="J24" s="9">
        <v>9</v>
      </c>
      <c r="K24" s="9">
        <v>3</v>
      </c>
      <c r="L24" s="9">
        <f t="shared" si="0"/>
        <v>27</v>
      </c>
      <c r="M24" s="27">
        <f>J24-$K$40</f>
        <v>-1.9787234042553195</v>
      </c>
      <c r="N24" s="27">
        <f t="shared" si="1"/>
        <v>3.9153463105477604</v>
      </c>
      <c r="O24" s="27">
        <f t="shared" si="2"/>
        <v>11.74603893164328</v>
      </c>
    </row>
    <row r="25" spans="2:15" x14ac:dyDescent="0.25">
      <c r="B25" t="s">
        <v>60</v>
      </c>
      <c r="C25" s="9">
        <v>65.099999999999994</v>
      </c>
      <c r="D25" s="9">
        <v>73</v>
      </c>
      <c r="E25" s="9">
        <v>19</v>
      </c>
      <c r="F25" s="9">
        <v>9</v>
      </c>
      <c r="G25" s="9">
        <v>2.84</v>
      </c>
      <c r="H25" s="9">
        <v>20</v>
      </c>
      <c r="J25" s="9">
        <v>10</v>
      </c>
      <c r="K25" s="9">
        <v>2</v>
      </c>
      <c r="L25" s="9">
        <f t="shared" si="0"/>
        <v>20</v>
      </c>
      <c r="M25" s="27">
        <f>J25-$K$40</f>
        <v>-0.97872340425531945</v>
      </c>
      <c r="N25" s="27">
        <f t="shared" si="1"/>
        <v>0.95789950203712149</v>
      </c>
      <c r="O25" s="27">
        <f t="shared" si="2"/>
        <v>1.915799004074243</v>
      </c>
    </row>
    <row r="26" spans="2:15" x14ac:dyDescent="0.25">
      <c r="B26" t="s">
        <v>61</v>
      </c>
      <c r="C26" s="9">
        <v>65.5</v>
      </c>
      <c r="D26" s="9">
        <v>59.8</v>
      </c>
      <c r="E26" s="9">
        <v>22</v>
      </c>
      <c r="F26" s="9">
        <v>10</v>
      </c>
      <c r="G26" s="9">
        <v>5.23</v>
      </c>
      <c r="H26" s="9">
        <v>18</v>
      </c>
      <c r="J26" s="9">
        <v>11</v>
      </c>
      <c r="K26" s="9">
        <v>1</v>
      </c>
      <c r="L26" s="9">
        <f t="shared" si="0"/>
        <v>11</v>
      </c>
      <c r="M26" s="27">
        <f>J26-$K$40</f>
        <v>2.1276595744680549E-2</v>
      </c>
      <c r="N26" s="27">
        <f t="shared" si="1"/>
        <v>4.5269352648255845E-4</v>
      </c>
      <c r="O26" s="27">
        <f t="shared" si="2"/>
        <v>4.5269352648255845E-4</v>
      </c>
    </row>
    <row r="27" spans="2:15" x14ac:dyDescent="0.25">
      <c r="B27" t="s">
        <v>62</v>
      </c>
      <c r="C27" s="9">
        <v>65</v>
      </c>
      <c r="D27" s="9">
        <v>55.1</v>
      </c>
      <c r="E27" s="9">
        <v>14</v>
      </c>
      <c r="F27" s="9">
        <v>3</v>
      </c>
      <c r="G27" s="9">
        <v>4.5199999999999996</v>
      </c>
      <c r="H27" s="9">
        <v>22.4</v>
      </c>
      <c r="J27" s="9">
        <v>12</v>
      </c>
      <c r="K27" s="9">
        <v>5</v>
      </c>
      <c r="L27" s="9">
        <f t="shared" si="0"/>
        <v>60</v>
      </c>
      <c r="M27" s="27">
        <f>J27-$K$40</f>
        <v>1.0212765957446805</v>
      </c>
      <c r="N27" s="27">
        <f t="shared" si="1"/>
        <v>1.0430058850158437</v>
      </c>
      <c r="O27" s="27">
        <f t="shared" si="2"/>
        <v>5.2150294250792184</v>
      </c>
    </row>
    <row r="28" spans="2:15" x14ac:dyDescent="0.25">
      <c r="B28" t="s">
        <v>63</v>
      </c>
      <c r="C28" s="9">
        <v>56.6</v>
      </c>
      <c r="D28" s="9">
        <v>50.9</v>
      </c>
      <c r="E28" s="9">
        <v>22</v>
      </c>
      <c r="F28" s="9">
        <v>12</v>
      </c>
      <c r="G28" s="9">
        <v>15.14</v>
      </c>
      <c r="H28" s="9">
        <v>16.7</v>
      </c>
      <c r="J28" s="9">
        <v>13</v>
      </c>
      <c r="K28" s="9">
        <v>3</v>
      </c>
      <c r="L28" s="9">
        <f t="shared" si="0"/>
        <v>39</v>
      </c>
      <c r="M28" s="27">
        <f>J28-$K$40</f>
        <v>2.0212765957446805</v>
      </c>
      <c r="N28" s="27">
        <f t="shared" si="1"/>
        <v>4.0855590765052048</v>
      </c>
      <c r="O28" s="27">
        <f t="shared" si="2"/>
        <v>12.256677229515613</v>
      </c>
    </row>
    <row r="29" spans="2:15" x14ac:dyDescent="0.25">
      <c r="B29" t="s">
        <v>64</v>
      </c>
      <c r="C29" s="9">
        <v>57.4</v>
      </c>
      <c r="D29" s="9">
        <v>54.1</v>
      </c>
      <c r="E29" s="9">
        <v>20</v>
      </c>
      <c r="F29" s="9">
        <v>6</v>
      </c>
      <c r="G29" s="9">
        <v>4.2</v>
      </c>
      <c r="H29" s="9">
        <v>15.3</v>
      </c>
      <c r="J29" s="9">
        <v>15</v>
      </c>
      <c r="K29" s="9">
        <v>1</v>
      </c>
      <c r="L29" s="9">
        <f t="shared" si="0"/>
        <v>15</v>
      </c>
      <c r="M29" s="27">
        <f>J29-$K$40</f>
        <v>4.0212765957446805</v>
      </c>
      <c r="N29" s="27">
        <f t="shared" si="1"/>
        <v>16.170665459483928</v>
      </c>
      <c r="O29" s="27">
        <f t="shared" si="2"/>
        <v>16.170665459483928</v>
      </c>
    </row>
    <row r="30" spans="2:15" x14ac:dyDescent="0.25">
      <c r="B30" t="s">
        <v>65</v>
      </c>
      <c r="C30" s="9">
        <v>72.5</v>
      </c>
      <c r="D30" s="9">
        <v>71.2</v>
      </c>
      <c r="E30" s="9">
        <v>12</v>
      </c>
      <c r="F30" s="9">
        <v>1</v>
      </c>
      <c r="G30" s="9">
        <v>2.4</v>
      </c>
      <c r="H30" s="9">
        <v>21</v>
      </c>
      <c r="J30" s="9">
        <v>19</v>
      </c>
      <c r="K30" s="9">
        <v>1</v>
      </c>
      <c r="L30" s="9">
        <f t="shared" si="0"/>
        <v>19</v>
      </c>
      <c r="M30" s="27">
        <f>J30-$K$40</f>
        <v>8.0212765957446805</v>
      </c>
      <c r="N30" s="27">
        <f t="shared" si="1"/>
        <v>64.340878225441372</v>
      </c>
      <c r="O30" s="27">
        <f t="shared" si="2"/>
        <v>64.340878225441372</v>
      </c>
    </row>
    <row r="31" spans="2:15" x14ac:dyDescent="0.25">
      <c r="B31" t="s">
        <v>66</v>
      </c>
      <c r="C31" s="9">
        <v>74.2</v>
      </c>
      <c r="D31" s="9">
        <v>58.1</v>
      </c>
      <c r="E31" s="9">
        <v>14</v>
      </c>
      <c r="F31" s="9">
        <v>8</v>
      </c>
      <c r="G31" s="9">
        <v>5.23</v>
      </c>
      <c r="H31" s="9">
        <v>23.8</v>
      </c>
      <c r="J31" s="9">
        <v>20</v>
      </c>
      <c r="K31" s="9">
        <v>1</v>
      </c>
      <c r="L31" s="9">
        <f t="shared" si="0"/>
        <v>20</v>
      </c>
      <c r="M31" s="27">
        <f>J31-$K$40</f>
        <v>9.0212765957446805</v>
      </c>
      <c r="N31" s="27">
        <f t="shared" si="1"/>
        <v>81.383431416930733</v>
      </c>
      <c r="O31" s="27">
        <f t="shared" si="2"/>
        <v>81.383431416930733</v>
      </c>
    </row>
    <row r="32" spans="2:15" x14ac:dyDescent="0.25">
      <c r="B32" t="s">
        <v>67</v>
      </c>
      <c r="C32" s="9">
        <v>72</v>
      </c>
      <c r="D32" s="9">
        <v>63.5</v>
      </c>
      <c r="E32" s="9">
        <v>6</v>
      </c>
      <c r="F32" s="9">
        <v>3</v>
      </c>
      <c r="G32" s="9">
        <v>2.56</v>
      </c>
      <c r="H32" s="9">
        <v>18</v>
      </c>
      <c r="J32" s="9">
        <v>28</v>
      </c>
      <c r="K32" s="9">
        <v>1</v>
      </c>
      <c r="L32" s="9">
        <f t="shared" si="0"/>
        <v>28</v>
      </c>
      <c r="M32" s="27">
        <f>J32-$K$40</f>
        <v>17.021276595744681</v>
      </c>
      <c r="N32" s="27">
        <f t="shared" si="1"/>
        <v>289.72385694884559</v>
      </c>
      <c r="O32" s="27">
        <f t="shared" si="2"/>
        <v>289.72385694884559</v>
      </c>
    </row>
    <row r="33" spans="2:22" x14ac:dyDescent="0.25">
      <c r="B33" t="s">
        <v>68</v>
      </c>
      <c r="C33" s="9">
        <v>60.5</v>
      </c>
      <c r="D33" s="9">
        <v>60.8</v>
      </c>
      <c r="E33" s="9">
        <v>16</v>
      </c>
      <c r="F33" s="9">
        <v>10</v>
      </c>
      <c r="G33" s="9">
        <v>7.72</v>
      </c>
      <c r="H33" s="9">
        <v>16.3</v>
      </c>
      <c r="J33" s="9">
        <v>29</v>
      </c>
      <c r="K33" s="9">
        <v>2</v>
      </c>
      <c r="L33" s="9">
        <f t="shared" si="0"/>
        <v>58</v>
      </c>
      <c r="M33" s="27">
        <f>J33-$K$40</f>
        <v>18.021276595744681</v>
      </c>
      <c r="N33" s="27">
        <f t="shared" si="1"/>
        <v>324.76641014033498</v>
      </c>
      <c r="O33" s="27">
        <f t="shared" si="2"/>
        <v>649.53282028066997</v>
      </c>
    </row>
    <row r="34" spans="2:22" x14ac:dyDescent="0.25">
      <c r="B34" t="s">
        <v>69</v>
      </c>
      <c r="C34" s="9">
        <v>58.3</v>
      </c>
      <c r="D34" s="9">
        <v>26.8</v>
      </c>
      <c r="E34" s="9">
        <v>25</v>
      </c>
      <c r="F34" s="9">
        <v>19</v>
      </c>
      <c r="G34" s="9">
        <v>18.46</v>
      </c>
      <c r="H34" s="9">
        <v>20.9</v>
      </c>
      <c r="J34" s="9">
        <v>32</v>
      </c>
      <c r="K34" s="9">
        <v>1</v>
      </c>
      <c r="L34" s="9">
        <f t="shared" si="0"/>
        <v>32</v>
      </c>
      <c r="M34" s="27">
        <f>J34-$K$40</f>
        <v>21.021276595744681</v>
      </c>
      <c r="N34" s="27">
        <f t="shared" si="1"/>
        <v>441.89406971480304</v>
      </c>
      <c r="O34" s="27">
        <f t="shared" si="2"/>
        <v>441.89406971480304</v>
      </c>
    </row>
    <row r="35" spans="2:22" ht="15.75" thickBot="1" x14ac:dyDescent="0.3">
      <c r="B35" t="s">
        <v>70</v>
      </c>
      <c r="C35" s="9">
        <v>65.400000000000006</v>
      </c>
      <c r="D35" s="9">
        <v>49.5</v>
      </c>
      <c r="E35" s="9">
        <v>15</v>
      </c>
      <c r="F35" s="9">
        <v>8</v>
      </c>
      <c r="G35" s="9">
        <v>6.1</v>
      </c>
      <c r="H35" s="9">
        <v>22.5</v>
      </c>
      <c r="J35" s="13">
        <v>53</v>
      </c>
      <c r="K35" s="13">
        <v>1</v>
      </c>
      <c r="L35" s="13">
        <f t="shared" si="0"/>
        <v>53</v>
      </c>
      <c r="M35" s="28">
        <f>J35-$K$40</f>
        <v>42.021276595744681</v>
      </c>
      <c r="N35" s="28">
        <f t="shared" si="1"/>
        <v>1765.7876867360796</v>
      </c>
      <c r="O35" s="28">
        <f t="shared" si="2"/>
        <v>1765.7876867360796</v>
      </c>
    </row>
    <row r="36" spans="2:22" ht="15.75" thickTop="1" x14ac:dyDescent="0.25">
      <c r="B36" t="s">
        <v>71</v>
      </c>
      <c r="C36" s="9">
        <v>75.5</v>
      </c>
      <c r="D36" s="9">
        <v>85.9</v>
      </c>
      <c r="E36" s="9">
        <v>3</v>
      </c>
      <c r="F36" s="9">
        <v>2</v>
      </c>
      <c r="G36" s="9">
        <v>99.71</v>
      </c>
      <c r="H36" s="9">
        <v>15.1</v>
      </c>
      <c r="K36" s="29">
        <v>0</v>
      </c>
    </row>
    <row r="37" spans="2:22" x14ac:dyDescent="0.25">
      <c r="B37" t="s">
        <v>72</v>
      </c>
      <c r="C37" s="9">
        <v>69.3</v>
      </c>
      <c r="D37" s="9">
        <v>84.9</v>
      </c>
      <c r="E37" s="9">
        <v>7</v>
      </c>
      <c r="F37" s="9">
        <v>6</v>
      </c>
      <c r="G37" s="9">
        <v>99.68</v>
      </c>
      <c r="H37" s="9">
        <v>19.8</v>
      </c>
      <c r="J37" s="1" t="s">
        <v>98</v>
      </c>
      <c r="T37" s="16"/>
      <c r="U37" s="16"/>
      <c r="V37" s="16"/>
    </row>
    <row r="38" spans="2:22" x14ac:dyDescent="0.25">
      <c r="B38" t="s">
        <v>73</v>
      </c>
      <c r="C38" s="9">
        <v>77.3</v>
      </c>
      <c r="D38" s="9">
        <v>89.7</v>
      </c>
      <c r="E38" s="9">
        <v>5</v>
      </c>
      <c r="F38" s="9">
        <v>2</v>
      </c>
      <c r="G38" s="9">
        <v>100</v>
      </c>
      <c r="H38" s="9">
        <v>18.3</v>
      </c>
    </row>
    <row r="39" spans="2:22" x14ac:dyDescent="0.25">
      <c r="B39" t="s">
        <v>74</v>
      </c>
      <c r="C39" s="9">
        <v>70.5</v>
      </c>
      <c r="D39" s="9">
        <v>78.2</v>
      </c>
      <c r="E39" s="9">
        <v>12</v>
      </c>
      <c r="F39" s="9">
        <v>6</v>
      </c>
      <c r="G39" s="9">
        <v>98.96</v>
      </c>
      <c r="H39" s="9">
        <v>19.399999999999999</v>
      </c>
      <c r="J39" t="s">
        <v>20</v>
      </c>
      <c r="K39">
        <f>COUNT(F6:F52)</f>
        <v>47</v>
      </c>
    </row>
    <row r="40" spans="2:22" x14ac:dyDescent="0.25">
      <c r="B40" t="s">
        <v>75</v>
      </c>
      <c r="C40" s="9">
        <v>79.400000000000006</v>
      </c>
      <c r="D40" s="9">
        <v>64.900000000000006</v>
      </c>
      <c r="E40" s="9">
        <v>7</v>
      </c>
      <c r="F40" s="9">
        <v>3</v>
      </c>
      <c r="G40" s="9">
        <v>98.22</v>
      </c>
      <c r="H40" s="9">
        <v>20.2</v>
      </c>
      <c r="J40" s="2" t="s">
        <v>15</v>
      </c>
      <c r="K40" s="30">
        <f>SUM(F6:F52)/K39</f>
        <v>10.978723404255319</v>
      </c>
    </row>
    <row r="41" spans="2:22" ht="17.25" x14ac:dyDescent="0.25">
      <c r="B41" t="s">
        <v>82</v>
      </c>
      <c r="C41" s="9">
        <v>65</v>
      </c>
      <c r="D41" s="9">
        <v>75.900000000000006</v>
      </c>
      <c r="E41" s="9">
        <v>9</v>
      </c>
      <c r="F41" s="9">
        <v>9</v>
      </c>
      <c r="G41" s="9">
        <v>99.06</v>
      </c>
      <c r="H41" s="9">
        <v>17.8</v>
      </c>
      <c r="J41" t="s">
        <v>144</v>
      </c>
      <c r="K41" s="30" cm="1">
        <f t="array" ref="K41">SUMSQ(F6:F52-K40)/(K39-1)</f>
        <v>92.456059204440351</v>
      </c>
    </row>
    <row r="42" spans="2:22" x14ac:dyDescent="0.25">
      <c r="B42" t="s">
        <v>76</v>
      </c>
      <c r="C42" s="9">
        <v>92.2</v>
      </c>
      <c r="D42" s="9">
        <v>84.6</v>
      </c>
      <c r="E42" s="9">
        <v>3</v>
      </c>
      <c r="F42" s="9">
        <v>3</v>
      </c>
      <c r="G42" s="9">
        <v>99.46</v>
      </c>
      <c r="H42" s="9">
        <v>16.3</v>
      </c>
    </row>
    <row r="43" spans="2:22" x14ac:dyDescent="0.25">
      <c r="B43" t="s">
        <v>77</v>
      </c>
      <c r="C43" s="9">
        <v>79.3</v>
      </c>
      <c r="D43" s="9">
        <v>63.1</v>
      </c>
      <c r="E43" s="9">
        <v>13</v>
      </c>
      <c r="F43" s="9">
        <v>13</v>
      </c>
      <c r="G43" s="9">
        <v>96.83</v>
      </c>
      <c r="H43" s="9">
        <v>18.100000000000001</v>
      </c>
      <c r="J43" s="1" t="s">
        <v>100</v>
      </c>
    </row>
    <row r="44" spans="2:22" x14ac:dyDescent="0.25">
      <c r="B44" t="s">
        <v>78</v>
      </c>
      <c r="C44" s="9">
        <v>70.400000000000006</v>
      </c>
      <c r="D44" s="9">
        <v>38.4</v>
      </c>
      <c r="E44" s="9">
        <v>26</v>
      </c>
      <c r="F44" s="9">
        <v>12</v>
      </c>
      <c r="G44" s="9">
        <v>5.62</v>
      </c>
      <c r="H44" s="9">
        <v>20.3</v>
      </c>
      <c r="J44" s="1" t="s">
        <v>101</v>
      </c>
    </row>
    <row r="45" spans="2:22" x14ac:dyDescent="0.25">
      <c r="B45" t="s">
        <v>83</v>
      </c>
      <c r="C45" s="9">
        <v>65.7</v>
      </c>
      <c r="D45" s="9">
        <v>7.7</v>
      </c>
      <c r="E45" s="9">
        <v>29</v>
      </c>
      <c r="F45" s="9">
        <v>11</v>
      </c>
      <c r="G45" s="9">
        <v>13.79</v>
      </c>
      <c r="H45" s="9">
        <v>20.5</v>
      </c>
      <c r="J45" s="1" t="s">
        <v>102</v>
      </c>
    </row>
    <row r="46" spans="2:22" x14ac:dyDescent="0.25">
      <c r="B46" t="s">
        <v>84</v>
      </c>
      <c r="C46" s="9">
        <v>72.7</v>
      </c>
      <c r="D46" s="9">
        <v>16.7</v>
      </c>
      <c r="E46" s="9">
        <v>22</v>
      </c>
      <c r="F46" s="9">
        <v>13</v>
      </c>
      <c r="G46" s="9">
        <v>11.22</v>
      </c>
      <c r="H46" s="9">
        <v>18.899999999999999</v>
      </c>
      <c r="J46" s="1" t="s">
        <v>103</v>
      </c>
    </row>
    <row r="47" spans="2:22" x14ac:dyDescent="0.25">
      <c r="B47" t="s">
        <v>79</v>
      </c>
      <c r="C47" s="9">
        <v>64.400000000000006</v>
      </c>
      <c r="D47" s="9">
        <v>17.600000000000001</v>
      </c>
      <c r="E47" s="9">
        <v>35</v>
      </c>
      <c r="F47" s="9">
        <v>32</v>
      </c>
      <c r="G47" s="9">
        <v>16.920000000000002</v>
      </c>
      <c r="H47" s="9">
        <v>23</v>
      </c>
      <c r="J47" s="1" t="s">
        <v>104</v>
      </c>
    </row>
    <row r="48" spans="2:22" ht="15.75" thickBot="1" x14ac:dyDescent="0.3">
      <c r="B48" t="s">
        <v>85</v>
      </c>
      <c r="C48" s="9">
        <v>77.599999999999994</v>
      </c>
      <c r="D48" s="9">
        <v>37.6</v>
      </c>
      <c r="E48" s="9">
        <v>15</v>
      </c>
      <c r="F48" s="9">
        <v>7</v>
      </c>
      <c r="G48" s="9">
        <v>4.97</v>
      </c>
      <c r="H48" s="9">
        <v>20</v>
      </c>
    </row>
    <row r="49" spans="2:19" ht="16.5" thickTop="1" thickBot="1" x14ac:dyDescent="0.3">
      <c r="B49" t="s">
        <v>80</v>
      </c>
      <c r="C49" s="9">
        <v>67.599999999999994</v>
      </c>
      <c r="D49" s="9">
        <v>18.7</v>
      </c>
      <c r="E49" s="9">
        <v>25</v>
      </c>
      <c r="F49" s="9">
        <v>7</v>
      </c>
      <c r="G49" s="9">
        <v>8.65</v>
      </c>
      <c r="H49" s="9">
        <v>19.5</v>
      </c>
      <c r="J49" s="12" t="s">
        <v>37</v>
      </c>
      <c r="K49" s="12" t="s">
        <v>40</v>
      </c>
      <c r="L49" s="12" t="s">
        <v>131</v>
      </c>
      <c r="N49" s="12" t="s">
        <v>128</v>
      </c>
      <c r="O49" s="12" t="s">
        <v>129</v>
      </c>
      <c r="P49" s="12" t="s">
        <v>130</v>
      </c>
    </row>
    <row r="50" spans="2:19" ht="15.75" thickTop="1" x14ac:dyDescent="0.25">
      <c r="B50" t="s">
        <v>86</v>
      </c>
      <c r="C50" s="9">
        <v>35</v>
      </c>
      <c r="D50" s="9">
        <v>1.2</v>
      </c>
      <c r="E50" s="9">
        <v>37</v>
      </c>
      <c r="F50" s="9">
        <v>53</v>
      </c>
      <c r="G50" s="9">
        <v>42.34</v>
      </c>
      <c r="H50" s="9">
        <v>18</v>
      </c>
      <c r="J50" s="24">
        <v>57.4</v>
      </c>
      <c r="K50" s="9">
        <v>6</v>
      </c>
      <c r="L50" s="17" t="str">
        <f>IF(K50&lt;=$N$50, "Cuartil 1", IF(K50&lt;=$O$50, "Cuartil 2", IF(K50&lt;=$P$50, "Cuartil 3", "Cuartil 4")))</f>
        <v>Cuartil 1</v>
      </c>
      <c r="M50" s="16"/>
      <c r="N50" s="9">
        <f>_xlfn.QUARTILE.INC(K50:K96,1)</f>
        <v>6</v>
      </c>
      <c r="O50" s="9">
        <f>_xlfn.QUARTILE.INC(K50:K96,2)</f>
        <v>8</v>
      </c>
      <c r="P50" s="9">
        <f>_xlfn.QUARTILE.INC(K50:K96,3)</f>
        <v>12</v>
      </c>
    </row>
    <row r="51" spans="2:19" x14ac:dyDescent="0.25">
      <c r="B51" t="s">
        <v>87</v>
      </c>
      <c r="C51" s="9">
        <v>44.7</v>
      </c>
      <c r="D51" s="9">
        <v>46.6</v>
      </c>
      <c r="E51" s="9">
        <v>16</v>
      </c>
      <c r="F51" s="9">
        <v>29</v>
      </c>
      <c r="G51" s="9">
        <v>50.43</v>
      </c>
      <c r="H51" s="9">
        <v>18.2</v>
      </c>
      <c r="J51" s="24">
        <v>61.7</v>
      </c>
      <c r="K51" s="9">
        <v>5</v>
      </c>
      <c r="L51" s="17" t="str">
        <f>IF(K51&lt;=$N$50, "Cuartil 1", IF(K51&lt;=$O$50, "Cuartil 2", IF(K51&lt;=$P$50, "Cuartil 3", "Cuartil 4")))</f>
        <v>Cuartil 1</v>
      </c>
      <c r="N51" s="19"/>
      <c r="O51" s="19"/>
      <c r="P51" s="19"/>
      <c r="Q51" s="19"/>
      <c r="R51" s="19"/>
    </row>
    <row r="52" spans="2:19" ht="15.75" thickBot="1" x14ac:dyDescent="0.3">
      <c r="B52" s="10" t="s">
        <v>88</v>
      </c>
      <c r="C52" s="13">
        <v>42.8</v>
      </c>
      <c r="D52" s="13">
        <v>27.7</v>
      </c>
      <c r="E52" s="13">
        <v>22</v>
      </c>
      <c r="F52" s="13">
        <v>29</v>
      </c>
      <c r="G52" s="13">
        <v>58.33</v>
      </c>
      <c r="H52" s="13">
        <v>19.3</v>
      </c>
      <c r="J52" s="24">
        <v>65</v>
      </c>
      <c r="K52" s="9">
        <v>3</v>
      </c>
      <c r="L52" s="17" t="str">
        <f>IF(K52&lt;=$N$50, "Cuartil 1", IF(K52&lt;=$O$50, "Cuartil 2", IF(K52&lt;=$P$50, "Cuartil 3", "Cuartil 4")))</f>
        <v>Cuartil 1</v>
      </c>
      <c r="N52" s="19"/>
      <c r="O52" s="19"/>
      <c r="P52" s="19"/>
      <c r="Q52" s="19"/>
      <c r="R52" s="19"/>
    </row>
    <row r="53" spans="2:19" ht="15.75" thickTop="1" x14ac:dyDescent="0.25">
      <c r="J53" s="24">
        <v>68.3</v>
      </c>
      <c r="K53" s="9">
        <v>2</v>
      </c>
      <c r="L53" s="17" t="str">
        <f>IF(K53&lt;=$N$50, "Cuartil 1", IF(K53&lt;=$O$50, "Cuartil 2", IF(K53&lt;=$P$50, "Cuartil 3", "Cuartil 4")))</f>
        <v>Cuartil 1</v>
      </c>
      <c r="N53" s="19"/>
      <c r="O53" s="19"/>
      <c r="P53" s="19"/>
      <c r="Q53" s="19"/>
      <c r="R53" s="19"/>
    </row>
    <row r="54" spans="2:19" x14ac:dyDescent="0.25">
      <c r="J54" s="24">
        <v>69.3</v>
      </c>
      <c r="K54" s="9">
        <v>6</v>
      </c>
      <c r="L54" s="17" t="str">
        <f>IF(K54&lt;=$N$50, "Cuartil 1", IF(K54&lt;=$O$50, "Cuartil 2", IF(K54&lt;=$P$50, "Cuartil 3", "Cuartil 4")))</f>
        <v>Cuartil 1</v>
      </c>
      <c r="N54" s="20"/>
      <c r="O54" s="20"/>
      <c r="P54" s="20"/>
      <c r="Q54" s="20"/>
      <c r="R54" s="19"/>
    </row>
    <row r="55" spans="2:19" x14ac:dyDescent="0.25">
      <c r="J55" s="24">
        <v>70.5</v>
      </c>
      <c r="K55" s="9">
        <v>6</v>
      </c>
      <c r="L55" s="17" t="str">
        <f>IF(K55&lt;=$N$50, "Cuartil 1", IF(K55&lt;=$O$50, "Cuartil 2", IF(K55&lt;=$P$50, "Cuartil 3", "Cuartil 4")))</f>
        <v>Cuartil 1</v>
      </c>
      <c r="N55" s="21"/>
      <c r="O55" s="21"/>
      <c r="P55" s="21"/>
      <c r="Q55" s="21"/>
      <c r="R55" s="19"/>
      <c r="S55" s="16"/>
    </row>
    <row r="56" spans="2:19" x14ac:dyDescent="0.25">
      <c r="J56" s="24">
        <v>72</v>
      </c>
      <c r="K56" s="9">
        <v>3</v>
      </c>
      <c r="L56" s="17" t="str">
        <f>IF(K56&lt;=$N$50, "Cuartil 1", IF(K56&lt;=$O$50, "Cuartil 2", IF(K56&lt;=$P$50, "Cuartil 3", "Cuartil 4")))</f>
        <v>Cuartil 1</v>
      </c>
      <c r="N56" s="21"/>
      <c r="O56" s="21"/>
      <c r="P56" s="21"/>
      <c r="Q56" s="21"/>
      <c r="R56" s="19"/>
    </row>
    <row r="57" spans="2:19" x14ac:dyDescent="0.25">
      <c r="J57" s="24">
        <v>72.5</v>
      </c>
      <c r="K57" s="9">
        <v>1</v>
      </c>
      <c r="L57" s="17" t="str">
        <f>IF(K57&lt;=$N$50, "Cuartil 1", IF(K57&lt;=$O$50, "Cuartil 2", IF(K57&lt;=$P$50, "Cuartil 3", "Cuartil 4")))</f>
        <v>Cuartil 1</v>
      </c>
      <c r="N57" s="21"/>
      <c r="O57" s="21"/>
      <c r="P57" s="21"/>
      <c r="Q57" s="21"/>
      <c r="R57" s="19"/>
    </row>
    <row r="58" spans="2:19" x14ac:dyDescent="0.25">
      <c r="J58" s="24">
        <v>75.5</v>
      </c>
      <c r="K58" s="9">
        <v>2</v>
      </c>
      <c r="L58" s="17" t="str">
        <f>IF(K58&lt;=$N$50, "Cuartil 1", IF(K58&lt;=$O$50, "Cuartil 2", IF(K58&lt;=$P$50, "Cuartil 3", "Cuartil 4")))</f>
        <v>Cuartil 1</v>
      </c>
      <c r="N58" s="21"/>
      <c r="Q58" s="21"/>
      <c r="R58" s="19"/>
    </row>
    <row r="59" spans="2:19" x14ac:dyDescent="0.25">
      <c r="J59" s="24">
        <v>77.3</v>
      </c>
      <c r="K59" s="9">
        <v>2</v>
      </c>
      <c r="L59" s="17" t="str">
        <f>IF(K59&lt;=$N$50, "Cuartil 1", IF(K59&lt;=$O$50, "Cuartil 2", IF(K59&lt;=$P$50, "Cuartil 3", "Cuartil 4")))</f>
        <v>Cuartil 1</v>
      </c>
      <c r="N59" s="21"/>
      <c r="Q59" s="21"/>
      <c r="R59" s="19"/>
    </row>
    <row r="60" spans="2:19" x14ac:dyDescent="0.25">
      <c r="J60" s="24">
        <v>79.400000000000006</v>
      </c>
      <c r="K60" s="9">
        <v>3</v>
      </c>
      <c r="L60" s="17" t="str">
        <f>IF(K60&lt;=$N$50, "Cuartil 1", IF(K60&lt;=$O$50, "Cuartil 2", IF(K60&lt;=$P$50, "Cuartil 3", "Cuartil 4")))</f>
        <v>Cuartil 1</v>
      </c>
      <c r="N60" s="21"/>
      <c r="Q60" s="21"/>
      <c r="R60" s="19"/>
    </row>
    <row r="61" spans="2:19" x14ac:dyDescent="0.25">
      <c r="J61" s="24">
        <v>87.1</v>
      </c>
      <c r="K61" s="9">
        <v>6</v>
      </c>
      <c r="L61" s="17" t="str">
        <f>IF(K61&lt;=$N$50, "Cuartil 1", IF(K61&lt;=$O$50, "Cuartil 2", IF(K61&lt;=$P$50, "Cuartil 3", "Cuartil 4")))</f>
        <v>Cuartil 1</v>
      </c>
      <c r="N61" s="21"/>
      <c r="P61" s="21"/>
      <c r="Q61" s="21"/>
      <c r="R61" s="19"/>
    </row>
    <row r="62" spans="2:19" x14ac:dyDescent="0.25">
      <c r="J62" s="24">
        <v>92.2</v>
      </c>
      <c r="K62" s="9">
        <v>3</v>
      </c>
      <c r="L62" s="17" t="str">
        <f>IF(K62&lt;=$N$50, "Cuartil 1", IF(K62&lt;=$O$50, "Cuartil 2", IF(K62&lt;=$P$50, "Cuartil 3", "Cuartil 4")))</f>
        <v>Cuartil 1</v>
      </c>
      <c r="N62" s="21"/>
      <c r="P62" s="23"/>
      <c r="Q62" s="22"/>
      <c r="R62" s="19"/>
    </row>
    <row r="63" spans="2:19" x14ac:dyDescent="0.25">
      <c r="J63" s="26">
        <v>92.5</v>
      </c>
      <c r="K63" s="21">
        <v>5</v>
      </c>
      <c r="L63" s="22" t="str">
        <f>IF(K63&lt;=$N$50, "Cuartil 1", IF(K63&lt;=$O$50, "Cuartil 2", IF(K63&lt;=$P$50, "Cuartil 3", "Cuartil 4")))</f>
        <v>Cuartil 1</v>
      </c>
      <c r="N63" s="21"/>
      <c r="P63" s="23"/>
      <c r="Q63" s="22"/>
      <c r="R63" s="19"/>
    </row>
    <row r="64" spans="2:19" x14ac:dyDescent="0.25">
      <c r="J64" s="24">
        <v>65.400000000000006</v>
      </c>
      <c r="K64" s="9">
        <v>8</v>
      </c>
      <c r="L64" s="17" t="str">
        <f>IF(K64&lt;=$N$50, "Cuartil 1", IF(K64&lt;=$O$50, "Cuartil 2", IF(K64&lt;=$P$50, "Cuartil 3", "Cuartil 4")))</f>
        <v>Cuartil 2</v>
      </c>
      <c r="N64" s="21"/>
      <c r="P64" s="23"/>
      <c r="Q64" s="22"/>
      <c r="R64" s="19"/>
    </row>
    <row r="65" spans="10:18" x14ac:dyDescent="0.25">
      <c r="J65" s="24">
        <v>66.900000000000006</v>
      </c>
      <c r="K65" s="9">
        <v>7</v>
      </c>
      <c r="L65" s="17" t="str">
        <f>IF(K65&lt;=$N$50, "Cuartil 1", IF(K65&lt;=$O$50, "Cuartil 2", IF(K65&lt;=$P$50, "Cuartil 3", "Cuartil 4")))</f>
        <v>Cuartil 2</v>
      </c>
      <c r="N65" s="21"/>
      <c r="P65" s="23"/>
      <c r="Q65" s="22"/>
      <c r="R65" s="19"/>
    </row>
    <row r="66" spans="10:18" x14ac:dyDescent="0.25">
      <c r="J66" s="24">
        <v>67.599999999999994</v>
      </c>
      <c r="K66" s="9">
        <v>7</v>
      </c>
      <c r="L66" s="17" t="str">
        <f>IF(K66&lt;=$N$50, "Cuartil 1", IF(K66&lt;=$O$50, "Cuartil 2", IF(K66&lt;=$P$50, "Cuartil 3", "Cuartil 4")))</f>
        <v>Cuartil 2</v>
      </c>
      <c r="N66" s="21"/>
      <c r="P66" s="23"/>
      <c r="Q66" s="22"/>
      <c r="R66" s="19"/>
    </row>
    <row r="67" spans="10:18" x14ac:dyDescent="0.25">
      <c r="J67" s="24">
        <v>71.7</v>
      </c>
      <c r="K67" s="9">
        <v>8</v>
      </c>
      <c r="L67" s="17" t="str">
        <f>IF(K67&lt;=$N$50, "Cuartil 1", IF(K67&lt;=$O$50, "Cuartil 2", IF(K67&lt;=$P$50, "Cuartil 3", "Cuartil 4")))</f>
        <v>Cuartil 2</v>
      </c>
      <c r="N67" s="21"/>
      <c r="P67" s="23"/>
      <c r="Q67" s="22"/>
      <c r="R67" s="19"/>
    </row>
    <row r="68" spans="10:18" x14ac:dyDescent="0.25">
      <c r="J68" s="24">
        <v>74.2</v>
      </c>
      <c r="K68" s="9">
        <v>8</v>
      </c>
      <c r="L68" s="17" t="str">
        <f>IF(K68&lt;=$N$50, "Cuartil 1", IF(K68&lt;=$O$50, "Cuartil 2", IF(K68&lt;=$P$50, "Cuartil 3", "Cuartil 4")))</f>
        <v>Cuartil 2</v>
      </c>
      <c r="N68" s="21"/>
      <c r="P68" s="23"/>
      <c r="Q68" s="22"/>
      <c r="R68" s="19"/>
    </row>
    <row r="69" spans="10:18" x14ac:dyDescent="0.25">
      <c r="J69" s="24">
        <v>76.099999999999994</v>
      </c>
      <c r="K69" s="9">
        <v>7</v>
      </c>
      <c r="L69" s="17" t="str">
        <f>IF(K69&lt;=$N$50, "Cuartil 1", IF(K69&lt;=$O$50, "Cuartil 2", IF(K69&lt;=$P$50, "Cuartil 3", "Cuartil 4")))</f>
        <v>Cuartil 2</v>
      </c>
      <c r="N69" s="21"/>
      <c r="P69" s="23"/>
      <c r="Q69" s="22"/>
      <c r="R69" s="19"/>
    </row>
    <row r="70" spans="10:18" x14ac:dyDescent="0.25">
      <c r="J70" s="24">
        <v>77.599999999999994</v>
      </c>
      <c r="K70" s="9">
        <v>7</v>
      </c>
      <c r="L70" s="17" t="str">
        <f>IF(K70&lt;=$N$50, "Cuartil 1", IF(K70&lt;=$O$50, "Cuartil 2", IF(K70&lt;=$P$50, "Cuartil 3", "Cuartil 4")))</f>
        <v>Cuartil 2</v>
      </c>
      <c r="N70" s="21"/>
      <c r="P70" s="23"/>
      <c r="Q70" s="22"/>
      <c r="R70" s="19"/>
    </row>
    <row r="71" spans="10:18" x14ac:dyDescent="0.25">
      <c r="J71" s="24">
        <v>82.4</v>
      </c>
      <c r="K71" s="9">
        <v>7</v>
      </c>
      <c r="L71" s="17" t="str">
        <f>IF(K71&lt;=$N$50, "Cuartil 1", IF(K71&lt;=$O$50, "Cuartil 2", IF(K71&lt;=$P$50, "Cuartil 3", "Cuartil 4")))</f>
        <v>Cuartil 2</v>
      </c>
      <c r="N71" s="21"/>
      <c r="P71" s="23"/>
      <c r="Q71" s="22"/>
      <c r="R71" s="19"/>
    </row>
    <row r="72" spans="10:18" x14ac:dyDescent="0.25">
      <c r="J72" s="24">
        <v>83.8</v>
      </c>
      <c r="K72" s="9">
        <v>7</v>
      </c>
      <c r="L72" s="17" t="str">
        <f>IF(K72&lt;=$N$50, "Cuartil 1", IF(K72&lt;=$O$50, "Cuartil 2", IF(K72&lt;=$P$50, "Cuartil 3", "Cuartil 4")))</f>
        <v>Cuartil 2</v>
      </c>
      <c r="N72" s="21"/>
      <c r="P72" s="23"/>
      <c r="Q72" s="22"/>
      <c r="R72" s="19"/>
    </row>
    <row r="73" spans="10:18" x14ac:dyDescent="0.25">
      <c r="J73" s="24">
        <v>85.8</v>
      </c>
      <c r="K73" s="9">
        <v>7</v>
      </c>
      <c r="L73" s="17" t="str">
        <f>IF(K73&lt;=$N$50, "Cuartil 1", IF(K73&lt;=$O$50, "Cuartil 2", IF(K73&lt;=$P$50, "Cuartil 3", "Cuartil 4")))</f>
        <v>Cuartil 2</v>
      </c>
      <c r="N73" s="21"/>
      <c r="P73" s="23"/>
      <c r="Q73" s="22"/>
      <c r="R73" s="19"/>
    </row>
    <row r="74" spans="10:18" x14ac:dyDescent="0.25">
      <c r="J74" s="24">
        <v>92.4</v>
      </c>
      <c r="K74" s="9">
        <v>8</v>
      </c>
      <c r="L74" s="17" t="str">
        <f>IF(K74&lt;=$N$50, "Cuartil 1", IF(K74&lt;=$O$50, "Cuartil 2", IF(K74&lt;=$P$50, "Cuartil 3", "Cuartil 4")))</f>
        <v>Cuartil 2</v>
      </c>
      <c r="N74" s="21"/>
      <c r="P74" s="23"/>
      <c r="Q74" s="22"/>
      <c r="R74" s="19"/>
    </row>
    <row r="75" spans="10:18" x14ac:dyDescent="0.25">
      <c r="J75" s="24">
        <v>56.6</v>
      </c>
      <c r="K75" s="9">
        <v>12</v>
      </c>
      <c r="L75" s="17" t="str">
        <f>IF(K75&lt;=$N$50, "Cuartil 1", IF(K75&lt;=$O$50, "Cuartil 2", IF(K75&lt;=$P$50, "Cuartil 3", "Cuartil 4")))</f>
        <v>Cuartil 3</v>
      </c>
      <c r="N75" s="21"/>
      <c r="P75" s="23"/>
      <c r="Q75" s="22"/>
      <c r="R75" s="19"/>
    </row>
    <row r="76" spans="10:18" x14ac:dyDescent="0.25">
      <c r="J76" s="24">
        <v>60.5</v>
      </c>
      <c r="K76" s="9">
        <v>10</v>
      </c>
      <c r="L76" s="17" t="str">
        <f>IF(K76&lt;=$N$50, "Cuartil 1", IF(K76&lt;=$O$50, "Cuartil 2", IF(K76&lt;=$P$50, "Cuartil 3", "Cuartil 4")))</f>
        <v>Cuartil 3</v>
      </c>
      <c r="N76" s="21"/>
      <c r="P76" s="23"/>
      <c r="Q76" s="22"/>
      <c r="R76" s="19"/>
    </row>
    <row r="77" spans="10:18" x14ac:dyDescent="0.25">
      <c r="J77" s="24">
        <v>64.099999999999994</v>
      </c>
      <c r="K77" s="9">
        <v>12</v>
      </c>
      <c r="L77" s="17" t="str">
        <f>IF(K77&lt;=$N$50, "Cuartil 1", IF(K77&lt;=$O$50, "Cuartil 2", IF(K77&lt;=$P$50, "Cuartil 3", "Cuartil 4")))</f>
        <v>Cuartil 3</v>
      </c>
      <c r="N77" s="21"/>
      <c r="P77" s="23"/>
      <c r="Q77" s="22"/>
      <c r="R77" s="19"/>
    </row>
    <row r="78" spans="10:18" x14ac:dyDescent="0.25">
      <c r="J78" s="24">
        <v>65</v>
      </c>
      <c r="K78" s="9">
        <v>9</v>
      </c>
      <c r="L78" s="17" t="str">
        <f>IF(K78&lt;=$N$50, "Cuartil 1", IF(K78&lt;=$O$50, "Cuartil 2", IF(K78&lt;=$P$50, "Cuartil 3", "Cuartil 4")))</f>
        <v>Cuartil 3</v>
      </c>
      <c r="N78" s="21"/>
      <c r="P78" s="23"/>
      <c r="Q78" s="22"/>
      <c r="R78" s="19"/>
    </row>
    <row r="79" spans="10:18" x14ac:dyDescent="0.25">
      <c r="J79" s="24">
        <v>65.099999999999994</v>
      </c>
      <c r="K79" s="9">
        <v>9</v>
      </c>
      <c r="L79" s="17" t="str">
        <f>IF(K79&lt;=$N$50, "Cuartil 1", IF(K79&lt;=$O$50, "Cuartil 2", IF(K79&lt;=$P$50, "Cuartil 3", "Cuartil 4")))</f>
        <v>Cuartil 3</v>
      </c>
      <c r="N79" s="21"/>
      <c r="P79" s="23"/>
      <c r="Q79" s="22"/>
      <c r="R79" s="19"/>
    </row>
    <row r="80" spans="10:18" x14ac:dyDescent="0.25">
      <c r="J80" s="24">
        <v>65.5</v>
      </c>
      <c r="K80" s="9">
        <v>10</v>
      </c>
      <c r="L80" s="17" t="str">
        <f>IF(K80&lt;=$N$50, "Cuartil 1", IF(K80&lt;=$O$50, "Cuartil 2", IF(K80&lt;=$P$50, "Cuartil 3", "Cuartil 4")))</f>
        <v>Cuartil 3</v>
      </c>
      <c r="N80" s="21"/>
      <c r="P80" s="23"/>
      <c r="Q80" s="22"/>
      <c r="R80" s="19"/>
    </row>
    <row r="81" spans="10:18" x14ac:dyDescent="0.25">
      <c r="J81" s="24">
        <v>65.7</v>
      </c>
      <c r="K81" s="9">
        <v>11</v>
      </c>
      <c r="L81" s="17" t="str">
        <f>IF(K81&lt;=$N$50, "Cuartil 1", IF(K81&lt;=$O$50, "Cuartil 2", IF(K81&lt;=$P$50, "Cuartil 3", "Cuartil 4")))</f>
        <v>Cuartil 3</v>
      </c>
      <c r="N81" s="21"/>
      <c r="P81" s="23"/>
      <c r="Q81" s="22"/>
      <c r="R81" s="19"/>
    </row>
    <row r="82" spans="10:18" x14ac:dyDescent="0.25">
      <c r="J82" s="24">
        <v>68.900000000000006</v>
      </c>
      <c r="K82" s="9">
        <v>12</v>
      </c>
      <c r="L82" s="17" t="str">
        <f>IF(K82&lt;=$N$50, "Cuartil 1", IF(K82&lt;=$O$50, "Cuartil 2", IF(K82&lt;=$P$50, "Cuartil 3", "Cuartil 4")))</f>
        <v>Cuartil 3</v>
      </c>
      <c r="N82" s="21"/>
      <c r="P82" s="23"/>
      <c r="Q82" s="22"/>
      <c r="R82" s="19"/>
    </row>
    <row r="83" spans="10:18" x14ac:dyDescent="0.25">
      <c r="J83" s="24">
        <v>70.400000000000006</v>
      </c>
      <c r="K83" s="9">
        <v>12</v>
      </c>
      <c r="L83" s="17" t="str">
        <f>IF(K83&lt;=$N$50, "Cuartil 1", IF(K83&lt;=$O$50, "Cuartil 2", IF(K83&lt;=$P$50, "Cuartil 3", "Cuartil 4")))</f>
        <v>Cuartil 3</v>
      </c>
      <c r="N83" s="21"/>
      <c r="P83" s="23"/>
      <c r="Q83" s="22"/>
      <c r="R83" s="19"/>
    </row>
    <row r="84" spans="10:18" x14ac:dyDescent="0.25">
      <c r="J84" s="24">
        <v>80.2</v>
      </c>
      <c r="K84" s="9">
        <v>12</v>
      </c>
      <c r="L84" s="17" t="str">
        <f>IF(K84&lt;=$N$50, "Cuartil 1", IF(K84&lt;=$O$50, "Cuartil 2", IF(K84&lt;=$P$50, "Cuartil 3", "Cuartil 4")))</f>
        <v>Cuartil 3</v>
      </c>
      <c r="N84" s="21"/>
      <c r="P84" s="23"/>
      <c r="Q84" s="22"/>
      <c r="R84" s="19"/>
    </row>
    <row r="85" spans="10:18" x14ac:dyDescent="0.25">
      <c r="J85" s="24">
        <v>83.1</v>
      </c>
      <c r="K85" s="9">
        <v>9</v>
      </c>
      <c r="L85" s="17" t="str">
        <f>IF(K85&lt;=$N$50, "Cuartil 1", IF(K85&lt;=$O$50, "Cuartil 2", IF(K85&lt;=$P$50, "Cuartil 3", "Cuartil 4")))</f>
        <v>Cuartil 3</v>
      </c>
      <c r="N85" s="21"/>
      <c r="P85" s="23"/>
      <c r="Q85" s="22"/>
      <c r="R85" s="19"/>
    </row>
    <row r="86" spans="10:18" x14ac:dyDescent="0.25">
      <c r="J86" s="24">
        <v>35</v>
      </c>
      <c r="K86" s="9">
        <v>53</v>
      </c>
      <c r="L86" s="17" t="str">
        <f>IF(K86&lt;=$N$50, "Cuartil 1", IF(K86&lt;=$O$50, "Cuartil 2", IF(K86&lt;=$P$50, "Cuartil 3", "Cuartil 4")))</f>
        <v>Cuartil 4</v>
      </c>
      <c r="N86" s="21"/>
      <c r="P86" s="23"/>
      <c r="Q86" s="22"/>
      <c r="R86" s="19"/>
    </row>
    <row r="87" spans="10:18" x14ac:dyDescent="0.25">
      <c r="J87" s="26">
        <v>42.8</v>
      </c>
      <c r="K87" s="21">
        <v>29</v>
      </c>
      <c r="L87" s="22" t="str">
        <f>IF(K87&lt;=$N$50, "Cuartil 1", IF(K87&lt;=$O$50, "Cuartil 2", IF(K87&lt;=$P$50, "Cuartil 3", "Cuartil 4")))</f>
        <v>Cuartil 4</v>
      </c>
      <c r="N87" s="21"/>
      <c r="P87" s="23"/>
      <c r="Q87" s="22"/>
      <c r="R87" s="19"/>
    </row>
    <row r="88" spans="10:18" x14ac:dyDescent="0.25">
      <c r="J88" s="24">
        <v>44.7</v>
      </c>
      <c r="K88" s="9">
        <v>29</v>
      </c>
      <c r="L88" s="17" t="str">
        <f>IF(K88&lt;=$N$50, "Cuartil 1", IF(K88&lt;=$O$50, "Cuartil 2", IF(K88&lt;=$P$50, "Cuartil 3", "Cuartil 4")))</f>
        <v>Cuartil 4</v>
      </c>
      <c r="N88" s="21"/>
      <c r="P88" s="23"/>
      <c r="Q88" s="22"/>
      <c r="R88" s="19"/>
    </row>
    <row r="89" spans="10:18" x14ac:dyDescent="0.25">
      <c r="J89" s="24">
        <v>54.3</v>
      </c>
      <c r="K89" s="9">
        <v>20</v>
      </c>
      <c r="L89" s="17" t="str">
        <f>IF(K89&lt;=$N$50, "Cuartil 1", IF(K89&lt;=$O$50, "Cuartil 2", IF(K89&lt;=$P$50, "Cuartil 3", "Cuartil 4")))</f>
        <v>Cuartil 4</v>
      </c>
      <c r="N89" s="21"/>
      <c r="P89" s="23"/>
      <c r="Q89" s="22"/>
      <c r="R89" s="19"/>
    </row>
    <row r="90" spans="10:18" x14ac:dyDescent="0.25">
      <c r="J90" s="24">
        <v>55.7</v>
      </c>
      <c r="K90" s="9">
        <v>28</v>
      </c>
      <c r="L90" s="17" t="str">
        <f>IF(K90&lt;=$N$50, "Cuartil 1", IF(K90&lt;=$O$50, "Cuartil 2", IF(K90&lt;=$P$50, "Cuartil 3", "Cuartil 4")))</f>
        <v>Cuartil 4</v>
      </c>
      <c r="N90" s="21"/>
      <c r="P90" s="23"/>
      <c r="Q90" s="22"/>
      <c r="R90" s="19"/>
    </row>
    <row r="91" spans="10:18" x14ac:dyDescent="0.25">
      <c r="J91" s="24">
        <v>58.3</v>
      </c>
      <c r="K91" s="9">
        <v>19</v>
      </c>
      <c r="L91" s="17" t="str">
        <f>IF(K91&lt;=$N$50, "Cuartil 1", IF(K91&lt;=$O$50, "Cuartil 2", IF(K91&lt;=$P$50, "Cuartil 3", "Cuartil 4")))</f>
        <v>Cuartil 4</v>
      </c>
      <c r="N91" s="21"/>
      <c r="P91" s="23"/>
      <c r="Q91" s="22"/>
      <c r="R91" s="19"/>
    </row>
    <row r="92" spans="10:18" x14ac:dyDescent="0.25">
      <c r="J92" s="24">
        <v>64.400000000000006</v>
      </c>
      <c r="K92" s="9">
        <v>32</v>
      </c>
      <c r="L92" s="17" t="str">
        <f>IF(K92&lt;=$N$50, "Cuartil 1", IF(K92&lt;=$O$50, "Cuartil 2", IF(K92&lt;=$P$50, "Cuartil 3", "Cuartil 4")))</f>
        <v>Cuartil 4</v>
      </c>
      <c r="N92" s="21"/>
      <c r="P92" s="23"/>
      <c r="Q92" s="22"/>
      <c r="R92" s="19"/>
    </row>
    <row r="93" spans="10:18" x14ac:dyDescent="0.25">
      <c r="J93" s="24">
        <v>72.7</v>
      </c>
      <c r="K93" s="9">
        <v>13</v>
      </c>
      <c r="L93" s="17" t="str">
        <f>IF(K93&lt;=$N$50, "Cuartil 1", IF(K93&lt;=$O$50, "Cuartil 2", IF(K93&lt;=$P$50, "Cuartil 3", "Cuartil 4")))</f>
        <v>Cuartil 4</v>
      </c>
      <c r="N93" s="21"/>
      <c r="P93" s="23"/>
      <c r="Q93" s="22"/>
      <c r="R93" s="19"/>
    </row>
    <row r="94" spans="10:18" x14ac:dyDescent="0.25">
      <c r="J94" s="24">
        <v>76.900000000000006</v>
      </c>
      <c r="K94" s="9">
        <v>15</v>
      </c>
      <c r="L94" s="17" t="str">
        <f>IF(K94&lt;=$N$50, "Cuartil 1", IF(K94&lt;=$O$50, "Cuartil 2", IF(K94&lt;=$P$50, "Cuartil 3", "Cuartil 4")))</f>
        <v>Cuartil 4</v>
      </c>
      <c r="N94" s="21"/>
      <c r="P94" s="23"/>
      <c r="Q94" s="22"/>
      <c r="R94" s="19"/>
    </row>
    <row r="95" spans="10:18" x14ac:dyDescent="0.25">
      <c r="J95" s="24">
        <v>79.3</v>
      </c>
      <c r="K95" s="9">
        <v>13</v>
      </c>
      <c r="L95" s="17" t="str">
        <f>IF(K95&lt;=$N$50, "Cuartil 1", IF(K95&lt;=$O$50, "Cuartil 2", IF(K95&lt;=$P$50, "Cuartil 3", "Cuartil 4")))</f>
        <v>Cuartil 4</v>
      </c>
      <c r="N95" s="21"/>
      <c r="P95" s="23"/>
      <c r="Q95" s="22"/>
      <c r="R95" s="19"/>
    </row>
    <row r="96" spans="10:18" ht="15.75" thickBot="1" x14ac:dyDescent="0.3">
      <c r="J96" s="25">
        <v>82.9</v>
      </c>
      <c r="K96" s="13">
        <v>13</v>
      </c>
      <c r="L96" s="18" t="str">
        <f>IF(K96&lt;=$N$50, "Cuartil 1", IF(K96&lt;=$O$50, "Cuartil 2", IF(K96&lt;=$P$50, "Cuartil 3", "Cuartil 4")))</f>
        <v>Cuartil 4</v>
      </c>
      <c r="N96" s="21"/>
      <c r="P96" s="23"/>
      <c r="Q96" s="22"/>
      <c r="R96" s="19"/>
    </row>
    <row r="97" ht="15.75" thickTop="1" x14ac:dyDescent="0.25"/>
    <row r="126" spans="14:18" x14ac:dyDescent="0.25">
      <c r="N126" s="21"/>
      <c r="P126" s="23"/>
      <c r="Q126" s="22"/>
      <c r="R126" s="19"/>
    </row>
    <row r="160" spans="14:18" x14ac:dyDescent="0.25">
      <c r="N160" s="21"/>
      <c r="P160" s="23"/>
      <c r="Q160" s="22"/>
      <c r="R160" s="19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12EF-D0C1-40A1-B9DA-9035C5C6744E}">
  <dimension ref="B2:N53"/>
  <sheetViews>
    <sheetView zoomScale="85" zoomScaleNormal="85" workbookViewId="0">
      <selection activeCell="K37" sqref="K37"/>
    </sheetView>
  </sheetViews>
  <sheetFormatPr baseColWidth="10" defaultRowHeight="15" x14ac:dyDescent="0.25"/>
  <cols>
    <col min="2" max="2" width="19.42578125" customWidth="1"/>
    <col min="3" max="3" width="12.42578125" bestFit="1" customWidth="1"/>
    <col min="4" max="4" width="14.28515625" bestFit="1" customWidth="1"/>
    <col min="5" max="5" width="10.5703125" bestFit="1" customWidth="1"/>
    <col min="6" max="6" width="13.5703125" bestFit="1" customWidth="1"/>
    <col min="7" max="7" width="12.140625" bestFit="1" customWidth="1"/>
    <col min="8" max="8" width="22.140625" customWidth="1"/>
    <col min="11" max="11" width="11.85546875" bestFit="1" customWidth="1"/>
  </cols>
  <sheetData>
    <row r="2" spans="2:10" x14ac:dyDescent="0.25">
      <c r="B2" t="s">
        <v>108</v>
      </c>
    </row>
    <row r="3" spans="2:10" x14ac:dyDescent="0.25">
      <c r="B3" t="s">
        <v>105</v>
      </c>
    </row>
    <row r="4" spans="2:10" ht="15.75" thickBot="1" x14ac:dyDescent="0.3">
      <c r="B4" s="10"/>
      <c r="C4" s="10"/>
      <c r="D4" s="10"/>
      <c r="E4" s="10"/>
      <c r="F4" s="10"/>
      <c r="G4" s="10"/>
      <c r="H4" s="10"/>
    </row>
    <row r="5" spans="2:10" ht="16.5" thickTop="1" thickBot="1" x14ac:dyDescent="0.3">
      <c r="B5" s="10"/>
      <c r="C5" s="11" t="s">
        <v>37</v>
      </c>
      <c r="D5" s="12" t="s">
        <v>38</v>
      </c>
      <c r="E5" s="12" t="s">
        <v>39</v>
      </c>
      <c r="F5" s="12" t="s">
        <v>40</v>
      </c>
      <c r="G5" s="12" t="s">
        <v>41</v>
      </c>
      <c r="H5" s="12" t="s">
        <v>99</v>
      </c>
      <c r="I5" s="14"/>
      <c r="J5" t="s">
        <v>106</v>
      </c>
    </row>
    <row r="6" spans="2:10" ht="15.75" thickTop="1" x14ac:dyDescent="0.25">
      <c r="B6" t="s">
        <v>42</v>
      </c>
      <c r="C6" s="9">
        <v>80.2</v>
      </c>
      <c r="D6" s="9">
        <v>17</v>
      </c>
      <c r="E6" s="9">
        <v>15</v>
      </c>
      <c r="F6" s="9">
        <v>12</v>
      </c>
      <c r="G6" s="9">
        <v>9.9600000000000009</v>
      </c>
      <c r="H6" s="9">
        <v>22.2</v>
      </c>
      <c r="J6" t="s">
        <v>109</v>
      </c>
    </row>
    <row r="7" spans="2:10" x14ac:dyDescent="0.25">
      <c r="B7" t="s">
        <v>43</v>
      </c>
      <c r="C7" s="9">
        <v>83.1</v>
      </c>
      <c r="D7" s="9">
        <v>45.1</v>
      </c>
      <c r="E7" s="9">
        <v>6</v>
      </c>
      <c r="F7" s="9">
        <v>9</v>
      </c>
      <c r="G7" s="9">
        <v>84.84</v>
      </c>
      <c r="H7" s="9">
        <v>22.2</v>
      </c>
    </row>
    <row r="8" spans="2:10" x14ac:dyDescent="0.25">
      <c r="B8" t="s">
        <v>44</v>
      </c>
      <c r="C8" s="9">
        <v>92.5</v>
      </c>
      <c r="D8" s="9">
        <v>39.700000000000003</v>
      </c>
      <c r="E8" s="9">
        <v>5</v>
      </c>
      <c r="F8" s="9">
        <v>5</v>
      </c>
      <c r="G8" s="9">
        <v>93.4</v>
      </c>
      <c r="H8" s="9">
        <v>20.2</v>
      </c>
    </row>
    <row r="9" spans="2:10" x14ac:dyDescent="0.25">
      <c r="B9" t="s">
        <v>45</v>
      </c>
      <c r="C9" s="9">
        <v>85.8</v>
      </c>
      <c r="D9" s="9">
        <v>36.5</v>
      </c>
      <c r="E9" s="9">
        <v>12</v>
      </c>
      <c r="F9" s="9">
        <v>7</v>
      </c>
      <c r="G9" s="9">
        <v>33.770000000000003</v>
      </c>
      <c r="H9" s="9">
        <v>20.3</v>
      </c>
    </row>
    <row r="10" spans="2:10" x14ac:dyDescent="0.25">
      <c r="B10" t="s">
        <v>46</v>
      </c>
      <c r="C10" s="9">
        <v>76.900000000000006</v>
      </c>
      <c r="D10" s="9">
        <v>43.5</v>
      </c>
      <c r="E10" s="9">
        <v>17</v>
      </c>
      <c r="F10" s="9">
        <v>15</v>
      </c>
      <c r="G10" s="9">
        <v>5.16</v>
      </c>
      <c r="H10" s="9">
        <v>20.6</v>
      </c>
    </row>
    <row r="11" spans="2:10" x14ac:dyDescent="0.25">
      <c r="B11" t="s">
        <v>47</v>
      </c>
      <c r="C11" s="9">
        <v>76.099999999999994</v>
      </c>
      <c r="D11" s="9">
        <v>35.299999999999997</v>
      </c>
      <c r="E11" s="9">
        <v>9</v>
      </c>
      <c r="F11" s="9">
        <v>7</v>
      </c>
      <c r="G11" s="9">
        <v>90.57</v>
      </c>
      <c r="H11" s="9">
        <v>26.6</v>
      </c>
    </row>
    <row r="12" spans="2:10" x14ac:dyDescent="0.25">
      <c r="B12" t="s">
        <v>48</v>
      </c>
      <c r="C12" s="9">
        <v>83.8</v>
      </c>
      <c r="D12" s="9">
        <v>70.2</v>
      </c>
      <c r="E12" s="9">
        <v>16</v>
      </c>
      <c r="F12" s="9">
        <v>7</v>
      </c>
      <c r="G12" s="9">
        <v>92.85</v>
      </c>
      <c r="H12" s="9">
        <v>23.6</v>
      </c>
    </row>
    <row r="13" spans="2:10" x14ac:dyDescent="0.25">
      <c r="B13" t="s">
        <v>49</v>
      </c>
      <c r="C13" s="9">
        <v>92.4</v>
      </c>
      <c r="D13" s="9">
        <v>67.8</v>
      </c>
      <c r="E13" s="9">
        <v>14</v>
      </c>
      <c r="F13" s="9">
        <v>8</v>
      </c>
      <c r="G13" s="9">
        <v>97.16</v>
      </c>
      <c r="H13" s="9">
        <v>24.9</v>
      </c>
    </row>
    <row r="14" spans="2:10" x14ac:dyDescent="0.25">
      <c r="B14" t="s">
        <v>50</v>
      </c>
      <c r="C14" s="9">
        <v>82.4</v>
      </c>
      <c r="D14" s="9">
        <v>53.3</v>
      </c>
      <c r="E14" s="9">
        <v>12</v>
      </c>
      <c r="F14" s="9">
        <v>7</v>
      </c>
      <c r="G14" s="9">
        <v>97.67</v>
      </c>
      <c r="H14" s="9">
        <v>21</v>
      </c>
      <c r="J14" s="1"/>
    </row>
    <row r="15" spans="2:10" x14ac:dyDescent="0.25">
      <c r="B15" t="s">
        <v>51</v>
      </c>
      <c r="C15" s="9">
        <v>82.9</v>
      </c>
      <c r="D15" s="9">
        <v>45.2</v>
      </c>
      <c r="E15" s="9">
        <v>16</v>
      </c>
      <c r="F15" s="9">
        <v>13</v>
      </c>
      <c r="G15" s="9">
        <v>91.38</v>
      </c>
      <c r="H15" s="9">
        <v>24.4</v>
      </c>
    </row>
    <row r="16" spans="2:10" x14ac:dyDescent="0.25">
      <c r="B16" t="s">
        <v>52</v>
      </c>
      <c r="C16" s="9">
        <v>87.1</v>
      </c>
      <c r="D16" s="9">
        <v>64.5</v>
      </c>
      <c r="E16" s="9">
        <v>14</v>
      </c>
      <c r="F16" s="9">
        <v>6</v>
      </c>
      <c r="G16" s="9">
        <v>98.61</v>
      </c>
      <c r="H16" s="9">
        <v>24.5</v>
      </c>
    </row>
    <row r="17" spans="2:11" x14ac:dyDescent="0.25">
      <c r="B17" t="s">
        <v>53</v>
      </c>
      <c r="C17" s="9">
        <v>64.099999999999994</v>
      </c>
      <c r="D17" s="9">
        <v>62</v>
      </c>
      <c r="E17" s="9">
        <v>21</v>
      </c>
      <c r="F17" s="9">
        <v>12</v>
      </c>
      <c r="G17" s="9">
        <v>8.52</v>
      </c>
      <c r="H17" s="9">
        <v>16.5</v>
      </c>
    </row>
    <row r="18" spans="2:11" x14ac:dyDescent="0.25">
      <c r="B18" t="s">
        <v>54</v>
      </c>
      <c r="C18" s="9">
        <v>66.900000000000006</v>
      </c>
      <c r="D18" s="9">
        <v>67.5</v>
      </c>
      <c r="E18" s="9">
        <v>14</v>
      </c>
      <c r="F18" s="9">
        <v>7</v>
      </c>
      <c r="G18" s="9">
        <v>2.27</v>
      </c>
      <c r="H18" s="9">
        <v>19.100000000000001</v>
      </c>
    </row>
    <row r="19" spans="2:11" x14ac:dyDescent="0.25">
      <c r="B19" t="s">
        <v>55</v>
      </c>
      <c r="C19" s="9">
        <v>68.900000000000006</v>
      </c>
      <c r="D19" s="9">
        <v>60.7</v>
      </c>
      <c r="E19" s="9">
        <v>19</v>
      </c>
      <c r="F19" s="9">
        <v>12</v>
      </c>
      <c r="G19" s="9">
        <v>4.43</v>
      </c>
      <c r="H19" s="9">
        <v>22.7</v>
      </c>
    </row>
    <row r="20" spans="2:11" x14ac:dyDescent="0.25">
      <c r="B20" t="s">
        <v>56</v>
      </c>
      <c r="C20" s="9">
        <v>61.7</v>
      </c>
      <c r="D20" s="9">
        <v>69.3</v>
      </c>
      <c r="E20" s="9">
        <v>22</v>
      </c>
      <c r="F20" s="9">
        <v>5</v>
      </c>
      <c r="G20" s="9">
        <v>2.82</v>
      </c>
      <c r="H20" s="9">
        <v>18.7</v>
      </c>
      <c r="J20" s="1"/>
    </row>
    <row r="21" spans="2:11" x14ac:dyDescent="0.25">
      <c r="B21" t="s">
        <v>57</v>
      </c>
      <c r="C21" s="9">
        <v>68.3</v>
      </c>
      <c r="D21" s="9">
        <v>72.599999999999994</v>
      </c>
      <c r="E21" s="9">
        <v>18</v>
      </c>
      <c r="F21" s="9">
        <v>2</v>
      </c>
      <c r="G21" s="9">
        <v>24.2</v>
      </c>
      <c r="H21" s="9">
        <v>21.2</v>
      </c>
    </row>
    <row r="22" spans="2:11" x14ac:dyDescent="0.25">
      <c r="B22" t="s">
        <v>58</v>
      </c>
      <c r="C22" s="9">
        <v>71.7</v>
      </c>
      <c r="D22" s="9">
        <v>34</v>
      </c>
      <c r="E22" s="9">
        <v>17</v>
      </c>
      <c r="F22" s="9">
        <v>8</v>
      </c>
      <c r="G22" s="9">
        <v>3.3</v>
      </c>
      <c r="H22" s="9">
        <v>20</v>
      </c>
    </row>
    <row r="23" spans="2:11" x14ac:dyDescent="0.25">
      <c r="B23" t="s">
        <v>59</v>
      </c>
      <c r="C23" s="9">
        <v>55.7</v>
      </c>
      <c r="D23" s="9">
        <v>19.399999999999999</v>
      </c>
      <c r="E23" s="9">
        <v>26</v>
      </c>
      <c r="F23" s="9">
        <v>28</v>
      </c>
      <c r="G23" s="9">
        <v>12.11</v>
      </c>
      <c r="H23" s="9">
        <v>20.2</v>
      </c>
      <c r="J23" t="s">
        <v>107</v>
      </c>
    </row>
    <row r="24" spans="2:11" x14ac:dyDescent="0.25">
      <c r="B24" t="s">
        <v>81</v>
      </c>
      <c r="C24" s="9">
        <v>54.3</v>
      </c>
      <c r="D24" s="9">
        <v>15.2</v>
      </c>
      <c r="E24" s="9">
        <v>31</v>
      </c>
      <c r="F24" s="9">
        <v>20</v>
      </c>
      <c r="G24" s="9">
        <v>2.15</v>
      </c>
      <c r="H24" s="9">
        <v>10.8</v>
      </c>
    </row>
    <row r="25" spans="2:11" x14ac:dyDescent="0.25">
      <c r="B25" t="s">
        <v>60</v>
      </c>
      <c r="C25" s="9">
        <v>65.099999999999994</v>
      </c>
      <c r="D25" s="9">
        <v>73</v>
      </c>
      <c r="E25" s="9">
        <v>19</v>
      </c>
      <c r="F25" s="9">
        <v>9</v>
      </c>
      <c r="G25" s="9">
        <v>2.84</v>
      </c>
      <c r="H25" s="9">
        <v>20</v>
      </c>
      <c r="J25" t="s">
        <v>20</v>
      </c>
      <c r="K25">
        <f>COUNT(F6:F52)</f>
        <v>47</v>
      </c>
    </row>
    <row r="26" spans="2:11" x14ac:dyDescent="0.25">
      <c r="B26" t="s">
        <v>61</v>
      </c>
      <c r="C26" s="9">
        <v>65.5</v>
      </c>
      <c r="D26" s="9">
        <v>59.8</v>
      </c>
      <c r="E26" s="9">
        <v>22</v>
      </c>
      <c r="F26" s="9">
        <v>10</v>
      </c>
      <c r="G26" s="9">
        <v>5.23</v>
      </c>
      <c r="H26" s="9">
        <v>18</v>
      </c>
    </row>
    <row r="27" spans="2:11" x14ac:dyDescent="0.25">
      <c r="B27" t="s">
        <v>62</v>
      </c>
      <c r="C27" s="9">
        <v>65</v>
      </c>
      <c r="D27" s="9">
        <v>55.1</v>
      </c>
      <c r="E27" s="9">
        <v>14</v>
      </c>
      <c r="F27" s="9">
        <v>3</v>
      </c>
      <c r="G27" s="9">
        <v>4.5199999999999996</v>
      </c>
      <c r="H27" s="9">
        <v>22.4</v>
      </c>
      <c r="J27" s="2" t="s">
        <v>15</v>
      </c>
      <c r="K27" s="5">
        <f>SUM(E6:E52)/K25</f>
        <v>16.48936170212766</v>
      </c>
    </row>
    <row r="28" spans="2:11" x14ac:dyDescent="0.25">
      <c r="B28" t="s">
        <v>63</v>
      </c>
      <c r="C28" s="9">
        <v>56.6</v>
      </c>
      <c r="D28" s="9">
        <v>50.9</v>
      </c>
      <c r="E28" s="9">
        <v>22</v>
      </c>
      <c r="F28" s="9">
        <v>12</v>
      </c>
      <c r="G28" s="9">
        <v>15.14</v>
      </c>
      <c r="H28" s="9">
        <v>16.7</v>
      </c>
      <c r="J28" s="2" t="s">
        <v>124</v>
      </c>
      <c r="K28" s="5">
        <f>SUM(C6:C52)/K25</f>
        <v>70.14255319148937</v>
      </c>
    </row>
    <row r="29" spans="2:11" x14ac:dyDescent="0.25">
      <c r="B29" t="s">
        <v>64</v>
      </c>
      <c r="C29" s="9">
        <v>57.4</v>
      </c>
      <c r="D29" s="9">
        <v>54.1</v>
      </c>
      <c r="E29" s="9">
        <v>20</v>
      </c>
      <c r="F29" s="9">
        <v>6</v>
      </c>
      <c r="G29" s="9">
        <v>4.2</v>
      </c>
      <c r="H29" s="9">
        <v>15.3</v>
      </c>
      <c r="K29" s="5"/>
    </row>
    <row r="30" spans="2:11" ht="18.75" x14ac:dyDescent="0.35">
      <c r="B30" t="s">
        <v>65</v>
      </c>
      <c r="C30" s="9">
        <v>72.5</v>
      </c>
      <c r="D30" s="9">
        <v>71.2</v>
      </c>
      <c r="E30" s="9">
        <v>12</v>
      </c>
      <c r="F30" s="9">
        <v>1</v>
      </c>
      <c r="G30" s="9">
        <v>2.4</v>
      </c>
      <c r="H30" s="9">
        <v>21</v>
      </c>
      <c r="J30" t="s">
        <v>119</v>
      </c>
      <c r="K30" s="5" cm="1">
        <f t="array" ref="K30">SUMSQ(E6:E52-K27)/(K25-1)</f>
        <v>63.64662349676226</v>
      </c>
    </row>
    <row r="31" spans="2:11" ht="18" x14ac:dyDescent="0.35">
      <c r="B31" t="s">
        <v>66</v>
      </c>
      <c r="C31" s="9">
        <v>74.2</v>
      </c>
      <c r="D31" s="9">
        <v>58.1</v>
      </c>
      <c r="E31" s="9">
        <v>14</v>
      </c>
      <c r="F31" s="9">
        <v>8</v>
      </c>
      <c r="G31" s="9">
        <v>5.23</v>
      </c>
      <c r="H31" s="9">
        <v>23.8</v>
      </c>
      <c r="J31" t="s">
        <v>120</v>
      </c>
      <c r="K31" s="5">
        <f>SQRT(K30)</f>
        <v>7.9778833970397347</v>
      </c>
    </row>
    <row r="32" spans="2:11" ht="18.75" x14ac:dyDescent="0.35">
      <c r="B32" t="s">
        <v>67</v>
      </c>
      <c r="C32" s="9">
        <v>72</v>
      </c>
      <c r="D32" s="9">
        <v>63.5</v>
      </c>
      <c r="E32" s="9">
        <v>6</v>
      </c>
      <c r="F32" s="9">
        <v>3</v>
      </c>
      <c r="G32" s="9">
        <v>2.56</v>
      </c>
      <c r="H32" s="9">
        <v>18</v>
      </c>
      <c r="J32" t="s">
        <v>121</v>
      </c>
      <c r="K32" s="5" cm="1">
        <f t="array" ref="K32">SUMSQ(C6:C52-K28)/(K25-1)</f>
        <v>156.04249768732657</v>
      </c>
    </row>
    <row r="33" spans="2:14" ht="18" x14ac:dyDescent="0.35">
      <c r="B33" t="s">
        <v>68</v>
      </c>
      <c r="C33" s="9">
        <v>60.5</v>
      </c>
      <c r="D33" s="9">
        <v>60.8</v>
      </c>
      <c r="E33" s="9">
        <v>16</v>
      </c>
      <c r="F33" s="9">
        <v>10</v>
      </c>
      <c r="G33" s="9">
        <v>7.72</v>
      </c>
      <c r="H33" s="9">
        <v>16.3</v>
      </c>
      <c r="J33" t="s">
        <v>122</v>
      </c>
      <c r="K33" s="5">
        <f>SQRT(K32)</f>
        <v>12.491697150000338</v>
      </c>
    </row>
    <row r="34" spans="2:14" x14ac:dyDescent="0.25">
      <c r="B34" t="s">
        <v>69</v>
      </c>
      <c r="C34" s="9">
        <v>58.3</v>
      </c>
      <c r="D34" s="9">
        <v>26.8</v>
      </c>
      <c r="E34" s="9">
        <v>25</v>
      </c>
      <c r="F34" s="9">
        <v>19</v>
      </c>
      <c r="G34" s="9">
        <v>18.46</v>
      </c>
      <c r="H34" s="9">
        <v>20.9</v>
      </c>
      <c r="K34" s="5"/>
    </row>
    <row r="35" spans="2:14" ht="18" x14ac:dyDescent="0.35">
      <c r="B35" t="s">
        <v>70</v>
      </c>
      <c r="C35" s="9">
        <v>65.400000000000006</v>
      </c>
      <c r="D35" s="9">
        <v>49.5</v>
      </c>
      <c r="E35" s="9">
        <v>15</v>
      </c>
      <c r="F35" s="9">
        <v>8</v>
      </c>
      <c r="G35" s="9">
        <v>6.1</v>
      </c>
      <c r="H35" s="9">
        <v>22.5</v>
      </c>
      <c r="J35" t="s">
        <v>123</v>
      </c>
      <c r="K35" s="7" cm="1">
        <f t="array" ref="K35">SUMPRODUCT(E6:E52-K27,C6:C52-K28)/(K25-1)</f>
        <v>-64.366928769657719</v>
      </c>
    </row>
    <row r="36" spans="2:14" x14ac:dyDescent="0.25">
      <c r="B36" t="s">
        <v>71</v>
      </c>
      <c r="C36" s="9">
        <v>75.5</v>
      </c>
      <c r="D36" s="9">
        <v>85.9</v>
      </c>
      <c r="E36" s="9">
        <v>3</v>
      </c>
      <c r="F36" s="9">
        <v>2</v>
      </c>
      <c r="G36" s="9">
        <v>99.71</v>
      </c>
      <c r="H36" s="9">
        <v>15.1</v>
      </c>
      <c r="K36" s="5"/>
    </row>
    <row r="37" spans="2:14" x14ac:dyDescent="0.25">
      <c r="B37" t="s">
        <v>72</v>
      </c>
      <c r="C37" s="9">
        <v>69.3</v>
      </c>
      <c r="D37" s="9">
        <v>84.9</v>
      </c>
      <c r="E37" s="9">
        <v>7</v>
      </c>
      <c r="F37" s="9">
        <v>6</v>
      </c>
      <c r="G37" s="9">
        <v>99.68</v>
      </c>
      <c r="H37" s="9">
        <v>19.8</v>
      </c>
      <c r="J37" t="s">
        <v>118</v>
      </c>
      <c r="K37" s="7">
        <f>K35/(K31*K33)</f>
        <v>-0.64588270645728751</v>
      </c>
      <c r="L37" t="s">
        <v>125</v>
      </c>
    </row>
    <row r="38" spans="2:14" x14ac:dyDescent="0.25">
      <c r="B38" t="s">
        <v>73</v>
      </c>
      <c r="C38" s="9">
        <v>77.3</v>
      </c>
      <c r="D38" s="9">
        <v>89.7</v>
      </c>
      <c r="E38" s="9">
        <v>5</v>
      </c>
      <c r="F38" s="9">
        <v>2</v>
      </c>
      <c r="G38" s="9">
        <v>100</v>
      </c>
      <c r="H38" s="9">
        <v>18.3</v>
      </c>
      <c r="L38" t="s">
        <v>126</v>
      </c>
    </row>
    <row r="39" spans="2:14" x14ac:dyDescent="0.25">
      <c r="B39" t="s">
        <v>74</v>
      </c>
      <c r="C39" s="9">
        <v>70.5</v>
      </c>
      <c r="D39" s="9">
        <v>78.2</v>
      </c>
      <c r="E39" s="9">
        <v>12</v>
      </c>
      <c r="F39" s="9">
        <v>6</v>
      </c>
      <c r="G39" s="9">
        <v>98.96</v>
      </c>
      <c r="H39" s="9">
        <v>19.399999999999999</v>
      </c>
      <c r="L39" t="s">
        <v>127</v>
      </c>
      <c r="N39" s="1"/>
    </row>
    <row r="40" spans="2:14" x14ac:dyDescent="0.25">
      <c r="B40" t="s">
        <v>75</v>
      </c>
      <c r="C40" s="9">
        <v>79.400000000000006</v>
      </c>
      <c r="D40" s="9">
        <v>64.900000000000006</v>
      </c>
      <c r="E40" s="9">
        <v>7</v>
      </c>
      <c r="F40" s="9">
        <v>3</v>
      </c>
      <c r="G40" s="9">
        <v>98.22</v>
      </c>
      <c r="H40" s="9">
        <v>20.2</v>
      </c>
      <c r="N40" s="1"/>
    </row>
    <row r="41" spans="2:14" x14ac:dyDescent="0.25">
      <c r="B41" t="s">
        <v>82</v>
      </c>
      <c r="C41" s="9">
        <v>65</v>
      </c>
      <c r="D41" s="9">
        <v>75.900000000000006</v>
      </c>
      <c r="E41" s="9">
        <v>9</v>
      </c>
      <c r="F41" s="9">
        <v>9</v>
      </c>
      <c r="G41" s="9">
        <v>99.06</v>
      </c>
      <c r="H41" s="9">
        <v>17.8</v>
      </c>
      <c r="N41" s="1"/>
    </row>
    <row r="42" spans="2:14" x14ac:dyDescent="0.25">
      <c r="B42" t="s">
        <v>76</v>
      </c>
      <c r="C42" s="9">
        <v>92.2</v>
      </c>
      <c r="D42" s="9">
        <v>84.6</v>
      </c>
      <c r="E42" s="9">
        <v>3</v>
      </c>
      <c r="F42" s="9">
        <v>3</v>
      </c>
      <c r="G42" s="9">
        <v>99.46</v>
      </c>
      <c r="H42" s="9">
        <v>16.3</v>
      </c>
      <c r="N42" s="1"/>
    </row>
    <row r="43" spans="2:14" x14ac:dyDescent="0.25">
      <c r="B43" t="s">
        <v>77</v>
      </c>
      <c r="C43" s="9">
        <v>79.3</v>
      </c>
      <c r="D43" s="9">
        <v>63.1</v>
      </c>
      <c r="E43" s="9">
        <v>13</v>
      </c>
      <c r="F43" s="9">
        <v>13</v>
      </c>
      <c r="G43" s="9">
        <v>96.83</v>
      </c>
      <c r="H43" s="9">
        <v>18.100000000000001</v>
      </c>
      <c r="N43" s="1"/>
    </row>
    <row r="44" spans="2:14" x14ac:dyDescent="0.25">
      <c r="B44" t="s">
        <v>78</v>
      </c>
      <c r="C44" s="9">
        <v>70.400000000000006</v>
      </c>
      <c r="D44" s="9">
        <v>38.4</v>
      </c>
      <c r="E44" s="9">
        <v>26</v>
      </c>
      <c r="F44" s="9">
        <v>12</v>
      </c>
      <c r="G44" s="9">
        <v>5.62</v>
      </c>
      <c r="H44" s="9">
        <v>20.3</v>
      </c>
    </row>
    <row r="45" spans="2:14" x14ac:dyDescent="0.25">
      <c r="B45" t="s">
        <v>83</v>
      </c>
      <c r="C45" s="9">
        <v>65.7</v>
      </c>
      <c r="D45" s="9">
        <v>7.7</v>
      </c>
      <c r="E45" s="9">
        <v>29</v>
      </c>
      <c r="F45" s="9">
        <v>11</v>
      </c>
      <c r="G45" s="9">
        <v>13.79</v>
      </c>
      <c r="H45" s="9">
        <v>20.5</v>
      </c>
    </row>
    <row r="46" spans="2:14" x14ac:dyDescent="0.25">
      <c r="B46" t="s">
        <v>84</v>
      </c>
      <c r="C46" s="9">
        <v>72.7</v>
      </c>
      <c r="D46" s="9">
        <v>16.7</v>
      </c>
      <c r="E46" s="9">
        <v>22</v>
      </c>
      <c r="F46" s="9">
        <v>13</v>
      </c>
      <c r="G46" s="9">
        <v>11.22</v>
      </c>
      <c r="H46" s="9">
        <v>18.899999999999999</v>
      </c>
    </row>
    <row r="47" spans="2:14" x14ac:dyDescent="0.25">
      <c r="B47" t="s">
        <v>79</v>
      </c>
      <c r="C47" s="9">
        <v>64.400000000000006</v>
      </c>
      <c r="D47" s="9">
        <v>17.600000000000001</v>
      </c>
      <c r="E47" s="9">
        <v>35</v>
      </c>
      <c r="F47" s="9">
        <v>32</v>
      </c>
      <c r="G47" s="9">
        <v>16.920000000000002</v>
      </c>
      <c r="H47" s="9">
        <v>23</v>
      </c>
    </row>
    <row r="48" spans="2:14" x14ac:dyDescent="0.25">
      <c r="B48" t="s">
        <v>85</v>
      </c>
      <c r="C48" s="9">
        <v>77.599999999999994</v>
      </c>
      <c r="D48" s="9">
        <v>37.6</v>
      </c>
      <c r="E48" s="9">
        <v>15</v>
      </c>
      <c r="F48" s="9">
        <v>7</v>
      </c>
      <c r="G48" s="9">
        <v>4.97</v>
      </c>
      <c r="H48" s="9">
        <v>20</v>
      </c>
    </row>
    <row r="49" spans="2:8" x14ac:dyDescent="0.25">
      <c r="B49" t="s">
        <v>80</v>
      </c>
      <c r="C49" s="9">
        <v>67.599999999999994</v>
      </c>
      <c r="D49" s="9">
        <v>18.7</v>
      </c>
      <c r="E49" s="9">
        <v>25</v>
      </c>
      <c r="F49" s="9">
        <v>7</v>
      </c>
      <c r="G49" s="9">
        <v>8.65</v>
      </c>
      <c r="H49" s="9">
        <v>19.5</v>
      </c>
    </row>
    <row r="50" spans="2:8" x14ac:dyDescent="0.25">
      <c r="B50" t="s">
        <v>86</v>
      </c>
      <c r="C50" s="9">
        <v>35</v>
      </c>
      <c r="D50" s="9">
        <v>1.2</v>
      </c>
      <c r="E50" s="9">
        <v>37</v>
      </c>
      <c r="F50" s="9">
        <v>53</v>
      </c>
      <c r="G50" s="9">
        <v>42.34</v>
      </c>
      <c r="H50" s="9">
        <v>18</v>
      </c>
    </row>
    <row r="51" spans="2:8" x14ac:dyDescent="0.25">
      <c r="B51" t="s">
        <v>87</v>
      </c>
      <c r="C51" s="9">
        <v>44.7</v>
      </c>
      <c r="D51" s="9">
        <v>46.6</v>
      </c>
      <c r="E51" s="9">
        <v>16</v>
      </c>
      <c r="F51" s="9">
        <v>29</v>
      </c>
      <c r="G51" s="9">
        <v>50.43</v>
      </c>
      <c r="H51" s="9">
        <v>18.2</v>
      </c>
    </row>
    <row r="52" spans="2:8" ht="15.75" thickBot="1" x14ac:dyDescent="0.3">
      <c r="B52" s="10" t="s">
        <v>88</v>
      </c>
      <c r="C52" s="13">
        <v>42.8</v>
      </c>
      <c r="D52" s="13">
        <v>27.7</v>
      </c>
      <c r="E52" s="13">
        <v>22</v>
      </c>
      <c r="F52" s="13">
        <v>29</v>
      </c>
      <c r="G52" s="13">
        <v>58.33</v>
      </c>
      <c r="H52" s="13">
        <v>19.3</v>
      </c>
    </row>
    <row r="53" spans="2:8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Mudarra Luján</dc:creator>
  <cp:lastModifiedBy>Jesus Mudarra Lujan</cp:lastModifiedBy>
  <dcterms:created xsi:type="dcterms:W3CDTF">2015-06-05T18:19:34Z</dcterms:created>
  <dcterms:modified xsi:type="dcterms:W3CDTF">2023-10-01T21:51:25Z</dcterms:modified>
</cp:coreProperties>
</file>